
<file path=[Content_Types].xml><?xml version="1.0" encoding="utf-8"?>
<Types xmlns="http://schemas.openxmlformats.org/package/2006/content-types">
  <Override PartName="/xl/worksheets/sheet24.xml" ContentType="application/vnd.openxmlformats-officedocument.spreadsheetml.worksheet+xml"/>
  <Override PartName="/xl/worksheets/sheet35.xml" ContentType="application/vnd.openxmlformats-officedocument.spreadsheetml.worksheet+xml"/>
  <Override PartName="/xl/worksheets/sheet53.xml" ContentType="application/vnd.openxmlformats-officedocument.spreadsheetml.worksheet+xml"/>
  <Override PartName="/xl/worksheets/sheet71.xml" ContentType="application/vnd.openxmlformats-officedocument.spreadsheetml.worksheet+xml"/>
  <Override PartName="/xl/worksheets/sheet82.xml" ContentType="application/vnd.openxmlformats-officedocument.spreadsheetml.worksheet+xml"/>
  <Override PartName="/xl/worksheets/sheet13.xml" ContentType="application/vnd.openxmlformats-officedocument.spreadsheetml.worksheet+xml"/>
  <Override PartName="/xl/worksheets/sheet42.xml" ContentType="application/vnd.openxmlformats-officedocument.spreadsheetml.worksheet+xml"/>
  <Override PartName="/xl/worksheets/sheet60.xml" ContentType="application/vnd.openxmlformats-officedocument.spreadsheetml.worksheet+xml"/>
  <Override PartName="/xl/styles.xml" ContentType="application/vnd.openxmlformats-officedocument.spreadsheetml.styles+xml"/>
  <Override PartName="/xl/drawings/drawing6.xml" ContentType="application/vnd.openxmlformats-officedocument.drawing+xml"/>
  <Override PartName="/xl/worksheets/sheet7.xml" ContentType="application/vnd.openxmlformats-officedocument.spreadsheetml.worksheet+xml"/>
  <Override PartName="/xl/worksheets/sheet20.xml" ContentType="application/vnd.openxmlformats-officedocument.spreadsheetml.worksheet+xml"/>
  <Override PartName="/xl/worksheets/sheet31.xml" ContentType="application/vnd.openxmlformats-officedocument.spreadsheetml.worksheet+xml"/>
  <Default Extension="xml" ContentType="application/xml"/>
  <Override PartName="/xl/worksheets/sheet5.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externalLinks/externalLink3.xml" ContentType="application/vnd.openxmlformats-officedocument.spreadsheetml.externalLink+xml"/>
  <Override PartName="/xl/worksheets/sheet1.xml" ContentType="application/vnd.openxmlformats-officedocument.spreadsheetml.worksheet+xml"/>
  <Override PartName="/xl/worksheets/sheet49.xml" ContentType="application/vnd.openxmlformats-officedocument.spreadsheetml.worksheet+xml"/>
  <Override PartName="/xl/worksheets/sheet69.xml" ContentType="application/vnd.openxmlformats-officedocument.spreadsheetml.worksheet+xml"/>
  <Override PartName="/xl/worksheets/sheet78.xml" ContentType="application/vnd.openxmlformats-officedocument.spreadsheetml.worksheet+xml"/>
  <Override PartName="/xl/worksheets/sheet87.xml" ContentType="application/vnd.openxmlformats-officedocument.spreadsheetml.worksheet+xml"/>
  <Override PartName="/xl/externalLinks/externalLink1.xml" ContentType="application/vnd.openxmlformats-officedocument.spreadsheetml.externalLink+xml"/>
  <Override PartName="/xl/worksheets/sheet29.xml" ContentType="application/vnd.openxmlformats-officedocument.spreadsheetml.worksheet+xml"/>
  <Override PartName="/xl/worksheets/sheet38.xml" ContentType="application/vnd.openxmlformats-officedocument.spreadsheetml.worksheet+xml"/>
  <Override PartName="/xl/worksheets/sheet47.xml" ContentType="application/vnd.openxmlformats-officedocument.spreadsheetml.worksheet+xml"/>
  <Override PartName="/xl/worksheets/sheet58.xml" ContentType="application/vnd.openxmlformats-officedocument.spreadsheetml.worksheet+xml"/>
  <Override PartName="/xl/worksheets/sheet67.xml" ContentType="application/vnd.openxmlformats-officedocument.spreadsheetml.worksheet+xml"/>
  <Override PartName="/xl/worksheets/sheet76.xml" ContentType="application/vnd.openxmlformats-officedocument.spreadsheetml.worksheet+xml"/>
  <Override PartName="/xl/worksheets/sheet85.xml" ContentType="application/vnd.openxmlformats-officedocument.spreadsheetml.worksheet+xml"/>
  <Override PartName="/xl/sharedStrings.xml" ContentType="application/vnd.openxmlformats-officedocument.spreadsheetml.sharedStrings+xml"/>
  <Default Extension="doc" ContentType="application/msword"/>
  <Override PartName="/xl/worksheets/sheet18.xml" ContentType="application/vnd.openxmlformats-officedocument.spreadsheetml.worksheet+xml"/>
  <Override PartName="/xl/worksheets/sheet27.xml" ContentType="application/vnd.openxmlformats-officedocument.spreadsheetml.worksheet+xml"/>
  <Override PartName="/xl/worksheets/sheet36.xml" ContentType="application/vnd.openxmlformats-officedocument.spreadsheetml.worksheet+xml"/>
  <Override PartName="/xl/worksheets/sheet45.xml" ContentType="application/vnd.openxmlformats-officedocument.spreadsheetml.worksheet+xml"/>
  <Override PartName="/xl/worksheets/sheet54.xml" ContentType="application/vnd.openxmlformats-officedocument.spreadsheetml.worksheet+xml"/>
  <Override PartName="/xl/worksheets/sheet56.xml" ContentType="application/vnd.openxmlformats-officedocument.spreadsheetml.worksheet+xml"/>
  <Override PartName="/xl/worksheets/sheet65.xml" ContentType="application/vnd.openxmlformats-officedocument.spreadsheetml.worksheet+xml"/>
  <Override PartName="/xl/worksheets/sheet74.xml" ContentType="application/vnd.openxmlformats-officedocument.spreadsheetml.worksheet+xml"/>
  <Override PartName="/xl/worksheets/sheet83.xml" ContentType="application/vnd.openxmlformats-officedocument.spreadsheetml.worksheet+xml"/>
  <Override PartName="/xl/worksheets/sheet16.xml" ContentType="application/vnd.openxmlformats-officedocument.spreadsheetml.worksheet+xml"/>
  <Override PartName="/xl/worksheets/sheet25.xml" ContentType="application/vnd.openxmlformats-officedocument.spreadsheetml.worksheet+xml"/>
  <Override PartName="/xl/worksheets/sheet34.xml" ContentType="application/vnd.openxmlformats-officedocument.spreadsheetml.worksheet+xml"/>
  <Override PartName="/xl/worksheets/sheet43.xml" ContentType="application/vnd.openxmlformats-officedocument.spreadsheetml.worksheet+xml"/>
  <Override PartName="/xl/worksheets/sheet52.xml" ContentType="application/vnd.openxmlformats-officedocument.spreadsheetml.worksheet+xml"/>
  <Override PartName="/xl/worksheets/sheet63.xml" ContentType="application/vnd.openxmlformats-officedocument.spreadsheetml.worksheet+xml"/>
  <Override PartName="/xl/worksheets/sheet72.xml" ContentType="application/vnd.openxmlformats-officedocument.spreadsheetml.worksheet+xml"/>
  <Override PartName="/xl/worksheets/sheet81.xml" ContentType="application/vnd.openxmlformats-officedocument.spreadsheetml.worksheet+xml"/>
  <Default Extension="bin" ContentType="application/vnd.openxmlformats-officedocument.spreadsheetml.printerSettings"/>
  <Override PartName="/xl/worksheets/sheet14.xml" ContentType="application/vnd.openxmlformats-officedocument.spreadsheetml.worksheet+xml"/>
  <Override PartName="/xl/worksheets/sheet23.xml" ContentType="application/vnd.openxmlformats-officedocument.spreadsheetml.worksheet+xml"/>
  <Override PartName="/xl/worksheets/sheet32.xml" ContentType="application/vnd.openxmlformats-officedocument.spreadsheetml.worksheet+xml"/>
  <Override PartName="/xl/worksheets/sheet41.xml" ContentType="application/vnd.openxmlformats-officedocument.spreadsheetml.worksheet+xml"/>
  <Override PartName="/xl/worksheets/sheet50.xml" ContentType="application/vnd.openxmlformats-officedocument.spreadsheetml.worksheet+xml"/>
  <Override PartName="/xl/worksheets/sheet61.xml" ContentType="application/vnd.openxmlformats-officedocument.spreadsheetml.worksheet+xml"/>
  <Override PartName="/xl/worksheets/sheet70.xml" ContentType="application/vnd.openxmlformats-officedocument.spreadsheetml.worksheet+xml"/>
  <Override PartName="/xl/worksheets/sheet6.xml" ContentType="application/vnd.openxmlformats-officedocument.spreadsheetml.worksheet+xml"/>
  <Override PartName="/xl/worksheets/sheet8.xml" ContentType="application/vnd.openxmlformats-officedocument.spreadsheetml.worksheet+xml"/>
  <Override PartName="/xl/worksheets/sheet12.xml" ContentType="application/vnd.openxmlformats-officedocument.spreadsheetml.worksheet+xml"/>
  <Override PartName="/xl/worksheets/sheet21.xml" ContentType="application/vnd.openxmlformats-officedocument.spreadsheetml.worksheet+xml"/>
  <Override PartName="/xl/worksheets/sheet30.xml" ContentType="application/vnd.openxmlformats-officedocument.spreadsheetml.worksheet+xml"/>
  <Default Extension="jpeg" ContentType="image/jpeg"/>
  <Default Extension="emf" ContentType="image/x-emf"/>
  <Override PartName="/xl/drawings/drawing5.xml" ContentType="application/vnd.openxmlformats-officedocument.drawing+xml"/>
  <Override PartName="/xl/workbook.xml" ContentType="application/vnd.openxmlformats-officedocument.spreadsheetml.sheet.main+xml"/>
  <Override PartName="/xl/worksheets/sheet4.xml" ContentType="application/vnd.openxmlformats-officedocument.spreadsheetml.worksheet+xml"/>
  <Override PartName="/xl/worksheets/sheet10.xml" ContentType="application/vnd.openxmlformats-officedocument.spreadsheetml.worksheet+xml"/>
  <Override PartName="/xl/embeddings/oleObject1.bin" ContentType="application/vnd.openxmlformats-officedocument.oleObject"/>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externalLinks/externalLink2.xml" ContentType="application/vnd.openxmlformats-officedocument.spreadsheetml.externalLink+xml"/>
  <Override PartName="/xl/drawings/drawing1.xml" ContentType="application/vnd.openxmlformats-officedocument.drawing+xml"/>
  <Override PartName="/xl/worksheets/sheet59.xml" ContentType="application/vnd.openxmlformats-officedocument.spreadsheetml.worksheet+xml"/>
  <Override PartName="/xl/worksheets/sheet68.xml" ContentType="application/vnd.openxmlformats-officedocument.spreadsheetml.worksheet+xml"/>
  <Override PartName="/xl/worksheets/sheet77.xml" ContentType="application/vnd.openxmlformats-officedocument.spreadsheetml.worksheet+xml"/>
  <Override PartName="/xl/worksheets/sheet79.xml" ContentType="application/vnd.openxmlformats-officedocument.spreadsheetml.worksheet+xml"/>
  <Default Extension="vml" ContentType="application/vnd.openxmlformats-officedocument.vmlDrawing"/>
  <Override PartName="/xl/calcChain.xml" ContentType="application/vnd.openxmlformats-officedocument.spreadsheetml.calcChain+xml"/>
  <Override PartName="/xl/worksheets/sheet19.xml" ContentType="application/vnd.openxmlformats-officedocument.spreadsheetml.worksheet+xml"/>
  <Override PartName="/xl/worksheets/sheet28.xml" ContentType="application/vnd.openxmlformats-officedocument.spreadsheetml.worksheet+xml"/>
  <Override PartName="/xl/worksheets/sheet39.xml" ContentType="application/vnd.openxmlformats-officedocument.spreadsheetml.worksheet+xml"/>
  <Override PartName="/xl/worksheets/sheet48.xml" ContentType="application/vnd.openxmlformats-officedocument.spreadsheetml.worksheet+xml"/>
  <Override PartName="/xl/worksheets/sheet57.xml" ContentType="application/vnd.openxmlformats-officedocument.spreadsheetml.worksheet+xml"/>
  <Override PartName="/xl/worksheets/sheet66.xml" ContentType="application/vnd.openxmlformats-officedocument.spreadsheetml.worksheet+xml"/>
  <Override PartName="/xl/worksheets/sheet75.xml" ContentType="application/vnd.openxmlformats-officedocument.spreadsheetml.worksheet+xml"/>
  <Override PartName="/xl/worksheets/sheet86.xml" ContentType="application/vnd.openxmlformats-officedocument.spreadsheetml.worksheet+xml"/>
  <Override PartName="/xl/worksheets/sheet17.xml" ContentType="application/vnd.openxmlformats-officedocument.spreadsheetml.worksheet+xml"/>
  <Override PartName="/xl/worksheets/sheet26.xml" ContentType="application/vnd.openxmlformats-officedocument.spreadsheetml.worksheet+xml"/>
  <Override PartName="/xl/worksheets/sheet37.xml" ContentType="application/vnd.openxmlformats-officedocument.spreadsheetml.worksheet+xml"/>
  <Override PartName="/xl/worksheets/sheet46.xml" ContentType="application/vnd.openxmlformats-officedocument.spreadsheetml.worksheet+xml"/>
  <Override PartName="/xl/worksheets/sheet55.xml" ContentType="application/vnd.openxmlformats-officedocument.spreadsheetml.worksheet+xml"/>
  <Override PartName="/xl/worksheets/sheet64.xml" ContentType="application/vnd.openxmlformats-officedocument.spreadsheetml.worksheet+xml"/>
  <Override PartName="/xl/worksheets/sheet73.xml" ContentType="application/vnd.openxmlformats-officedocument.spreadsheetml.worksheet+xml"/>
  <Override PartName="/xl/worksheets/sheet84.xml" ContentType="application/vnd.openxmlformats-officedocument.spreadsheetml.worksheet+xml"/>
  <Override PartName="/docProps/core.xml" ContentType="application/vnd.openxmlformats-package.core-properties+xml"/>
  <Override PartName="/xl/worksheets/sheet15.xml" ContentType="application/vnd.openxmlformats-officedocument.spreadsheetml.worksheet+xml"/>
  <Override PartName="/xl/worksheets/sheet44.xml" ContentType="application/vnd.openxmlformats-officedocument.spreadsheetml.worksheet+xml"/>
  <Override PartName="/xl/worksheets/sheet62.xml" ContentType="application/vnd.openxmlformats-officedocument.spreadsheetml.worksheet+xml"/>
  <Override PartName="/xl/worksheets/sheet9.xml" ContentType="application/vnd.openxmlformats-officedocument.spreadsheetml.worksheet+xml"/>
  <Override PartName="/xl/worksheets/sheet22.xml" ContentType="application/vnd.openxmlformats-officedocument.spreadsheetml.worksheet+xml"/>
  <Override PartName="/xl/worksheets/sheet33.xml" ContentType="application/vnd.openxmlformats-officedocument.spreadsheetml.worksheet+xml"/>
  <Override PartName="/xl/worksheets/sheet51.xml" ContentType="application/vnd.openxmlformats-officedocument.spreadsheetml.worksheet+xml"/>
  <Override PartName="/xl/worksheets/sheet80.xml" ContentType="application/vnd.openxmlformats-officedocument.spreadsheetml.worksheet+xml"/>
  <Override PartName="/xl/theme/theme1.xml" ContentType="application/vnd.openxmlformats-officedocument.theme+xml"/>
  <Override PartName="/xl/worksheets/sheet11.xml" ContentType="application/vnd.openxmlformats-officedocument.spreadsheetml.worksheet+xml"/>
  <Override PartName="/xl/worksheets/sheet40.xml" ContentType="application/vnd.openxmlformats-officedocument.spreadsheetml.worksheet+xml"/>
  <Default Extension="wmf" ContentType="image/x-wmf"/>
  <Override PartName="/xl/drawings/drawing4.xml" ContentType="application/vnd.openxmlformats-officedocument.drawing+xml"/>
  <Default Extension="rels" ContentType="application/vnd.openxmlformats-package.relationship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codeName="ThisWorkbook"/>
  <bookViews>
    <workbookView xWindow="7005" yWindow="-330" windowWidth="11280" windowHeight="9450" tabRatio="860"/>
  </bookViews>
  <sheets>
    <sheet name="MAP" sheetId="118" r:id="rId1"/>
    <sheet name="Cover Page" sheetId="122" r:id="rId2"/>
    <sheet name="PREFACE" sheetId="137" r:id="rId3"/>
    <sheet name="Contents" sheetId="117" r:id="rId4"/>
    <sheet name="At a glance" sheetId="1" r:id="rId5"/>
    <sheet name="1.1,1.2" sheetId="2" r:id="rId6"/>
    <sheet name="1.3,1.4" sheetId="4" r:id="rId7"/>
    <sheet name="2.1" sheetId="151" r:id="rId8"/>
    <sheet name="2.2" sheetId="7" r:id="rId9"/>
    <sheet name="2.1a,2.1b" sheetId="133" r:id="rId10"/>
    <sheet name="2.3" sheetId="10" r:id="rId11"/>
    <sheet name="2.4a" sheetId="112" r:id="rId12"/>
    <sheet name="2.4b" sheetId="149" r:id="rId13"/>
    <sheet name="2.5a" sheetId="136" r:id="rId14"/>
    <sheet name="2.5b" sheetId="150" r:id="rId15"/>
    <sheet name="2.6" sheetId="16" r:id="rId16"/>
    <sheet name="2.7" sheetId="17" r:id="rId17"/>
    <sheet name="2.8" sheetId="18" r:id="rId18"/>
    <sheet name="2.9,2.10" sheetId="19" r:id="rId19"/>
    <sheet name="2.10a" sheetId="134" r:id="rId20"/>
    <sheet name="2.11" sheetId="21" r:id="rId21"/>
    <sheet name="3.1" sheetId="23" r:id="rId22"/>
    <sheet name="3.2" sheetId="24" r:id="rId23"/>
    <sheet name="3.2a" sheetId="25" r:id="rId24"/>
    <sheet name="3.3" sheetId="26" r:id="rId25"/>
    <sheet name="3.3a" sheetId="124" r:id="rId26"/>
    <sheet name="4.1a" sheetId="27" r:id="rId27"/>
    <sheet name="4.1b" sheetId="28" r:id="rId28"/>
    <sheet name="4.1c" sheetId="29" r:id="rId29"/>
    <sheet name="4.2a" sheetId="30" r:id="rId30"/>
    <sheet name="4.2b" sheetId="31" r:id="rId31"/>
    <sheet name="4.2c" sheetId="32" r:id="rId32"/>
    <sheet name="4.3a" sheetId="33" r:id="rId33"/>
    <sheet name="4.3b" sheetId="34" r:id="rId34"/>
    <sheet name="4.3c" sheetId="35" r:id="rId35"/>
    <sheet name="4.4" sheetId="37" r:id="rId36"/>
    <sheet name="4.5" sheetId="38" r:id="rId37"/>
    <sheet name="4.6" sheetId="39" r:id="rId38"/>
    <sheet name="4.7,4.8" sheetId="40" r:id="rId39"/>
    <sheet name="5.1" sheetId="83" r:id="rId40"/>
    <sheet name="5.1a,5.1b" sheetId="46" r:id="rId41"/>
    <sheet name="5.2" sheetId="45" r:id="rId42"/>
    <sheet name="5.3" sheetId="114" r:id="rId43"/>
    <sheet name="5.3a" sheetId="49" r:id="rId44"/>
    <sheet name="5.3b,5.3c" sheetId="50" r:id="rId45"/>
    <sheet name="5.3d" sheetId="51" r:id="rId46"/>
    <sheet name="5.3e" sheetId="139" r:id="rId47"/>
    <sheet name="5.4" sheetId="53" r:id="rId48"/>
    <sheet name="5.5,5.5a" sheetId="54" r:id="rId49"/>
    <sheet name="5.6,5.7,5.8" sheetId="56" r:id="rId50"/>
    <sheet name="6.1" sheetId="59" r:id="rId51"/>
    <sheet name="6.2" sheetId="60" r:id="rId52"/>
    <sheet name="7.1" sheetId="61" r:id="rId53"/>
    <sheet name="7.2,7.3" sheetId="146" r:id="rId54"/>
    <sheet name="8.1,8.2" sheetId="65" r:id="rId55"/>
    <sheet name="8.2a" sheetId="67" r:id="rId56"/>
    <sheet name="8.3" sheetId="140" r:id="rId57"/>
    <sheet name="8.4,8.4a" sheetId="69" r:id="rId58"/>
    <sheet name="9.1" sheetId="71" r:id="rId59"/>
    <sheet name="9.2,9.2a,9.2b" sheetId="138" r:id="rId60"/>
    <sheet name="10.1,10.2" sheetId="75" r:id="rId61"/>
    <sheet name="10.3" sheetId="77" r:id="rId62"/>
    <sheet name="11.1" sheetId="85" r:id="rId63"/>
    <sheet name="11.1a,11.2" sheetId="148" r:id="rId64"/>
    <sheet name="11.1a,11.2_NR" sheetId="86" state="hidden" r:id="rId65"/>
    <sheet name="11.3,11.4" sheetId="125" r:id="rId66"/>
    <sheet name="12.1,12.2" sheetId="90" r:id="rId67"/>
    <sheet name="12.3,12.4" sheetId="126" r:id="rId68"/>
    <sheet name="12.5,12.6,12.7" sheetId="93" r:id="rId69"/>
    <sheet name="13.1" sheetId="78" r:id="rId70"/>
    <sheet name="13.2,13.3" sheetId="79" r:id="rId71"/>
    <sheet name="14.1,14.2" sheetId="81" r:id="rId72"/>
    <sheet name="15.1" sheetId="43" r:id="rId73"/>
    <sheet name="15.2" sheetId="128" r:id="rId74"/>
    <sheet name="Block_Level" sheetId="143" r:id="rId75"/>
    <sheet name="16.1" sheetId="98" r:id="rId76"/>
    <sheet name="17.1" sheetId="99" r:id="rId77"/>
    <sheet name="17.2" sheetId="100" r:id="rId78"/>
    <sheet name="18.1" sheetId="144" r:id="rId79"/>
    <sheet name="18.2" sheetId="102" r:id="rId80"/>
    <sheet name="18.3" sheetId="147" r:id="rId81"/>
    <sheet name="19.1" sheetId="104" r:id="rId82"/>
    <sheet name="20.1" sheetId="105" r:id="rId83"/>
    <sheet name="20.2" sheetId="129" r:id="rId84"/>
    <sheet name="21.1" sheetId="107" r:id="rId85"/>
    <sheet name="21.2" sheetId="131" r:id="rId86"/>
    <sheet name="District" sheetId="12" r:id="rId87"/>
  </sheets>
  <externalReferences>
    <externalReference r:id="rId88"/>
    <externalReference r:id="rId89"/>
    <externalReference r:id="rId90"/>
  </externalReferences>
  <definedNames>
    <definedName name="_xlnm.Print_Area" localSheetId="62">'11.1'!$A$1:$F$33</definedName>
    <definedName name="s" localSheetId="7">'[1]2.11'!#REF!</definedName>
    <definedName name="s">'[1]2.11'!#REF!</definedName>
    <definedName name="ss" localSheetId="7">'[1]2.11'!#REF!</definedName>
    <definedName name="ss">'[1]2.11'!#REF!</definedName>
    <definedName name="Table2.1" localSheetId="63">#REF!</definedName>
    <definedName name="Table2.1" localSheetId="78">'[2]2.11'!#REF!</definedName>
    <definedName name="Table2.1" localSheetId="7">'2.11'!#REF!</definedName>
    <definedName name="Table2.1" localSheetId="59">'[3]2.11'!#REF!</definedName>
    <definedName name="Table2.1" localSheetId="74">'[1]2.11'!#REF!</definedName>
    <definedName name="Table2.1">'2.11'!#REF!</definedName>
    <definedName name="Table2.10" localSheetId="7">#REF!</definedName>
    <definedName name="Table2.10">#REF!</definedName>
    <definedName name="Table2.10a" localSheetId="63">#REF!</definedName>
    <definedName name="Table2.10a" localSheetId="78">'[2]2.11'!#REF!</definedName>
    <definedName name="Table2.10a" localSheetId="7">'2.11'!#REF!</definedName>
    <definedName name="Table2.10a" localSheetId="59">'[3]2.11'!#REF!</definedName>
    <definedName name="Table2.10a" localSheetId="74">'[1]2.11'!#REF!</definedName>
    <definedName name="Table2.10a">'2.11'!#REF!</definedName>
    <definedName name="Table2.2" localSheetId="7">#REF!</definedName>
    <definedName name="Table2.2">#REF!</definedName>
    <definedName name="Table2.3">'2.3'!$A$4:$I$16</definedName>
    <definedName name="Table2.4b" localSheetId="12">'2.4b'!$A$7:$J$33</definedName>
    <definedName name="Table2.4b">'2.4a'!$A$7:$J$33</definedName>
    <definedName name="table2.7">'2.7'!$A$8:$R$34</definedName>
    <definedName name="xx" localSheetId="7">'[1]2.11'!#REF!</definedName>
    <definedName name="xx">'[1]2.11'!#REF!</definedName>
    <definedName name="yy" localSheetId="7">'[1]2.11'!#REF!</definedName>
    <definedName name="yy">'[1]2.11'!#REF!</definedName>
  </definedNames>
  <calcPr calcId="124519"/>
</workbook>
</file>

<file path=xl/calcChain.xml><?xml version="1.0" encoding="utf-8"?>
<calcChain xmlns="http://schemas.openxmlformats.org/spreadsheetml/2006/main">
  <c r="N19" i="138"/>
  <c r="M19"/>
  <c r="L19"/>
  <c r="K19"/>
  <c r="N18"/>
  <c r="M18"/>
  <c r="L18"/>
  <c r="K18"/>
  <c r="N8"/>
  <c r="M8"/>
  <c r="L8"/>
  <c r="K8"/>
  <c r="L25" i="46"/>
  <c r="L24"/>
  <c r="L23"/>
  <c r="L22"/>
  <c r="L21"/>
  <c r="D63" i="1"/>
  <c r="D64"/>
  <c r="D60"/>
  <c r="D15" l="1"/>
  <c r="D14"/>
  <c r="D13"/>
  <c r="D11"/>
  <c r="D10"/>
  <c r="D9"/>
  <c r="D8"/>
  <c r="D7"/>
  <c r="D6"/>
  <c r="A2" i="38"/>
  <c r="E11" i="146" l="1"/>
  <c r="R11"/>
  <c r="Q11"/>
  <c r="M11"/>
  <c r="I11"/>
  <c r="C19" i="140"/>
  <c r="D19"/>
  <c r="E19"/>
  <c r="F19"/>
  <c r="G19"/>
  <c r="H19"/>
  <c r="I19"/>
  <c r="J19"/>
  <c r="K19"/>
  <c r="J20" i="138"/>
  <c r="I20"/>
  <c r="F20"/>
  <c r="E20"/>
  <c r="H20"/>
  <c r="G20"/>
  <c r="D20"/>
  <c r="C20"/>
  <c r="J9"/>
  <c r="I9"/>
  <c r="F9"/>
  <c r="N9" s="1"/>
  <c r="E9"/>
  <c r="H9"/>
  <c r="G9"/>
  <c r="D9"/>
  <c r="C9"/>
  <c r="D9" i="90"/>
  <c r="D11"/>
  <c r="C22" i="65"/>
  <c r="D22"/>
  <c r="E22"/>
  <c r="C30"/>
  <c r="D30"/>
  <c r="E30"/>
  <c r="C38"/>
  <c r="D38"/>
  <c r="E38"/>
  <c r="C45"/>
  <c r="D45"/>
  <c r="E45"/>
  <c r="B38"/>
  <c r="B30"/>
  <c r="B22"/>
  <c r="G27" i="151"/>
  <c r="G17"/>
  <c r="G8"/>
  <c r="F26" i="59"/>
  <c r="E26"/>
  <c r="D26"/>
  <c r="C26"/>
  <c r="F15"/>
  <c r="E15"/>
  <c r="D15"/>
  <c r="C15"/>
  <c r="F10"/>
  <c r="F21" s="1"/>
  <c r="E10"/>
  <c r="E21" s="1"/>
  <c r="D10"/>
  <c r="D21" s="1"/>
  <c r="C10"/>
  <c r="C21" s="1"/>
  <c r="R34" i="151"/>
  <c r="R33"/>
  <c r="R32"/>
  <c r="R31"/>
  <c r="R30"/>
  <c r="R29"/>
  <c r="R28"/>
  <c r="R27" s="1"/>
  <c r="P27"/>
  <c r="P35" s="1"/>
  <c r="M27"/>
  <c r="M35" s="1"/>
  <c r="L27"/>
  <c r="L35" s="1"/>
  <c r="I27"/>
  <c r="I35" s="1"/>
  <c r="H27"/>
  <c r="F27"/>
  <c r="F35" s="1"/>
  <c r="E27"/>
  <c r="E35" s="1"/>
  <c r="D27"/>
  <c r="D35" s="1"/>
  <c r="R26"/>
  <c r="R24"/>
  <c r="R23"/>
  <c r="R22"/>
  <c r="R21"/>
  <c r="R20"/>
  <c r="R19"/>
  <c r="R18"/>
  <c r="R17" s="1"/>
  <c r="P17"/>
  <c r="M17"/>
  <c r="L17"/>
  <c r="I17"/>
  <c r="H17"/>
  <c r="F17"/>
  <c r="E17"/>
  <c r="D17"/>
  <c r="R16"/>
  <c r="R15"/>
  <c r="R14"/>
  <c r="R13"/>
  <c r="R12"/>
  <c r="R11"/>
  <c r="R10"/>
  <c r="R9"/>
  <c r="R8" s="1"/>
  <c r="P8"/>
  <c r="M8"/>
  <c r="L8"/>
  <c r="I8"/>
  <c r="H8"/>
  <c r="F8"/>
  <c r="E8"/>
  <c r="D8"/>
  <c r="A2"/>
  <c r="J25" i="37"/>
  <c r="Q26" i="102"/>
  <c r="Q9"/>
  <c r="Q10"/>
  <c r="Q11"/>
  <c r="Q12"/>
  <c r="Q13"/>
  <c r="Q14"/>
  <c r="Q15"/>
  <c r="Q16"/>
  <c r="Q17"/>
  <c r="Q18"/>
  <c r="Q19"/>
  <c r="Q20"/>
  <c r="Q21"/>
  <c r="Q22"/>
  <c r="Q23"/>
  <c r="Q24"/>
  <c r="Q25"/>
  <c r="Q8"/>
  <c r="Q7"/>
  <c r="P26"/>
  <c r="P9"/>
  <c r="P10"/>
  <c r="P11"/>
  <c r="P12"/>
  <c r="P13"/>
  <c r="P14"/>
  <c r="P15"/>
  <c r="P16"/>
  <c r="P17"/>
  <c r="P18"/>
  <c r="P19"/>
  <c r="P20"/>
  <c r="P21"/>
  <c r="P22"/>
  <c r="P23"/>
  <c r="P24"/>
  <c r="P25"/>
  <c r="P8"/>
  <c r="P7"/>
  <c r="N14" i="30"/>
  <c r="B21" i="39"/>
  <c r="L9" i="43"/>
  <c r="L8"/>
  <c r="L7"/>
  <c r="L6"/>
  <c r="H30" i="79"/>
  <c r="F30"/>
  <c r="D30"/>
  <c r="B30"/>
  <c r="J10"/>
  <c r="I10"/>
  <c r="H10"/>
  <c r="G10"/>
  <c r="E10"/>
  <c r="D10"/>
  <c r="C10"/>
  <c r="B10"/>
  <c r="J32" i="78"/>
  <c r="I32"/>
  <c r="H32"/>
  <c r="G32"/>
  <c r="E32"/>
  <c r="D32"/>
  <c r="C32"/>
  <c r="B32"/>
  <c r="J16"/>
  <c r="I16"/>
  <c r="H16"/>
  <c r="G16"/>
  <c r="E16"/>
  <c r="D16"/>
  <c r="C16"/>
  <c r="B16"/>
  <c r="K27" i="126"/>
  <c r="K26"/>
  <c r="K25"/>
  <c r="K24"/>
  <c r="I6"/>
  <c r="I7"/>
  <c r="I8"/>
  <c r="K25" i="90"/>
  <c r="M10"/>
  <c r="J10"/>
  <c r="G10"/>
  <c r="M9"/>
  <c r="J9"/>
  <c r="G9"/>
  <c r="M8"/>
  <c r="J8"/>
  <c r="G8"/>
  <c r="D8"/>
  <c r="M7"/>
  <c r="J7"/>
  <c r="G7"/>
  <c r="D7"/>
  <c r="E18" i="125"/>
  <c r="D18"/>
  <c r="C18"/>
  <c r="B18"/>
  <c r="F13" i="75"/>
  <c r="E13"/>
  <c r="D13"/>
  <c r="C13"/>
  <c r="J9" i="67"/>
  <c r="J8"/>
  <c r="J7"/>
  <c r="J6"/>
  <c r="F10" i="65"/>
  <c r="D10"/>
  <c r="Q10" i="146"/>
  <c r="M10"/>
  <c r="I10"/>
  <c r="E10"/>
  <c r="Q9"/>
  <c r="M9"/>
  <c r="I9"/>
  <c r="E9"/>
  <c r="E9" i="56"/>
  <c r="E8"/>
  <c r="E7"/>
  <c r="E6"/>
  <c r="K10" i="54"/>
  <c r="K9"/>
  <c r="K8"/>
  <c r="K7"/>
  <c r="F14" i="53"/>
  <c r="E14"/>
  <c r="D14"/>
  <c r="C14"/>
  <c r="K30" i="51"/>
  <c r="J30"/>
  <c r="I30"/>
  <c r="H30"/>
  <c r="K18"/>
  <c r="J18"/>
  <c r="I18"/>
  <c r="H18"/>
  <c r="F30"/>
  <c r="E30"/>
  <c r="D30"/>
  <c r="C30"/>
  <c r="F18"/>
  <c r="E18"/>
  <c r="D18"/>
  <c r="C18"/>
  <c r="F38" i="114"/>
  <c r="E38"/>
  <c r="D38"/>
  <c r="C38"/>
  <c r="F30"/>
  <c r="E30"/>
  <c r="D30"/>
  <c r="C30"/>
  <c r="F25"/>
  <c r="E25"/>
  <c r="D25"/>
  <c r="C25"/>
  <c r="F7"/>
  <c r="F15"/>
  <c r="F19"/>
  <c r="F20"/>
  <c r="E7"/>
  <c r="E15"/>
  <c r="E19"/>
  <c r="E20"/>
  <c r="D7"/>
  <c r="D15"/>
  <c r="D19"/>
  <c r="D20" s="1"/>
  <c r="C7"/>
  <c r="C15" s="1"/>
  <c r="C20" s="1"/>
  <c r="C19"/>
  <c r="G38" i="45"/>
  <c r="F38"/>
  <c r="E38"/>
  <c r="D38"/>
  <c r="C38"/>
  <c r="F30"/>
  <c r="E30"/>
  <c r="D30"/>
  <c r="C30"/>
  <c r="F25"/>
  <c r="E25"/>
  <c r="D25"/>
  <c r="C25"/>
  <c r="F7"/>
  <c r="F15" s="1"/>
  <c r="F20" s="1"/>
  <c r="F19"/>
  <c r="E7"/>
  <c r="E15" s="1"/>
  <c r="E20" s="1"/>
  <c r="E19"/>
  <c r="D7"/>
  <c r="D15" s="1"/>
  <c r="D20" s="1"/>
  <c r="D19"/>
  <c r="C7"/>
  <c r="C15" s="1"/>
  <c r="C20" s="1"/>
  <c r="C19"/>
  <c r="B9" i="83"/>
  <c r="B8"/>
  <c r="B7"/>
  <c r="B6"/>
  <c r="G47" i="40"/>
  <c r="G46"/>
  <c r="G45"/>
  <c r="F29"/>
  <c r="D29"/>
  <c r="F11"/>
  <c r="H19" i="35"/>
  <c r="G19"/>
  <c r="F19"/>
  <c r="E19"/>
  <c r="H8" i="34"/>
  <c r="H13"/>
  <c r="H7"/>
  <c r="H18"/>
  <c r="H25"/>
  <c r="H17"/>
  <c r="H35"/>
  <c r="G8"/>
  <c r="G13"/>
  <c r="G7"/>
  <c r="G18"/>
  <c r="G25"/>
  <c r="G17"/>
  <c r="G35"/>
  <c r="F8"/>
  <c r="F13"/>
  <c r="F7" s="1"/>
  <c r="F18"/>
  <c r="F25"/>
  <c r="F17" s="1"/>
  <c r="E8"/>
  <c r="E13"/>
  <c r="E7"/>
  <c r="E18"/>
  <c r="E25"/>
  <c r="E17"/>
  <c r="E35"/>
  <c r="H23" i="33"/>
  <c r="G23"/>
  <c r="F23"/>
  <c r="E23"/>
  <c r="H18"/>
  <c r="G18"/>
  <c r="F18"/>
  <c r="E18"/>
  <c r="H13"/>
  <c r="G13"/>
  <c r="F13"/>
  <c r="E13"/>
  <c r="H8"/>
  <c r="G8"/>
  <c r="F8"/>
  <c r="E8"/>
  <c r="H7"/>
  <c r="G7"/>
  <c r="F7"/>
  <c r="E7"/>
  <c r="L20" i="32"/>
  <c r="K20"/>
  <c r="J20"/>
  <c r="I20"/>
  <c r="H20"/>
  <c r="G20"/>
  <c r="F20"/>
  <c r="E20"/>
  <c r="L9" i="31"/>
  <c r="L14"/>
  <c r="L8"/>
  <c r="L19"/>
  <c r="L26"/>
  <c r="L18" s="1"/>
  <c r="L36" s="1"/>
  <c r="K9"/>
  <c r="K14"/>
  <c r="K8" s="1"/>
  <c r="K36" s="1"/>
  <c r="K19"/>
  <c r="K26"/>
  <c r="K18"/>
  <c r="J9"/>
  <c r="J14"/>
  <c r="J8"/>
  <c r="J19"/>
  <c r="J26"/>
  <c r="J18" s="1"/>
  <c r="J36" s="1"/>
  <c r="I9"/>
  <c r="I14"/>
  <c r="I8" s="1"/>
  <c r="I36" s="1"/>
  <c r="I19"/>
  <c r="I26"/>
  <c r="I18"/>
  <c r="H9"/>
  <c r="H14"/>
  <c r="H8"/>
  <c r="H19"/>
  <c r="H26"/>
  <c r="H18" s="1"/>
  <c r="H36" s="1"/>
  <c r="G9"/>
  <c r="G14"/>
  <c r="G8"/>
  <c r="G19"/>
  <c r="G26"/>
  <c r="G18"/>
  <c r="G36"/>
  <c r="F9"/>
  <c r="F14"/>
  <c r="F8"/>
  <c r="F19"/>
  <c r="F26"/>
  <c r="F18"/>
  <c r="F36"/>
  <c r="E9"/>
  <c r="E14"/>
  <c r="E8"/>
  <c r="E19"/>
  <c r="E26"/>
  <c r="E18"/>
  <c r="E36"/>
  <c r="F29"/>
  <c r="E29"/>
  <c r="L24" i="30"/>
  <c r="K24"/>
  <c r="J24"/>
  <c r="I24"/>
  <c r="H24"/>
  <c r="G24"/>
  <c r="F24"/>
  <c r="E24"/>
  <c r="L19"/>
  <c r="K19"/>
  <c r="J19"/>
  <c r="I19"/>
  <c r="H19"/>
  <c r="G19"/>
  <c r="F19"/>
  <c r="E19"/>
  <c r="L14"/>
  <c r="K14"/>
  <c r="J14"/>
  <c r="I14"/>
  <c r="H14"/>
  <c r="G14"/>
  <c r="F14"/>
  <c r="E14"/>
  <c r="L9"/>
  <c r="K9"/>
  <c r="J9"/>
  <c r="I9"/>
  <c r="H9"/>
  <c r="G9"/>
  <c r="F9"/>
  <c r="E9"/>
  <c r="L8"/>
  <c r="K8"/>
  <c r="J8"/>
  <c r="I8"/>
  <c r="H8"/>
  <c r="G8"/>
  <c r="F8"/>
  <c r="E8"/>
  <c r="H19" i="29"/>
  <c r="G19"/>
  <c r="F19"/>
  <c r="E19"/>
  <c r="H8" i="28"/>
  <c r="H13"/>
  <c r="H7"/>
  <c r="H18"/>
  <c r="H25"/>
  <c r="H28"/>
  <c r="H17"/>
  <c r="H35"/>
  <c r="G8"/>
  <c r="G13"/>
  <c r="G7" s="1"/>
  <c r="G18"/>
  <c r="G25"/>
  <c r="G28"/>
  <c r="G17" s="1"/>
  <c r="F8"/>
  <c r="F13"/>
  <c r="F7" s="1"/>
  <c r="F35" s="1"/>
  <c r="F18"/>
  <c r="F25"/>
  <c r="F28"/>
  <c r="F17" s="1"/>
  <c r="E8"/>
  <c r="E13"/>
  <c r="E7" s="1"/>
  <c r="E18"/>
  <c r="E25"/>
  <c r="E28"/>
  <c r="E17" s="1"/>
  <c r="G23" i="27"/>
  <c r="F23"/>
  <c r="E23"/>
  <c r="H18"/>
  <c r="G18"/>
  <c r="F18"/>
  <c r="E18"/>
  <c r="H13"/>
  <c r="G13"/>
  <c r="F13"/>
  <c r="E13"/>
  <c r="H8"/>
  <c r="G8"/>
  <c r="F8"/>
  <c r="E8"/>
  <c r="H7"/>
  <c r="G7"/>
  <c r="F7"/>
  <c r="E7"/>
  <c r="E38" i="124"/>
  <c r="E37"/>
  <c r="E36"/>
  <c r="E35"/>
  <c r="E34"/>
  <c r="E33"/>
  <c r="E32"/>
  <c r="E30"/>
  <c r="E29"/>
  <c r="E28"/>
  <c r="E27"/>
  <c r="E26"/>
  <c r="E25"/>
  <c r="E24"/>
  <c r="E23"/>
  <c r="E20"/>
  <c r="E19"/>
  <c r="E18"/>
  <c r="E17"/>
  <c r="E16"/>
  <c r="E15"/>
  <c r="E14"/>
  <c r="D37" i="26"/>
  <c r="D36"/>
  <c r="D35"/>
  <c r="D34"/>
  <c r="D33"/>
  <c r="D32"/>
  <c r="D31"/>
  <c r="D29"/>
  <c r="D28"/>
  <c r="D27"/>
  <c r="D26"/>
  <c r="D25"/>
  <c r="D24"/>
  <c r="D23"/>
  <c r="D22"/>
  <c r="D19"/>
  <c r="D18"/>
  <c r="D17"/>
  <c r="D16"/>
  <c r="D15"/>
  <c r="D14"/>
  <c r="D13"/>
  <c r="F14" i="133"/>
  <c r="F13"/>
  <c r="F12"/>
  <c r="F11"/>
  <c r="F10"/>
  <c r="F9"/>
  <c r="F8"/>
  <c r="F7"/>
  <c r="I19" i="4"/>
  <c r="H19"/>
  <c r="G19"/>
  <c r="F19"/>
  <c r="E19"/>
  <c r="D19"/>
  <c r="C19"/>
  <c r="B19"/>
  <c r="G27" i="2"/>
  <c r="F27"/>
  <c r="E27"/>
  <c r="D27"/>
  <c r="E10" i="126"/>
  <c r="D80" i="1" s="1"/>
  <c r="B61"/>
  <c r="D61"/>
  <c r="G19" i="45"/>
  <c r="J40" i="23"/>
  <c r="A2" i="131"/>
  <c r="A2" i="107"/>
  <c r="A2" i="129"/>
  <c r="A2" i="105"/>
  <c r="E6"/>
  <c r="E7"/>
  <c r="E8"/>
  <c r="E9"/>
  <c r="E10"/>
  <c r="E11"/>
  <c r="E12"/>
  <c r="E13"/>
  <c r="E14"/>
  <c r="E15"/>
  <c r="E16"/>
  <c r="E17"/>
  <c r="E18"/>
  <c r="E19"/>
  <c r="E20"/>
  <c r="E21"/>
  <c r="E22"/>
  <c r="E23"/>
  <c r="E24"/>
  <c r="E25"/>
  <c r="A2" i="104"/>
  <c r="A2" i="147"/>
  <c r="A2" i="102"/>
  <c r="A2" i="144"/>
  <c r="A2" i="100"/>
  <c r="A8"/>
  <c r="A9" s="1"/>
  <c r="A10" s="1"/>
  <c r="A11" s="1"/>
  <c r="A12" s="1"/>
  <c r="A13" s="1"/>
  <c r="A14" s="1"/>
  <c r="A15" s="1"/>
  <c r="A16" s="1"/>
  <c r="A17" s="1"/>
  <c r="A18" s="1"/>
  <c r="A19" s="1"/>
  <c r="A20" s="1"/>
  <c r="A21" s="1"/>
  <c r="A22" s="1"/>
  <c r="A23" s="1"/>
  <c r="A24" s="1"/>
  <c r="A25" s="1"/>
  <c r="A26" s="1"/>
  <c r="A2" i="99"/>
  <c r="K7"/>
  <c r="M7"/>
  <c r="R7"/>
  <c r="G7" s="1"/>
  <c r="K8"/>
  <c r="M8"/>
  <c r="O8"/>
  <c r="R8"/>
  <c r="Q8" s="1"/>
  <c r="O9"/>
  <c r="R9"/>
  <c r="G9"/>
  <c r="M10"/>
  <c r="O10"/>
  <c r="Q10"/>
  <c r="R10"/>
  <c r="I10" s="1"/>
  <c r="E10"/>
  <c r="M11"/>
  <c r="R11"/>
  <c r="G11" s="1"/>
  <c r="O12"/>
  <c r="Q12"/>
  <c r="R12"/>
  <c r="I12" s="1"/>
  <c r="G12"/>
  <c r="O13"/>
  <c r="R13"/>
  <c r="G13" s="1"/>
  <c r="E14"/>
  <c r="K14"/>
  <c r="M14"/>
  <c r="Q14"/>
  <c r="R14"/>
  <c r="I14" s="1"/>
  <c r="G14"/>
  <c r="R15"/>
  <c r="G15"/>
  <c r="I16"/>
  <c r="K16"/>
  <c r="M16"/>
  <c r="O16"/>
  <c r="Q16"/>
  <c r="R16"/>
  <c r="E16" s="1"/>
  <c r="S16" s="1"/>
  <c r="G16"/>
  <c r="O17"/>
  <c r="R17"/>
  <c r="G17"/>
  <c r="I18"/>
  <c r="K18"/>
  <c r="M18"/>
  <c r="O18"/>
  <c r="Q18"/>
  <c r="R18"/>
  <c r="E18" s="1"/>
  <c r="S18" s="1"/>
  <c r="G18"/>
  <c r="O19"/>
  <c r="R19"/>
  <c r="G19"/>
  <c r="I20"/>
  <c r="K20"/>
  <c r="M20"/>
  <c r="O20"/>
  <c r="Q20"/>
  <c r="R20"/>
  <c r="E20" s="1"/>
  <c r="S20" s="1"/>
  <c r="G20"/>
  <c r="O21"/>
  <c r="R21"/>
  <c r="G21"/>
  <c r="I22"/>
  <c r="K22"/>
  <c r="M22"/>
  <c r="O22"/>
  <c r="Q22"/>
  <c r="R22"/>
  <c r="E22" s="1"/>
  <c r="S22" s="1"/>
  <c r="G22"/>
  <c r="O23"/>
  <c r="R23"/>
  <c r="G23"/>
  <c r="I24"/>
  <c r="K24"/>
  <c r="M24"/>
  <c r="O24"/>
  <c r="Q24"/>
  <c r="R24"/>
  <c r="E24" s="1"/>
  <c r="S24" s="1"/>
  <c r="G24"/>
  <c r="R25"/>
  <c r="G25" s="1"/>
  <c r="I26"/>
  <c r="K26"/>
  <c r="O26"/>
  <c r="R26"/>
  <c r="M26" s="1"/>
  <c r="R27"/>
  <c r="G27"/>
  <c r="I28"/>
  <c r="Q28"/>
  <c r="R28"/>
  <c r="E28" s="1"/>
  <c r="G28"/>
  <c r="R29"/>
  <c r="G29"/>
  <c r="I30"/>
  <c r="Q30"/>
  <c r="R30"/>
  <c r="E30" s="1"/>
  <c r="G30"/>
  <c r="O31"/>
  <c r="R31"/>
  <c r="G31" s="1"/>
  <c r="E32"/>
  <c r="M32"/>
  <c r="O32"/>
  <c r="Q32"/>
  <c r="R32"/>
  <c r="I32" s="1"/>
  <c r="G32"/>
  <c r="R33"/>
  <c r="G33"/>
  <c r="I34"/>
  <c r="Q34"/>
  <c r="R34"/>
  <c r="E34" s="1"/>
  <c r="G34"/>
  <c r="R35"/>
  <c r="G35"/>
  <c r="I36"/>
  <c r="Q36"/>
  <c r="R36"/>
  <c r="E36" s="1"/>
  <c r="G36"/>
  <c r="O37"/>
  <c r="R37"/>
  <c r="G37" s="1"/>
  <c r="E38"/>
  <c r="M38"/>
  <c r="O38"/>
  <c r="Q38"/>
  <c r="R38"/>
  <c r="I38" s="1"/>
  <c r="G38"/>
  <c r="A2" i="98"/>
  <c r="A6"/>
  <c r="A7" s="1"/>
  <c r="A8" s="1"/>
  <c r="A9" s="1"/>
  <c r="A10" s="1"/>
  <c r="A11" s="1"/>
  <c r="A12" s="1"/>
  <c r="A13" s="1"/>
  <c r="A14" s="1"/>
  <c r="A15" s="1"/>
  <c r="A16" s="1"/>
  <c r="A17" s="1"/>
  <c r="A18" s="1"/>
  <c r="A19" s="1"/>
  <c r="A20" s="1"/>
  <c r="A21" s="1"/>
  <c r="A22" s="1"/>
  <c r="A23" s="1"/>
  <c r="A24" s="1"/>
  <c r="D12" i="1" s="1"/>
  <c r="A2" i="128"/>
  <c r="E11"/>
  <c r="E13"/>
  <c r="E22"/>
  <c r="E31"/>
  <c r="E10"/>
  <c r="A2" i="43"/>
  <c r="L10"/>
  <c r="A2" i="81"/>
  <c r="A14"/>
  <c r="A2" i="79"/>
  <c r="F10"/>
  <c r="K10"/>
  <c r="A14"/>
  <c r="J30"/>
  <c r="K31"/>
  <c r="A2" i="78"/>
  <c r="F16"/>
  <c r="K16"/>
  <c r="F32"/>
  <c r="K32"/>
  <c r="K33"/>
  <c r="A2" i="93"/>
  <c r="A13"/>
  <c r="A26"/>
  <c r="B2" i="126"/>
  <c r="I9"/>
  <c r="G10"/>
  <c r="I10" s="1"/>
  <c r="E11"/>
  <c r="I12"/>
  <c r="I13"/>
  <c r="I14"/>
  <c r="A19"/>
  <c r="K28"/>
  <c r="A2" i="90"/>
  <c r="G11"/>
  <c r="J11"/>
  <c r="M11"/>
  <c r="C18"/>
  <c r="A2" i="125"/>
  <c r="F18"/>
  <c r="A24"/>
  <c r="A2" i="86"/>
  <c r="A14"/>
  <c r="A2" i="148"/>
  <c r="A16"/>
  <c r="B23"/>
  <c r="A24"/>
  <c r="A2" i="85"/>
  <c r="A2" i="77"/>
  <c r="C12"/>
  <c r="C21"/>
  <c r="C30"/>
  <c r="C10"/>
  <c r="E12"/>
  <c r="E21"/>
  <c r="E30"/>
  <c r="G12"/>
  <c r="G21"/>
  <c r="G30"/>
  <c r="B11"/>
  <c r="B12"/>
  <c r="B21"/>
  <c r="B30"/>
  <c r="D12"/>
  <c r="D21"/>
  <c r="D30"/>
  <c r="F12"/>
  <c r="F21"/>
  <c r="F30"/>
  <c r="A2" i="75"/>
  <c r="G13"/>
  <c r="A17"/>
  <c r="B2" i="138"/>
  <c r="K7"/>
  <c r="L7"/>
  <c r="M7"/>
  <c r="N7"/>
  <c r="K9"/>
  <c r="L9"/>
  <c r="M9"/>
  <c r="B13"/>
  <c r="K20"/>
  <c r="L20"/>
  <c r="M20"/>
  <c r="N20"/>
  <c r="C24"/>
  <c r="A2" i="71"/>
  <c r="A2" i="69"/>
  <c r="I12"/>
  <c r="B17"/>
  <c r="B19" i="140"/>
  <c r="A2" i="67"/>
  <c r="J10"/>
  <c r="A2" i="65"/>
  <c r="A17"/>
  <c r="F22"/>
  <c r="F30"/>
  <c r="F38"/>
  <c r="A2" i="146"/>
  <c r="A20"/>
  <c r="A2" i="61"/>
  <c r="C34"/>
  <c r="C46" s="1"/>
  <c r="D34"/>
  <c r="E34"/>
  <c r="E46" s="1"/>
  <c r="F34"/>
  <c r="G34"/>
  <c r="G46" s="1"/>
  <c r="C35"/>
  <c r="D35"/>
  <c r="D47" s="1"/>
  <c r="E35"/>
  <c r="F35"/>
  <c r="F47" s="1"/>
  <c r="G35"/>
  <c r="C36"/>
  <c r="C48" s="1"/>
  <c r="D36"/>
  <c r="E36"/>
  <c r="E48" s="1"/>
  <c r="F36"/>
  <c r="G36"/>
  <c r="G48" s="1"/>
  <c r="C37"/>
  <c r="D37"/>
  <c r="D49" s="1"/>
  <c r="E37"/>
  <c r="F37"/>
  <c r="F49" s="1"/>
  <c r="G37"/>
  <c r="C38"/>
  <c r="C50" s="1"/>
  <c r="D72" i="1" s="1"/>
  <c r="D38" i="61"/>
  <c r="E38"/>
  <c r="E50" s="1"/>
  <c r="D74" i="1" s="1"/>
  <c r="F38" i="61"/>
  <c r="F50" s="1"/>
  <c r="G38"/>
  <c r="G50" s="1"/>
  <c r="D46"/>
  <c r="F46"/>
  <c r="C47"/>
  <c r="E47"/>
  <c r="G47"/>
  <c r="D48"/>
  <c r="F48"/>
  <c r="C49"/>
  <c r="E49"/>
  <c r="G49"/>
  <c r="D50"/>
  <c r="A2" i="60"/>
  <c r="B11"/>
  <c r="B12"/>
  <c r="B26"/>
  <c r="B35"/>
  <c r="C12"/>
  <c r="D12"/>
  <c r="D26"/>
  <c r="D35"/>
  <c r="E12"/>
  <c r="F12"/>
  <c r="F26"/>
  <c r="F35"/>
  <c r="G12"/>
  <c r="H12"/>
  <c r="H26"/>
  <c r="H35"/>
  <c r="I12"/>
  <c r="C26"/>
  <c r="C35"/>
  <c r="C10"/>
  <c r="E26"/>
  <c r="E35"/>
  <c r="G26"/>
  <c r="G35"/>
  <c r="I26"/>
  <c r="I35"/>
  <c r="A2" i="59"/>
  <c r="G10"/>
  <c r="G15"/>
  <c r="G21" s="1"/>
  <c r="G26"/>
  <c r="A2" i="56"/>
  <c r="E10"/>
  <c r="A14"/>
  <c r="A29"/>
  <c r="A2" i="54"/>
  <c r="C21"/>
  <c r="A2" i="53"/>
  <c r="G14"/>
  <c r="A2" i="51"/>
  <c r="G18"/>
  <c r="L18"/>
  <c r="G30"/>
  <c r="L30"/>
  <c r="A2" i="50"/>
  <c r="A19"/>
  <c r="A2" i="49"/>
  <c r="A2" i="114"/>
  <c r="G7"/>
  <c r="G15" s="1"/>
  <c r="G25"/>
  <c r="G30"/>
  <c r="G38"/>
  <c r="A2" i="45"/>
  <c r="G7"/>
  <c r="G15" s="1"/>
  <c r="G20" s="1"/>
  <c r="G25"/>
  <c r="G30"/>
  <c r="A2" i="46"/>
  <c r="B17"/>
  <c r="A2" i="83"/>
  <c r="B10"/>
  <c r="A2" i="40"/>
  <c r="B10"/>
  <c r="B11"/>
  <c r="B9" s="1"/>
  <c r="D11"/>
  <c r="D20"/>
  <c r="F20"/>
  <c r="F9" s="1"/>
  <c r="A41"/>
  <c r="B49"/>
  <c r="C49"/>
  <c r="D49"/>
  <c r="E49"/>
  <c r="F49"/>
  <c r="B50"/>
  <c r="G51"/>
  <c r="G52"/>
  <c r="G53"/>
  <c r="G54"/>
  <c r="G55"/>
  <c r="B56"/>
  <c r="C56"/>
  <c r="D56"/>
  <c r="E56"/>
  <c r="F56"/>
  <c r="G57"/>
  <c r="A2" i="39"/>
  <c r="B11"/>
  <c r="B12"/>
  <c r="B10" s="1"/>
  <c r="B30"/>
  <c r="C12"/>
  <c r="C21"/>
  <c r="C30"/>
  <c r="D12"/>
  <c r="D21"/>
  <c r="D30"/>
  <c r="C38"/>
  <c r="A2" i="37"/>
  <c r="B7"/>
  <c r="C7"/>
  <c r="D7"/>
  <c r="E7"/>
  <c r="F7"/>
  <c r="G7"/>
  <c r="H7"/>
  <c r="I7"/>
  <c r="J7"/>
  <c r="K7"/>
  <c r="L7"/>
  <c r="M7"/>
  <c r="O7"/>
  <c r="P7"/>
  <c r="Q7"/>
  <c r="R7"/>
  <c r="S7"/>
  <c r="T7"/>
  <c r="U7"/>
  <c r="V7"/>
  <c r="W7"/>
  <c r="B16"/>
  <c r="C16"/>
  <c r="D16"/>
  <c r="E16"/>
  <c r="F16"/>
  <c r="G16"/>
  <c r="H16"/>
  <c r="I16"/>
  <c r="J16"/>
  <c r="K16"/>
  <c r="L16"/>
  <c r="M16"/>
  <c r="O16"/>
  <c r="P16"/>
  <c r="Q16"/>
  <c r="R16"/>
  <c r="S16"/>
  <c r="T16"/>
  <c r="U16"/>
  <c r="V16"/>
  <c r="W16"/>
  <c r="B25"/>
  <c r="C25"/>
  <c r="D25"/>
  <c r="E25"/>
  <c r="F25"/>
  <c r="G25"/>
  <c r="H25"/>
  <c r="I25"/>
  <c r="K25"/>
  <c r="L25"/>
  <c r="M25"/>
  <c r="O25"/>
  <c r="P25"/>
  <c r="Q25"/>
  <c r="R25"/>
  <c r="S25"/>
  <c r="T25"/>
  <c r="U25"/>
  <c r="V25"/>
  <c r="W25"/>
  <c r="M33"/>
  <c r="O33"/>
  <c r="P33"/>
  <c r="Q33"/>
  <c r="R33"/>
  <c r="S33"/>
  <c r="T33"/>
  <c r="U33"/>
  <c r="V33"/>
  <c r="W33"/>
  <c r="A2" i="35"/>
  <c r="I19"/>
  <c r="A2" i="34"/>
  <c r="I13"/>
  <c r="I7"/>
  <c r="I18"/>
  <c r="I25"/>
  <c r="I17" s="1"/>
  <c r="A2" i="33"/>
  <c r="I8"/>
  <c r="I23"/>
  <c r="I13"/>
  <c r="I18"/>
  <c r="A2" i="32"/>
  <c r="M20"/>
  <c r="N20"/>
  <c r="A2" i="31"/>
  <c r="M9"/>
  <c r="M14"/>
  <c r="M8" s="1"/>
  <c r="N9"/>
  <c r="N14"/>
  <c r="N8" s="1"/>
  <c r="M19"/>
  <c r="N19"/>
  <c r="M26"/>
  <c r="N26"/>
  <c r="A2" i="30"/>
  <c r="M9"/>
  <c r="M24"/>
  <c r="M14"/>
  <c r="M19"/>
  <c r="N9"/>
  <c r="N24"/>
  <c r="N19"/>
  <c r="A2" i="29"/>
  <c r="I19"/>
  <c r="A2" i="28"/>
  <c r="I8"/>
  <c r="I13"/>
  <c r="I7" s="1"/>
  <c r="I18"/>
  <c r="I25"/>
  <c r="I17"/>
  <c r="A2" i="27"/>
  <c r="I8"/>
  <c r="I23"/>
  <c r="I13"/>
  <c r="I18"/>
  <c r="A2" i="124"/>
  <c r="B12"/>
  <c r="B13"/>
  <c r="B22"/>
  <c r="B31"/>
  <c r="C13"/>
  <c r="C22"/>
  <c r="E22" s="1"/>
  <c r="C31"/>
  <c r="D13"/>
  <c r="D22"/>
  <c r="D31"/>
  <c r="E31" s="1"/>
  <c r="A2" i="26"/>
  <c r="B11"/>
  <c r="B12"/>
  <c r="B21"/>
  <c r="B30"/>
  <c r="C12"/>
  <c r="C21"/>
  <c r="C30"/>
  <c r="A2" i="25"/>
  <c r="B11"/>
  <c r="B12"/>
  <c r="B21"/>
  <c r="B30"/>
  <c r="C12"/>
  <c r="C21"/>
  <c r="C30"/>
  <c r="C10" s="1"/>
  <c r="D12"/>
  <c r="D21"/>
  <c r="D30"/>
  <c r="E12"/>
  <c r="E21"/>
  <c r="E30"/>
  <c r="E10"/>
  <c r="F12"/>
  <c r="F21"/>
  <c r="F30"/>
  <c r="F10" s="1"/>
  <c r="A2" i="24"/>
  <c r="B12"/>
  <c r="B13"/>
  <c r="C13"/>
  <c r="C28"/>
  <c r="C37"/>
  <c r="C11"/>
  <c r="D13"/>
  <c r="F13"/>
  <c r="F28"/>
  <c r="F37"/>
  <c r="G13"/>
  <c r="G37"/>
  <c r="G28"/>
  <c r="H13"/>
  <c r="H37"/>
  <c r="H28"/>
  <c r="I13"/>
  <c r="I28"/>
  <c r="I37"/>
  <c r="E14"/>
  <c r="E15"/>
  <c r="E16"/>
  <c r="E17"/>
  <c r="E18"/>
  <c r="E13" s="1"/>
  <c r="E19"/>
  <c r="E20"/>
  <c r="B28"/>
  <c r="B11" s="1"/>
  <c r="D28"/>
  <c r="D11" s="1"/>
  <c r="E29"/>
  <c r="E30"/>
  <c r="E31"/>
  <c r="E32"/>
  <c r="E33"/>
  <c r="E34"/>
  <c r="E35"/>
  <c r="E36"/>
  <c r="E28"/>
  <c r="B37"/>
  <c r="D37"/>
  <c r="E38"/>
  <c r="E39"/>
  <c r="E40"/>
  <c r="E41"/>
  <c r="E42"/>
  <c r="E43"/>
  <c r="E44"/>
  <c r="E37"/>
  <c r="A2" i="23"/>
  <c r="B13"/>
  <c r="B14"/>
  <c r="B30"/>
  <c r="B39"/>
  <c r="B12"/>
  <c r="C14"/>
  <c r="C30"/>
  <c r="C39"/>
  <c r="C12"/>
  <c r="D14"/>
  <c r="D30"/>
  <c r="D39"/>
  <c r="D12"/>
  <c r="E14"/>
  <c r="E30"/>
  <c r="E39"/>
  <c r="F14"/>
  <c r="F30"/>
  <c r="F39"/>
  <c r="F12"/>
  <c r="G14"/>
  <c r="H14"/>
  <c r="H30"/>
  <c r="H39"/>
  <c r="H12"/>
  <c r="I14"/>
  <c r="I39"/>
  <c r="I30"/>
  <c r="I12"/>
  <c r="K14"/>
  <c r="K39"/>
  <c r="K30"/>
  <c r="L14"/>
  <c r="L30"/>
  <c r="L39"/>
  <c r="J15"/>
  <c r="J16"/>
  <c r="J17"/>
  <c r="J18"/>
  <c r="J19"/>
  <c r="J20"/>
  <c r="J21"/>
  <c r="J22"/>
  <c r="J14"/>
  <c r="G30"/>
  <c r="J31"/>
  <c r="J32"/>
  <c r="J33"/>
  <c r="J34"/>
  <c r="J35"/>
  <c r="J36"/>
  <c r="J30" s="1"/>
  <c r="J37"/>
  <c r="J38"/>
  <c r="G39"/>
  <c r="J41"/>
  <c r="J42"/>
  <c r="J43"/>
  <c r="J44"/>
  <c r="J45"/>
  <c r="J46"/>
  <c r="J39" s="1"/>
  <c r="A2" i="21"/>
  <c r="D7"/>
  <c r="G7"/>
  <c r="H7"/>
  <c r="I7"/>
  <c r="J7" s="1"/>
  <c r="D8"/>
  <c r="G8"/>
  <c r="H8"/>
  <c r="I8"/>
  <c r="J8"/>
  <c r="D9"/>
  <c r="G9"/>
  <c r="H9"/>
  <c r="I9"/>
  <c r="J9" s="1"/>
  <c r="D10"/>
  <c r="G10"/>
  <c r="H10"/>
  <c r="I10"/>
  <c r="J10"/>
  <c r="D11"/>
  <c r="G11"/>
  <c r="H11"/>
  <c r="I11"/>
  <c r="J11" s="1"/>
  <c r="D12"/>
  <c r="G12"/>
  <c r="H12"/>
  <c r="I12"/>
  <c r="J12"/>
  <c r="D13"/>
  <c r="G13"/>
  <c r="H13"/>
  <c r="I13"/>
  <c r="J13" s="1"/>
  <c r="D14"/>
  <c r="G14"/>
  <c r="H14"/>
  <c r="I14"/>
  <c r="J14"/>
  <c r="B15"/>
  <c r="C15"/>
  <c r="D15"/>
  <c r="E15"/>
  <c r="F15"/>
  <c r="G15"/>
  <c r="H15"/>
  <c r="I15"/>
  <c r="B7" i="134"/>
  <c r="C7"/>
  <c r="E7"/>
  <c r="F7"/>
  <c r="H7"/>
  <c r="I7"/>
  <c r="K7"/>
  <c r="L7"/>
  <c r="O7"/>
  <c r="P7"/>
  <c r="R7"/>
  <c r="S7"/>
  <c r="U7"/>
  <c r="V7"/>
  <c r="X7"/>
  <c r="Y7"/>
  <c r="D8"/>
  <c r="G8"/>
  <c r="J8"/>
  <c r="T8"/>
  <c r="W8"/>
  <c r="Z8"/>
  <c r="AA8"/>
  <c r="AA7" s="1"/>
  <c r="AB8"/>
  <c r="AB7" s="1"/>
  <c r="D9"/>
  <c r="D7" s="1"/>
  <c r="G9"/>
  <c r="G7" s="1"/>
  <c r="J9"/>
  <c r="J7" s="1"/>
  <c r="M9"/>
  <c r="Q9"/>
  <c r="W9"/>
  <c r="W7" s="1"/>
  <c r="Z9"/>
  <c r="Z7" s="1"/>
  <c r="AA9"/>
  <c r="AB9"/>
  <c r="AC9" s="1"/>
  <c r="D10"/>
  <c r="G10"/>
  <c r="J10"/>
  <c r="M10"/>
  <c r="M7" s="1"/>
  <c r="T10"/>
  <c r="T7" s="1"/>
  <c r="W10"/>
  <c r="Z10"/>
  <c r="AA10"/>
  <c r="AB10"/>
  <c r="AC10" s="1"/>
  <c r="D11"/>
  <c r="G11"/>
  <c r="J11"/>
  <c r="M11"/>
  <c r="Q11"/>
  <c r="Q7" s="1"/>
  <c r="W11"/>
  <c r="Z11"/>
  <c r="AA11"/>
  <c r="AB11"/>
  <c r="AC11" s="1"/>
  <c r="D12"/>
  <c r="G12"/>
  <c r="J12"/>
  <c r="M12"/>
  <c r="Q12"/>
  <c r="T12"/>
  <c r="W12"/>
  <c r="Z12"/>
  <c r="AA12"/>
  <c r="AB12"/>
  <c r="AC12"/>
  <c r="D13"/>
  <c r="G13"/>
  <c r="J13"/>
  <c r="M13"/>
  <c r="Q13"/>
  <c r="W13"/>
  <c r="Z13"/>
  <c r="AA13"/>
  <c r="AB13"/>
  <c r="AC13"/>
  <c r="D14"/>
  <c r="G14"/>
  <c r="J14"/>
  <c r="M14"/>
  <c r="Q14"/>
  <c r="W14"/>
  <c r="Z14"/>
  <c r="AA14"/>
  <c r="AB14"/>
  <c r="AC14"/>
  <c r="D15"/>
  <c r="G15"/>
  <c r="J15"/>
  <c r="M15"/>
  <c r="T15"/>
  <c r="W15"/>
  <c r="Z15"/>
  <c r="AA15"/>
  <c r="AB15"/>
  <c r="AC15"/>
  <c r="B16"/>
  <c r="C16"/>
  <c r="E16"/>
  <c r="F16"/>
  <c r="H16"/>
  <c r="I16"/>
  <c r="K16"/>
  <c r="L16"/>
  <c r="O16"/>
  <c r="P16"/>
  <c r="R16"/>
  <c r="S16"/>
  <c r="U16"/>
  <c r="V16"/>
  <c r="X16"/>
  <c r="Y16"/>
  <c r="D17"/>
  <c r="G17"/>
  <c r="J17"/>
  <c r="M17"/>
  <c r="Q17"/>
  <c r="W17"/>
  <c r="Z17"/>
  <c r="AA17"/>
  <c r="AB17"/>
  <c r="AB16" s="1"/>
  <c r="AC17"/>
  <c r="D18"/>
  <c r="D16" s="1"/>
  <c r="G18"/>
  <c r="G16" s="1"/>
  <c r="J18"/>
  <c r="J16" s="1"/>
  <c r="M18"/>
  <c r="M16" s="1"/>
  <c r="Q18"/>
  <c r="Q16" s="1"/>
  <c r="W18"/>
  <c r="W16" s="1"/>
  <c r="Z18"/>
  <c r="Z16" s="1"/>
  <c r="AA18"/>
  <c r="AA16" s="1"/>
  <c r="AB18"/>
  <c r="AC18"/>
  <c r="D19"/>
  <c r="G19"/>
  <c r="J19"/>
  <c r="M19"/>
  <c r="Q19"/>
  <c r="W19"/>
  <c r="Z19"/>
  <c r="AA19"/>
  <c r="AB19"/>
  <c r="AC19"/>
  <c r="D20"/>
  <c r="G20"/>
  <c r="J20"/>
  <c r="M20"/>
  <c r="W20"/>
  <c r="Z20"/>
  <c r="AA20"/>
  <c r="AB20"/>
  <c r="AC20" s="1"/>
  <c r="D21"/>
  <c r="G21"/>
  <c r="J21"/>
  <c r="M21"/>
  <c r="Q21"/>
  <c r="T21"/>
  <c r="W21"/>
  <c r="Z21"/>
  <c r="AA21"/>
  <c r="AB21"/>
  <c r="AC21" s="1"/>
  <c r="D22"/>
  <c r="G22"/>
  <c r="J22"/>
  <c r="M22"/>
  <c r="Q22"/>
  <c r="T22"/>
  <c r="T16" s="1"/>
  <c r="W22"/>
  <c r="Z22"/>
  <c r="AA22"/>
  <c r="AB22"/>
  <c r="AC22"/>
  <c r="D23"/>
  <c r="G23"/>
  <c r="J23"/>
  <c r="M23"/>
  <c r="Q23"/>
  <c r="T23"/>
  <c r="W23"/>
  <c r="Z23"/>
  <c r="AA23"/>
  <c r="AB23"/>
  <c r="AC23"/>
  <c r="D24"/>
  <c r="G24"/>
  <c r="J24"/>
  <c r="M24"/>
  <c r="Q24"/>
  <c r="T24"/>
  <c r="W24"/>
  <c r="Z24"/>
  <c r="AA24"/>
  <c r="AB24"/>
  <c r="AC24"/>
  <c r="B25"/>
  <c r="C25"/>
  <c r="E25"/>
  <c r="F25"/>
  <c r="H25"/>
  <c r="I25"/>
  <c r="K25"/>
  <c r="L25"/>
  <c r="O25"/>
  <c r="P25"/>
  <c r="R25"/>
  <c r="S25"/>
  <c r="U25"/>
  <c r="V25"/>
  <c r="X25"/>
  <c r="Y25"/>
  <c r="D26"/>
  <c r="D25" s="1"/>
  <c r="G26"/>
  <c r="J26"/>
  <c r="M26"/>
  <c r="Q26"/>
  <c r="T26"/>
  <c r="W26"/>
  <c r="Z26"/>
  <c r="AA26"/>
  <c r="AB26"/>
  <c r="AB25" s="1"/>
  <c r="D27"/>
  <c r="G27"/>
  <c r="G25" s="1"/>
  <c r="J27"/>
  <c r="J25" s="1"/>
  <c r="M27"/>
  <c r="M25" s="1"/>
  <c r="Q27"/>
  <c r="Q25" s="1"/>
  <c r="W27"/>
  <c r="W25" s="1"/>
  <c r="Z27"/>
  <c r="Z25" s="1"/>
  <c r="AA27"/>
  <c r="AA25" s="1"/>
  <c r="AB27"/>
  <c r="AC27" s="1"/>
  <c r="D28"/>
  <c r="G28"/>
  <c r="J28"/>
  <c r="M28"/>
  <c r="Q28"/>
  <c r="T28"/>
  <c r="T25" s="1"/>
  <c r="W28"/>
  <c r="Z28"/>
  <c r="AA28"/>
  <c r="AB28"/>
  <c r="AC28"/>
  <c r="D29"/>
  <c r="G29"/>
  <c r="J29"/>
  <c r="M29"/>
  <c r="Q29"/>
  <c r="T29"/>
  <c r="W29"/>
  <c r="Z29"/>
  <c r="AA29"/>
  <c r="AB29"/>
  <c r="AC29" s="1"/>
  <c r="D30"/>
  <c r="G30"/>
  <c r="J30"/>
  <c r="M30"/>
  <c r="Q30"/>
  <c r="T30"/>
  <c r="W30"/>
  <c r="Z30"/>
  <c r="AA30"/>
  <c r="AB30"/>
  <c r="AC30"/>
  <c r="D31"/>
  <c r="G31"/>
  <c r="J31"/>
  <c r="M31"/>
  <c r="T31"/>
  <c r="W31"/>
  <c r="Z31"/>
  <c r="AA31"/>
  <c r="AB31"/>
  <c r="AC31"/>
  <c r="D32"/>
  <c r="G32"/>
  <c r="J32"/>
  <c r="M32"/>
  <c r="Q32"/>
  <c r="W32"/>
  <c r="Z32"/>
  <c r="AA32"/>
  <c r="AB32"/>
  <c r="AC32"/>
  <c r="B33"/>
  <c r="C33"/>
  <c r="E33"/>
  <c r="F33"/>
  <c r="H33"/>
  <c r="I33"/>
  <c r="K33"/>
  <c r="L33"/>
  <c r="O33"/>
  <c r="P33"/>
  <c r="R33"/>
  <c r="S33"/>
  <c r="U33"/>
  <c r="V33"/>
  <c r="X33"/>
  <c r="Y33"/>
  <c r="A2" i="19"/>
  <c r="B7"/>
  <c r="C7"/>
  <c r="D7"/>
  <c r="E7"/>
  <c r="F7"/>
  <c r="G7" s="1"/>
  <c r="D8"/>
  <c r="G8"/>
  <c r="D9"/>
  <c r="G9"/>
  <c r="D10"/>
  <c r="G10"/>
  <c r="D11"/>
  <c r="G11"/>
  <c r="D12"/>
  <c r="G12"/>
  <c r="D13"/>
  <c r="G13"/>
  <c r="D14"/>
  <c r="G14"/>
  <c r="D15"/>
  <c r="G15"/>
  <c r="B16"/>
  <c r="C16"/>
  <c r="D16"/>
  <c r="E16"/>
  <c r="F16"/>
  <c r="G16" s="1"/>
  <c r="D17"/>
  <c r="G17"/>
  <c r="D18"/>
  <c r="G18"/>
  <c r="D19"/>
  <c r="G19"/>
  <c r="D20"/>
  <c r="G20"/>
  <c r="D21"/>
  <c r="G21"/>
  <c r="D22"/>
  <c r="G22"/>
  <c r="D23"/>
  <c r="G23"/>
  <c r="D24"/>
  <c r="G24"/>
  <c r="B25"/>
  <c r="C25"/>
  <c r="D25"/>
  <c r="E25"/>
  <c r="F25"/>
  <c r="G25" s="1"/>
  <c r="D26"/>
  <c r="G26"/>
  <c r="D27"/>
  <c r="G27"/>
  <c r="D28"/>
  <c r="G28"/>
  <c r="D29"/>
  <c r="G29"/>
  <c r="D30"/>
  <c r="G30"/>
  <c r="D31"/>
  <c r="G31"/>
  <c r="D32"/>
  <c r="G32"/>
  <c r="B34"/>
  <c r="C34"/>
  <c r="E34"/>
  <c r="F34"/>
  <c r="D35"/>
  <c r="D34" s="1"/>
  <c r="G35"/>
  <c r="G34" s="1"/>
  <c r="D36"/>
  <c r="G36"/>
  <c r="A40"/>
  <c r="B53"/>
  <c r="C45"/>
  <c r="E53"/>
  <c r="F52"/>
  <c r="A2" i="18"/>
  <c r="F9"/>
  <c r="F10"/>
  <c r="D11"/>
  <c r="E11"/>
  <c r="F11"/>
  <c r="F13"/>
  <c r="F14"/>
  <c r="D15"/>
  <c r="E15"/>
  <c r="F15" s="1"/>
  <c r="F17"/>
  <c r="G17" s="1"/>
  <c r="F18"/>
  <c r="G18" s="1"/>
  <c r="D19"/>
  <c r="E19"/>
  <c r="F19"/>
  <c r="D21"/>
  <c r="E21"/>
  <c r="F21"/>
  <c r="G9"/>
  <c r="D22"/>
  <c r="E22"/>
  <c r="F22"/>
  <c r="G10"/>
  <c r="D23"/>
  <c r="E23"/>
  <c r="F30"/>
  <c r="F31"/>
  <c r="D32"/>
  <c r="E32"/>
  <c r="F32" s="1"/>
  <c r="F34"/>
  <c r="F35"/>
  <c r="D36"/>
  <c r="E36"/>
  <c r="F36"/>
  <c r="F38"/>
  <c r="F39"/>
  <c r="D40"/>
  <c r="E40"/>
  <c r="F40" s="1"/>
  <c r="F42"/>
  <c r="F43"/>
  <c r="D44"/>
  <c r="E44"/>
  <c r="F44" s="1"/>
  <c r="D46"/>
  <c r="E46"/>
  <c r="F46"/>
  <c r="D47"/>
  <c r="E47"/>
  <c r="F47" s="1"/>
  <c r="D48"/>
  <c r="A2" i="17"/>
  <c r="B8"/>
  <c r="D8"/>
  <c r="E8" s="1"/>
  <c r="F8"/>
  <c r="G8" s="1"/>
  <c r="H8"/>
  <c r="I8" s="1"/>
  <c r="J8"/>
  <c r="K8" s="1"/>
  <c r="L8"/>
  <c r="N8"/>
  <c r="P8"/>
  <c r="E9"/>
  <c r="G9"/>
  <c r="I9"/>
  <c r="K9"/>
  <c r="R9"/>
  <c r="E10"/>
  <c r="G10"/>
  <c r="I10"/>
  <c r="K10"/>
  <c r="Q10"/>
  <c r="R10"/>
  <c r="M10" s="1"/>
  <c r="C10"/>
  <c r="E11"/>
  <c r="G11"/>
  <c r="I11"/>
  <c r="K11"/>
  <c r="R11"/>
  <c r="R8" s="1"/>
  <c r="M11"/>
  <c r="E12"/>
  <c r="G12"/>
  <c r="I12"/>
  <c r="K12"/>
  <c r="Q12"/>
  <c r="R12"/>
  <c r="M12" s="1"/>
  <c r="C12"/>
  <c r="E13"/>
  <c r="G13"/>
  <c r="I13"/>
  <c r="K13"/>
  <c r="R13"/>
  <c r="M13"/>
  <c r="E14"/>
  <c r="G14"/>
  <c r="I14"/>
  <c r="K14"/>
  <c r="Q14"/>
  <c r="R14"/>
  <c r="M14" s="1"/>
  <c r="C14"/>
  <c r="E15"/>
  <c r="G15"/>
  <c r="I15"/>
  <c r="K15"/>
  <c r="R15"/>
  <c r="M15"/>
  <c r="E16"/>
  <c r="G16"/>
  <c r="I16"/>
  <c r="K16"/>
  <c r="Q16"/>
  <c r="R16"/>
  <c r="M16" s="1"/>
  <c r="C16"/>
  <c r="B17"/>
  <c r="D17"/>
  <c r="E17" s="1"/>
  <c r="F17"/>
  <c r="G17" s="1"/>
  <c r="H17"/>
  <c r="I17" s="1"/>
  <c r="J17"/>
  <c r="K17" s="1"/>
  <c r="L17"/>
  <c r="N17"/>
  <c r="P17"/>
  <c r="E18"/>
  <c r="G18"/>
  <c r="I18"/>
  <c r="K18"/>
  <c r="Q18"/>
  <c r="R18"/>
  <c r="M18" s="1"/>
  <c r="C18"/>
  <c r="E19"/>
  <c r="G19"/>
  <c r="I19"/>
  <c r="K19"/>
  <c r="R19"/>
  <c r="M19"/>
  <c r="E20"/>
  <c r="G20"/>
  <c r="I20"/>
  <c r="K20"/>
  <c r="Q20"/>
  <c r="R20"/>
  <c r="M20" s="1"/>
  <c r="C20"/>
  <c r="E21"/>
  <c r="G21"/>
  <c r="I21"/>
  <c r="K21"/>
  <c r="R21"/>
  <c r="M21"/>
  <c r="E22"/>
  <c r="G22"/>
  <c r="I22"/>
  <c r="K22"/>
  <c r="Q22"/>
  <c r="R22"/>
  <c r="M22" s="1"/>
  <c r="C22"/>
  <c r="E23"/>
  <c r="G23"/>
  <c r="I23"/>
  <c r="K23"/>
  <c r="R23"/>
  <c r="M23"/>
  <c r="E24"/>
  <c r="G24"/>
  <c r="I24"/>
  <c r="K24"/>
  <c r="Q24"/>
  <c r="R24"/>
  <c r="M24" s="1"/>
  <c r="C24"/>
  <c r="E25"/>
  <c r="G25"/>
  <c r="I25"/>
  <c r="K25"/>
  <c r="R25"/>
  <c r="M25"/>
  <c r="B26"/>
  <c r="D26"/>
  <c r="E26" s="1"/>
  <c r="F26"/>
  <c r="G26" s="1"/>
  <c r="H26"/>
  <c r="I26" s="1"/>
  <c r="J26"/>
  <c r="K26" s="1"/>
  <c r="L26"/>
  <c r="N26"/>
  <c r="P26"/>
  <c r="E27"/>
  <c r="G27"/>
  <c r="I27"/>
  <c r="K27"/>
  <c r="R27"/>
  <c r="R26"/>
  <c r="E28"/>
  <c r="G28"/>
  <c r="I28"/>
  <c r="K28"/>
  <c r="Q28"/>
  <c r="R28"/>
  <c r="M28" s="1"/>
  <c r="C28"/>
  <c r="E29"/>
  <c r="G29"/>
  <c r="I29"/>
  <c r="K29"/>
  <c r="R29"/>
  <c r="M29"/>
  <c r="E30"/>
  <c r="G30"/>
  <c r="I30"/>
  <c r="K30"/>
  <c r="Q30"/>
  <c r="R30"/>
  <c r="M30" s="1"/>
  <c r="C30"/>
  <c r="E31"/>
  <c r="G31"/>
  <c r="I31"/>
  <c r="K31"/>
  <c r="R31"/>
  <c r="M31"/>
  <c r="E32"/>
  <c r="G32"/>
  <c r="I32"/>
  <c r="K32"/>
  <c r="Q32"/>
  <c r="R32"/>
  <c r="M32" s="1"/>
  <c r="C32"/>
  <c r="E33"/>
  <c r="G33"/>
  <c r="I33"/>
  <c r="K33"/>
  <c r="R33"/>
  <c r="M33"/>
  <c r="B34"/>
  <c r="D34"/>
  <c r="E34" s="1"/>
  <c r="F34"/>
  <c r="G34" s="1"/>
  <c r="H34"/>
  <c r="I34" s="1"/>
  <c r="J34"/>
  <c r="K34" s="1"/>
  <c r="L34"/>
  <c r="N34"/>
  <c r="P34"/>
  <c r="E7" i="16"/>
  <c r="F7"/>
  <c r="G7"/>
  <c r="E8"/>
  <c r="F8" s="1"/>
  <c r="G8"/>
  <c r="E9"/>
  <c r="F9"/>
  <c r="G9"/>
  <c r="E10"/>
  <c r="F10" s="1"/>
  <c r="G10"/>
  <c r="E11"/>
  <c r="F11"/>
  <c r="G11"/>
  <c r="E12"/>
  <c r="F12" s="1"/>
  <c r="G12"/>
  <c r="E13"/>
  <c r="F13"/>
  <c r="G13"/>
  <c r="E14"/>
  <c r="F14" s="1"/>
  <c r="G14"/>
  <c r="E15"/>
  <c r="F15"/>
  <c r="G15"/>
  <c r="E16"/>
  <c r="F16" s="1"/>
  <c r="G16"/>
  <c r="E17"/>
  <c r="F17"/>
  <c r="G17"/>
  <c r="E18"/>
  <c r="F18" s="1"/>
  <c r="G18"/>
  <c r="E19"/>
  <c r="F19"/>
  <c r="G19"/>
  <c r="E20"/>
  <c r="F20" s="1"/>
  <c r="G20"/>
  <c r="E21"/>
  <c r="F21"/>
  <c r="G21"/>
  <c r="C22"/>
  <c r="F22" s="1"/>
  <c r="D22"/>
  <c r="E22"/>
  <c r="E23"/>
  <c r="F23" s="1"/>
  <c r="G23"/>
  <c r="E24"/>
  <c r="F24"/>
  <c r="G24"/>
  <c r="E25"/>
  <c r="F25" s="1"/>
  <c r="G25"/>
  <c r="E26"/>
  <c r="F26"/>
  <c r="G26"/>
  <c r="E27"/>
  <c r="F27" s="1"/>
  <c r="G27"/>
  <c r="E28"/>
  <c r="F28"/>
  <c r="G28"/>
  <c r="E29"/>
  <c r="F29" s="1"/>
  <c r="G29"/>
  <c r="E30"/>
  <c r="F30"/>
  <c r="G30"/>
  <c r="E31"/>
  <c r="F31" s="1"/>
  <c r="G31"/>
  <c r="E32"/>
  <c r="F32"/>
  <c r="G32"/>
  <c r="E33"/>
  <c r="F33" s="1"/>
  <c r="G33"/>
  <c r="E34"/>
  <c r="F34"/>
  <c r="G34"/>
  <c r="E35"/>
  <c r="F35" s="1"/>
  <c r="G35"/>
  <c r="E36"/>
  <c r="F36"/>
  <c r="G36"/>
  <c r="E37"/>
  <c r="F37" s="1"/>
  <c r="G37"/>
  <c r="D38"/>
  <c r="F8" i="150"/>
  <c r="L8"/>
  <c r="R8" s="1"/>
  <c r="N8"/>
  <c r="P8"/>
  <c r="F9"/>
  <c r="L9"/>
  <c r="N9"/>
  <c r="P9"/>
  <c r="R9"/>
  <c r="F10"/>
  <c r="L10"/>
  <c r="R10" s="1"/>
  <c r="N10"/>
  <c r="P10"/>
  <c r="F11"/>
  <c r="L11"/>
  <c r="N11"/>
  <c r="P11"/>
  <c r="R11"/>
  <c r="F12"/>
  <c r="L12"/>
  <c r="N12"/>
  <c r="P12"/>
  <c r="F13"/>
  <c r="L13"/>
  <c r="R13" s="1"/>
  <c r="N13"/>
  <c r="P13"/>
  <c r="F14"/>
  <c r="L14"/>
  <c r="N14"/>
  <c r="P14"/>
  <c r="F15"/>
  <c r="L15"/>
  <c r="N15"/>
  <c r="P15"/>
  <c r="R15"/>
  <c r="F16"/>
  <c r="L16"/>
  <c r="N16"/>
  <c r="P16"/>
  <c r="F17"/>
  <c r="L17"/>
  <c r="R17" s="1"/>
  <c r="N17"/>
  <c r="P17"/>
  <c r="F18"/>
  <c r="L18"/>
  <c r="N18"/>
  <c r="P18"/>
  <c r="F19"/>
  <c r="L19"/>
  <c r="N19"/>
  <c r="P19"/>
  <c r="R19"/>
  <c r="F20"/>
  <c r="L20"/>
  <c r="N20"/>
  <c r="P20"/>
  <c r="F21"/>
  <c r="L21"/>
  <c r="R21" s="1"/>
  <c r="N21"/>
  <c r="P21"/>
  <c r="F22"/>
  <c r="L22"/>
  <c r="N22"/>
  <c r="P22"/>
  <c r="F23"/>
  <c r="L23"/>
  <c r="N23"/>
  <c r="P23"/>
  <c r="R23"/>
  <c r="F24"/>
  <c r="L24"/>
  <c r="N24"/>
  <c r="P24"/>
  <c r="F25"/>
  <c r="L25"/>
  <c r="N25"/>
  <c r="P25"/>
  <c r="R25"/>
  <c r="B26"/>
  <c r="C25" s="1"/>
  <c r="C13"/>
  <c r="D26"/>
  <c r="F26"/>
  <c r="H26"/>
  <c r="J26"/>
  <c r="P26"/>
  <c r="F8" i="136"/>
  <c r="L8"/>
  <c r="R8" s="1"/>
  <c r="N8"/>
  <c r="P8"/>
  <c r="P26" s="1"/>
  <c r="F9"/>
  <c r="F26" s="1"/>
  <c r="L9"/>
  <c r="N9"/>
  <c r="N26" s="1"/>
  <c r="P9"/>
  <c r="F10"/>
  <c r="L10"/>
  <c r="N10"/>
  <c r="P10"/>
  <c r="R10"/>
  <c r="F11"/>
  <c r="L11"/>
  <c r="R11" s="1"/>
  <c r="N11"/>
  <c r="P11"/>
  <c r="F12"/>
  <c r="R12" s="1"/>
  <c r="L12"/>
  <c r="N12"/>
  <c r="P12"/>
  <c r="F13"/>
  <c r="G13" s="1"/>
  <c r="L13"/>
  <c r="N13"/>
  <c r="O13" s="1"/>
  <c r="P13"/>
  <c r="R13"/>
  <c r="F14"/>
  <c r="L14"/>
  <c r="N14"/>
  <c r="P14"/>
  <c r="R14"/>
  <c r="F15"/>
  <c r="G15" s="1"/>
  <c r="L15"/>
  <c r="N15"/>
  <c r="O15" s="1"/>
  <c r="P15"/>
  <c r="R15"/>
  <c r="F16"/>
  <c r="L16"/>
  <c r="N16"/>
  <c r="P16"/>
  <c r="R16"/>
  <c r="F17"/>
  <c r="G17" s="1"/>
  <c r="L17"/>
  <c r="N17"/>
  <c r="O17" s="1"/>
  <c r="P17"/>
  <c r="R17"/>
  <c r="F18"/>
  <c r="L18"/>
  <c r="N18"/>
  <c r="P18"/>
  <c r="R18"/>
  <c r="F19"/>
  <c r="G19" s="1"/>
  <c r="L19"/>
  <c r="N19"/>
  <c r="O19" s="1"/>
  <c r="P19"/>
  <c r="R19"/>
  <c r="F20"/>
  <c r="L20"/>
  <c r="N20"/>
  <c r="P20"/>
  <c r="R20"/>
  <c r="F21"/>
  <c r="G21" s="1"/>
  <c r="L21"/>
  <c r="N21"/>
  <c r="O21" s="1"/>
  <c r="P21"/>
  <c r="R21"/>
  <c r="F22"/>
  <c r="L22"/>
  <c r="N22"/>
  <c r="P22"/>
  <c r="R22"/>
  <c r="F23"/>
  <c r="G23" s="1"/>
  <c r="L23"/>
  <c r="N23"/>
  <c r="O23" s="1"/>
  <c r="P23"/>
  <c r="R23"/>
  <c r="F24"/>
  <c r="L24"/>
  <c r="N24"/>
  <c r="P24"/>
  <c r="R24"/>
  <c r="F25"/>
  <c r="G25" s="1"/>
  <c r="L25"/>
  <c r="N25"/>
  <c r="O25" s="1"/>
  <c r="P25"/>
  <c r="R25"/>
  <c r="B26"/>
  <c r="C9"/>
  <c r="D26"/>
  <c r="E10"/>
  <c r="H26"/>
  <c r="I9"/>
  <c r="J26"/>
  <c r="K8"/>
  <c r="B7" i="149"/>
  <c r="C7"/>
  <c r="D7" s="1"/>
  <c r="D33" s="1"/>
  <c r="E7"/>
  <c r="H7" s="1"/>
  <c r="F7"/>
  <c r="G7"/>
  <c r="D8"/>
  <c r="G8"/>
  <c r="H8"/>
  <c r="I8"/>
  <c r="J8"/>
  <c r="D9"/>
  <c r="G9"/>
  <c r="H9"/>
  <c r="I9"/>
  <c r="J9" s="1"/>
  <c r="D10"/>
  <c r="G10"/>
  <c r="H10"/>
  <c r="I10"/>
  <c r="J10"/>
  <c r="D11"/>
  <c r="G11"/>
  <c r="H11"/>
  <c r="I11"/>
  <c r="J11" s="1"/>
  <c r="D12"/>
  <c r="G12"/>
  <c r="H12"/>
  <c r="I12"/>
  <c r="J12"/>
  <c r="D13"/>
  <c r="G13"/>
  <c r="H13"/>
  <c r="I13"/>
  <c r="J13" s="1"/>
  <c r="D14"/>
  <c r="G14"/>
  <c r="H14"/>
  <c r="I14"/>
  <c r="J14"/>
  <c r="D15"/>
  <c r="G15"/>
  <c r="H15"/>
  <c r="I15"/>
  <c r="J15" s="1"/>
  <c r="B16"/>
  <c r="H16" s="1"/>
  <c r="C16"/>
  <c r="D16"/>
  <c r="E16"/>
  <c r="G16" s="1"/>
  <c r="F16"/>
  <c r="I16"/>
  <c r="D17"/>
  <c r="G17"/>
  <c r="H17"/>
  <c r="I17"/>
  <c r="J17" s="1"/>
  <c r="D18"/>
  <c r="G18"/>
  <c r="H18"/>
  <c r="I18"/>
  <c r="J18"/>
  <c r="D19"/>
  <c r="G19"/>
  <c r="H19"/>
  <c r="I19"/>
  <c r="J19" s="1"/>
  <c r="D20"/>
  <c r="G20"/>
  <c r="H20"/>
  <c r="I20"/>
  <c r="J20"/>
  <c r="D21"/>
  <c r="G21"/>
  <c r="H21"/>
  <c r="I21"/>
  <c r="J21" s="1"/>
  <c r="D22"/>
  <c r="G22"/>
  <c r="H22"/>
  <c r="I22"/>
  <c r="J22"/>
  <c r="D23"/>
  <c r="G23"/>
  <c r="H23"/>
  <c r="I23"/>
  <c r="J23" s="1"/>
  <c r="D24"/>
  <c r="G24"/>
  <c r="H24"/>
  <c r="I24"/>
  <c r="J24"/>
  <c r="B25"/>
  <c r="C25"/>
  <c r="D25" s="1"/>
  <c r="E25"/>
  <c r="H25" s="1"/>
  <c r="F25"/>
  <c r="G25"/>
  <c r="D26"/>
  <c r="G26"/>
  <c r="H26"/>
  <c r="I26"/>
  <c r="J26"/>
  <c r="D27"/>
  <c r="G27"/>
  <c r="H27"/>
  <c r="I27"/>
  <c r="J27" s="1"/>
  <c r="D28"/>
  <c r="G28"/>
  <c r="H28"/>
  <c r="I28"/>
  <c r="J28"/>
  <c r="D29"/>
  <c r="G29"/>
  <c r="H29"/>
  <c r="I29"/>
  <c r="J29" s="1"/>
  <c r="D30"/>
  <c r="G30"/>
  <c r="H30"/>
  <c r="I30"/>
  <c r="J30"/>
  <c r="D31"/>
  <c r="G31"/>
  <c r="H31"/>
  <c r="I31"/>
  <c r="J31" s="1"/>
  <c r="D32"/>
  <c r="G32"/>
  <c r="H32"/>
  <c r="I32"/>
  <c r="J32"/>
  <c r="B33"/>
  <c r="C33"/>
  <c r="F33"/>
  <c r="B7" i="112"/>
  <c r="C7"/>
  <c r="D7" s="1"/>
  <c r="E7"/>
  <c r="H7" s="1"/>
  <c r="J7" s="1"/>
  <c r="F7"/>
  <c r="I7"/>
  <c r="D8"/>
  <c r="G8"/>
  <c r="H8"/>
  <c r="I8"/>
  <c r="J8" s="1"/>
  <c r="D9"/>
  <c r="G9"/>
  <c r="H9"/>
  <c r="I9"/>
  <c r="J9"/>
  <c r="D10"/>
  <c r="G10"/>
  <c r="H10"/>
  <c r="I10"/>
  <c r="J10" s="1"/>
  <c r="D11"/>
  <c r="G11"/>
  <c r="H11"/>
  <c r="I11"/>
  <c r="J11"/>
  <c r="D12"/>
  <c r="G12"/>
  <c r="H12"/>
  <c r="I12"/>
  <c r="J12" s="1"/>
  <c r="D13"/>
  <c r="G13"/>
  <c r="H13"/>
  <c r="I13"/>
  <c r="J13"/>
  <c r="D14"/>
  <c r="G14"/>
  <c r="H14"/>
  <c r="I14"/>
  <c r="J14" s="1"/>
  <c r="D15"/>
  <c r="G15"/>
  <c r="H15"/>
  <c r="I15"/>
  <c r="J15"/>
  <c r="B16"/>
  <c r="C16"/>
  <c r="D16" s="1"/>
  <c r="E16"/>
  <c r="F16"/>
  <c r="G16"/>
  <c r="H16"/>
  <c r="D17"/>
  <c r="G17"/>
  <c r="H17"/>
  <c r="I17"/>
  <c r="J17" s="1"/>
  <c r="D18"/>
  <c r="G18"/>
  <c r="H18"/>
  <c r="I18"/>
  <c r="J18"/>
  <c r="D19"/>
  <c r="G19"/>
  <c r="H19"/>
  <c r="I19"/>
  <c r="J19" s="1"/>
  <c r="D20"/>
  <c r="G20"/>
  <c r="H20"/>
  <c r="I20"/>
  <c r="J20"/>
  <c r="D21"/>
  <c r="G21"/>
  <c r="H21"/>
  <c r="I21"/>
  <c r="J21" s="1"/>
  <c r="D22"/>
  <c r="G22"/>
  <c r="H22"/>
  <c r="I22"/>
  <c r="J22"/>
  <c r="D23"/>
  <c r="G23"/>
  <c r="H23"/>
  <c r="I23"/>
  <c r="J23" s="1"/>
  <c r="D24"/>
  <c r="G24"/>
  <c r="H24"/>
  <c r="I24"/>
  <c r="J24"/>
  <c r="B25"/>
  <c r="C25"/>
  <c r="D25" s="1"/>
  <c r="E25"/>
  <c r="H25" s="1"/>
  <c r="F25"/>
  <c r="G25"/>
  <c r="D26"/>
  <c r="G26"/>
  <c r="H26"/>
  <c r="I26"/>
  <c r="J26"/>
  <c r="D27"/>
  <c r="G27"/>
  <c r="H27"/>
  <c r="I27"/>
  <c r="J27" s="1"/>
  <c r="D28"/>
  <c r="G28"/>
  <c r="H28"/>
  <c r="I28"/>
  <c r="J28"/>
  <c r="D29"/>
  <c r="G29"/>
  <c r="H29"/>
  <c r="I29"/>
  <c r="J29" s="1"/>
  <c r="D30"/>
  <c r="G30"/>
  <c r="H30"/>
  <c r="I30"/>
  <c r="J30"/>
  <c r="D31"/>
  <c r="G31"/>
  <c r="H31"/>
  <c r="I31"/>
  <c r="J31" s="1"/>
  <c r="D32"/>
  <c r="G32"/>
  <c r="H32"/>
  <c r="I32"/>
  <c r="J32"/>
  <c r="B33"/>
  <c r="C33"/>
  <c r="F33"/>
  <c r="A2" i="10"/>
  <c r="C6"/>
  <c r="E6"/>
  <c r="F6"/>
  <c r="I6"/>
  <c r="C7"/>
  <c r="E7"/>
  <c r="F7"/>
  <c r="I7"/>
  <c r="C8"/>
  <c r="E8"/>
  <c r="F8"/>
  <c r="H8"/>
  <c r="I8"/>
  <c r="C9"/>
  <c r="E9"/>
  <c r="F9" s="1"/>
  <c r="H9"/>
  <c r="I9" s="1"/>
  <c r="C10"/>
  <c r="E10"/>
  <c r="F10"/>
  <c r="H10"/>
  <c r="I10"/>
  <c r="C11"/>
  <c r="E11"/>
  <c r="F11" s="1"/>
  <c r="H11"/>
  <c r="I11" s="1"/>
  <c r="C12"/>
  <c r="E12"/>
  <c r="F12"/>
  <c r="H12"/>
  <c r="I12"/>
  <c r="C13"/>
  <c r="E13"/>
  <c r="F13" s="1"/>
  <c r="H13"/>
  <c r="I13" s="1"/>
  <c r="C14"/>
  <c r="E14"/>
  <c r="F14"/>
  <c r="H14"/>
  <c r="I14"/>
  <c r="C15"/>
  <c r="E15"/>
  <c r="F15" s="1"/>
  <c r="H15"/>
  <c r="I15" s="1"/>
  <c r="C16"/>
  <c r="E16"/>
  <c r="F16"/>
  <c r="H16"/>
  <c r="I16"/>
  <c r="C17"/>
  <c r="E17"/>
  <c r="F17" s="1"/>
  <c r="H17"/>
  <c r="I17" s="1"/>
  <c r="D23" i="1" s="1"/>
  <c r="D24" s="1"/>
  <c r="A2" i="7"/>
  <c r="C6"/>
  <c r="D6"/>
  <c r="E6" s="1"/>
  <c r="E7"/>
  <c r="E8"/>
  <c r="E9"/>
  <c r="E10"/>
  <c r="E11"/>
  <c r="E12"/>
  <c r="E13"/>
  <c r="E14"/>
  <c r="C15"/>
  <c r="D15"/>
  <c r="E15"/>
  <c r="E16"/>
  <c r="E17"/>
  <c r="E18"/>
  <c r="E19"/>
  <c r="E20"/>
  <c r="E21"/>
  <c r="E22"/>
  <c r="E23"/>
  <c r="C24"/>
  <c r="D24"/>
  <c r="E24" s="1"/>
  <c r="E25"/>
  <c r="E26"/>
  <c r="E27"/>
  <c r="E28"/>
  <c r="E29"/>
  <c r="E30"/>
  <c r="E31"/>
  <c r="A2" i="133"/>
  <c r="F15"/>
  <c r="F16"/>
  <c r="A21"/>
  <c r="A2" i="4"/>
  <c r="J19"/>
  <c r="D27" i="1" s="1"/>
  <c r="K19" i="4"/>
  <c r="D28" i="1" s="1"/>
  <c r="A23" i="4"/>
  <c r="A2" i="2"/>
  <c r="A6"/>
  <c r="A10"/>
  <c r="C13"/>
  <c r="C27"/>
  <c r="H27"/>
  <c r="D26" i="1" s="1"/>
  <c r="A1"/>
  <c r="D5"/>
  <c r="B6"/>
  <c r="B8"/>
  <c r="B9"/>
  <c r="B10"/>
  <c r="B17"/>
  <c r="D17"/>
  <c r="D21"/>
  <c r="D22"/>
  <c r="B26"/>
  <c r="B30"/>
  <c r="B33"/>
  <c r="D33"/>
  <c r="D34"/>
  <c r="D35"/>
  <c r="B37"/>
  <c r="B38"/>
  <c r="D38"/>
  <c r="B40"/>
  <c r="B43"/>
  <c r="D43"/>
  <c r="D44"/>
  <c r="D45"/>
  <c r="D46"/>
  <c r="D47"/>
  <c r="D48"/>
  <c r="B49"/>
  <c r="D49"/>
  <c r="D50"/>
  <c r="D51"/>
  <c r="B60"/>
  <c r="B64"/>
  <c r="B65"/>
  <c r="D65"/>
  <c r="B67"/>
  <c r="D67"/>
  <c r="B69"/>
  <c r="D70"/>
  <c r="B72"/>
  <c r="D73"/>
  <c r="B76"/>
  <c r="D76"/>
  <c r="B78"/>
  <c r="D78"/>
  <c r="D79"/>
  <c r="D81"/>
  <c r="D82"/>
  <c r="D84"/>
  <c r="D85"/>
  <c r="A8" i="122"/>
  <c r="A26"/>
  <c r="H33" i="112"/>
  <c r="J16" i="149"/>
  <c r="G33"/>
  <c r="I8" i="150"/>
  <c r="I9"/>
  <c r="I10"/>
  <c r="I11"/>
  <c r="E8"/>
  <c r="E9"/>
  <c r="E10"/>
  <c r="E11"/>
  <c r="E12"/>
  <c r="E13"/>
  <c r="E14"/>
  <c r="E15"/>
  <c r="E16"/>
  <c r="E17"/>
  <c r="E18"/>
  <c r="E19"/>
  <c r="E20"/>
  <c r="E21"/>
  <c r="E22"/>
  <c r="E23"/>
  <c r="E24"/>
  <c r="E25"/>
  <c r="C26" i="17"/>
  <c r="M26"/>
  <c r="O26"/>
  <c r="Q26"/>
  <c r="M8"/>
  <c r="Q8"/>
  <c r="I16" i="112"/>
  <c r="I25" i="149"/>
  <c r="J25"/>
  <c r="I7"/>
  <c r="K25" i="136"/>
  <c r="E25"/>
  <c r="K24"/>
  <c r="E24"/>
  <c r="K23"/>
  <c r="E23"/>
  <c r="K22"/>
  <c r="E22"/>
  <c r="K21"/>
  <c r="E21"/>
  <c r="K20"/>
  <c r="E20"/>
  <c r="K19"/>
  <c r="E19"/>
  <c r="K18"/>
  <c r="E18"/>
  <c r="K17"/>
  <c r="E17"/>
  <c r="K16"/>
  <c r="E16"/>
  <c r="K15"/>
  <c r="E15"/>
  <c r="K14"/>
  <c r="E14"/>
  <c r="K13"/>
  <c r="E13"/>
  <c r="O12"/>
  <c r="K12"/>
  <c r="G12"/>
  <c r="E12"/>
  <c r="Q11"/>
  <c r="O11"/>
  <c r="K11"/>
  <c r="G11"/>
  <c r="E11"/>
  <c r="Q10"/>
  <c r="O10"/>
  <c r="K10"/>
  <c r="K9"/>
  <c r="K26"/>
  <c r="G9"/>
  <c r="O8"/>
  <c r="I8"/>
  <c r="C8"/>
  <c r="I25" i="150"/>
  <c r="Q24"/>
  <c r="G24"/>
  <c r="I23"/>
  <c r="C23"/>
  <c r="Q22"/>
  <c r="G22"/>
  <c r="I21"/>
  <c r="C21"/>
  <c r="Q20"/>
  <c r="G20"/>
  <c r="I19"/>
  <c r="C19"/>
  <c r="Q18"/>
  <c r="G18"/>
  <c r="I17"/>
  <c r="C17"/>
  <c r="Q16"/>
  <c r="G16"/>
  <c r="I15"/>
  <c r="C15"/>
  <c r="Q14"/>
  <c r="G14"/>
  <c r="I13"/>
  <c r="Q12"/>
  <c r="G12"/>
  <c r="G11"/>
  <c r="Q10"/>
  <c r="G9"/>
  <c r="Q8"/>
  <c r="E8" i="136"/>
  <c r="E9"/>
  <c r="K8" i="150"/>
  <c r="K9"/>
  <c r="K10"/>
  <c r="K11"/>
  <c r="K12"/>
  <c r="K13"/>
  <c r="K14"/>
  <c r="K15"/>
  <c r="K16"/>
  <c r="K17"/>
  <c r="K18"/>
  <c r="K19"/>
  <c r="K20"/>
  <c r="K21"/>
  <c r="K22"/>
  <c r="K23"/>
  <c r="K24"/>
  <c r="K25"/>
  <c r="C8"/>
  <c r="C9"/>
  <c r="C10"/>
  <c r="C11"/>
  <c r="I25" i="136"/>
  <c r="C25"/>
  <c r="I24"/>
  <c r="C24"/>
  <c r="I23"/>
  <c r="C23"/>
  <c r="I22"/>
  <c r="C22"/>
  <c r="I21"/>
  <c r="C21"/>
  <c r="I20"/>
  <c r="C20"/>
  <c r="I19"/>
  <c r="C19"/>
  <c r="I18"/>
  <c r="C18"/>
  <c r="I17"/>
  <c r="C17"/>
  <c r="I16"/>
  <c r="C16"/>
  <c r="I15"/>
  <c r="C15"/>
  <c r="I14"/>
  <c r="C14"/>
  <c r="I13"/>
  <c r="C13"/>
  <c r="I12"/>
  <c r="C12"/>
  <c r="I11"/>
  <c r="C11"/>
  <c r="I10"/>
  <c r="C10"/>
  <c r="R9"/>
  <c r="Q8"/>
  <c r="G8"/>
  <c r="N26" i="150"/>
  <c r="O25"/>
  <c r="Q25"/>
  <c r="G25"/>
  <c r="R24"/>
  <c r="O24"/>
  <c r="I24"/>
  <c r="C24"/>
  <c r="Q23"/>
  <c r="G23"/>
  <c r="R22"/>
  <c r="O22"/>
  <c r="I22"/>
  <c r="C22"/>
  <c r="Q21"/>
  <c r="G21"/>
  <c r="R20"/>
  <c r="O20"/>
  <c r="I20"/>
  <c r="C20"/>
  <c r="Q19"/>
  <c r="G19"/>
  <c r="R18"/>
  <c r="O18"/>
  <c r="I18"/>
  <c r="C18"/>
  <c r="Q17"/>
  <c r="G17"/>
  <c r="R16"/>
  <c r="O16"/>
  <c r="I16"/>
  <c r="C16"/>
  <c r="Q15"/>
  <c r="G15"/>
  <c r="R14"/>
  <c r="O14"/>
  <c r="I14"/>
  <c r="C14"/>
  <c r="Q13"/>
  <c r="G13"/>
  <c r="R12"/>
  <c r="O12"/>
  <c r="I12"/>
  <c r="C12"/>
  <c r="Q11"/>
  <c r="O10"/>
  <c r="G10"/>
  <c r="Q9"/>
  <c r="O8"/>
  <c r="G8"/>
  <c r="G26"/>
  <c r="G30" i="18"/>
  <c r="G34"/>
  <c r="G38"/>
  <c r="F23"/>
  <c r="G11" s="1"/>
  <c r="O33" i="17"/>
  <c r="C33"/>
  <c r="O31"/>
  <c r="C31"/>
  <c r="O29"/>
  <c r="C29"/>
  <c r="O27"/>
  <c r="C27"/>
  <c r="O25"/>
  <c r="C25"/>
  <c r="O23"/>
  <c r="C23"/>
  <c r="O21"/>
  <c r="C21"/>
  <c r="O19"/>
  <c r="C19"/>
  <c r="R17"/>
  <c r="O17"/>
  <c r="O15"/>
  <c r="C15"/>
  <c r="O13"/>
  <c r="C13"/>
  <c r="O11"/>
  <c r="C11"/>
  <c r="O9"/>
  <c r="C9"/>
  <c r="G19" i="18"/>
  <c r="Q33" i="134"/>
  <c r="AA33"/>
  <c r="W33"/>
  <c r="J33"/>
  <c r="D33"/>
  <c r="E11" i="24"/>
  <c r="D39" i="1"/>
  <c r="G31" i="18"/>
  <c r="G35"/>
  <c r="G39"/>
  <c r="G22" i="16"/>
  <c r="Q33" i="17"/>
  <c r="O32"/>
  <c r="Q31"/>
  <c r="O30"/>
  <c r="Q29"/>
  <c r="O28"/>
  <c r="Q27"/>
  <c r="M27"/>
  <c r="Q25"/>
  <c r="O24"/>
  <c r="Q23"/>
  <c r="O22"/>
  <c r="Q21"/>
  <c r="O20"/>
  <c r="Q19"/>
  <c r="O18"/>
  <c r="O16"/>
  <c r="Q15"/>
  <c r="O14"/>
  <c r="Q13"/>
  <c r="O12"/>
  <c r="Q11"/>
  <c r="O10"/>
  <c r="Q9"/>
  <c r="M9"/>
  <c r="G43" i="18"/>
  <c r="G42"/>
  <c r="AC16" i="134"/>
  <c r="M33"/>
  <c r="AB33"/>
  <c r="Z33"/>
  <c r="T33"/>
  <c r="G33"/>
  <c r="J15" i="21"/>
  <c r="D37" i="1"/>
  <c r="I35" i="34"/>
  <c r="G14" i="18"/>
  <c r="G22"/>
  <c r="G13"/>
  <c r="G21"/>
  <c r="F51" i="19"/>
  <c r="F50"/>
  <c r="F49"/>
  <c r="F48"/>
  <c r="F47"/>
  <c r="F46"/>
  <c r="F45"/>
  <c r="AC26" i="134"/>
  <c r="AC25" s="1"/>
  <c r="C10" i="26"/>
  <c r="K38" i="99"/>
  <c r="S38"/>
  <c r="Q37"/>
  <c r="M37"/>
  <c r="I37"/>
  <c r="E37"/>
  <c r="O36"/>
  <c r="K36"/>
  <c r="Q35"/>
  <c r="M35"/>
  <c r="I35"/>
  <c r="E35"/>
  <c r="O34"/>
  <c r="K34"/>
  <c r="Q33"/>
  <c r="M33"/>
  <c r="I33"/>
  <c r="E33"/>
  <c r="K32"/>
  <c r="S32"/>
  <c r="Q31"/>
  <c r="M31"/>
  <c r="I31"/>
  <c r="E31"/>
  <c r="O30"/>
  <c r="K30"/>
  <c r="Q29"/>
  <c r="M29"/>
  <c r="I29"/>
  <c r="E29"/>
  <c r="O28"/>
  <c r="K28"/>
  <c r="Q27"/>
  <c r="M27"/>
  <c r="I27"/>
  <c r="E27"/>
  <c r="Q25"/>
  <c r="M25"/>
  <c r="I25"/>
  <c r="E25"/>
  <c r="Q23"/>
  <c r="M23"/>
  <c r="I23"/>
  <c r="E23"/>
  <c r="Q21"/>
  <c r="M21"/>
  <c r="I21"/>
  <c r="E21"/>
  <c r="Q19"/>
  <c r="M19"/>
  <c r="I19"/>
  <c r="E19"/>
  <c r="Q17"/>
  <c r="M17"/>
  <c r="I17"/>
  <c r="E17"/>
  <c r="Q15"/>
  <c r="M15"/>
  <c r="I15"/>
  <c r="E15"/>
  <c r="O14"/>
  <c r="S14"/>
  <c r="Q13"/>
  <c r="M13"/>
  <c r="I13"/>
  <c r="E13"/>
  <c r="K12"/>
  <c r="Q11"/>
  <c r="I11"/>
  <c r="E11"/>
  <c r="K10"/>
  <c r="G10"/>
  <c r="S10"/>
  <c r="Q9"/>
  <c r="M9"/>
  <c r="I9"/>
  <c r="E9"/>
  <c r="G8"/>
  <c r="Q7"/>
  <c r="I7"/>
  <c r="S7" s="1"/>
  <c r="E7"/>
  <c r="F53" i="19"/>
  <c r="C53"/>
  <c r="C51"/>
  <c r="C50"/>
  <c r="C49"/>
  <c r="C48"/>
  <c r="C47"/>
  <c r="C46"/>
  <c r="AC8" i="134"/>
  <c r="AC7" s="1"/>
  <c r="K37" i="99"/>
  <c r="O35"/>
  <c r="K35"/>
  <c r="O33"/>
  <c r="S33" s="1"/>
  <c r="K33"/>
  <c r="K31"/>
  <c r="O29"/>
  <c r="K29"/>
  <c r="O27"/>
  <c r="K27"/>
  <c r="O25"/>
  <c r="K25"/>
  <c r="K23"/>
  <c r="K21"/>
  <c r="S21" s="1"/>
  <c r="K19"/>
  <c r="K17"/>
  <c r="S17" s="1"/>
  <c r="O15"/>
  <c r="K15"/>
  <c r="K13"/>
  <c r="O11"/>
  <c r="S11" s="1"/>
  <c r="K11"/>
  <c r="K9"/>
  <c r="I8"/>
  <c r="O7"/>
  <c r="R26" i="150"/>
  <c r="R26" i="136"/>
  <c r="S9" s="1"/>
  <c r="J7" i="149"/>
  <c r="J33" s="1"/>
  <c r="I33"/>
  <c r="J16" i="112"/>
  <c r="S9" i="99"/>
  <c r="S13"/>
  <c r="S35"/>
  <c r="S37"/>
  <c r="G46" i="18"/>
  <c r="Q17" i="17"/>
  <c r="S16" i="150"/>
  <c r="S20"/>
  <c r="S24"/>
  <c r="C26"/>
  <c r="K26"/>
  <c r="E26" i="136"/>
  <c r="C17" i="17"/>
  <c r="O11" i="150"/>
  <c r="O13"/>
  <c r="O17"/>
  <c r="O21"/>
  <c r="I26" i="136"/>
  <c r="R34" i="17"/>
  <c r="C34" s="1"/>
  <c r="D30" i="1" s="1"/>
  <c r="E26" i="150"/>
  <c r="I26"/>
  <c r="S15" i="99"/>
  <c r="S19"/>
  <c r="S23"/>
  <c r="S25"/>
  <c r="S27"/>
  <c r="S29"/>
  <c r="S31"/>
  <c r="G47" i="18"/>
  <c r="M17" i="17"/>
  <c r="S14" i="150"/>
  <c r="S18"/>
  <c r="S22"/>
  <c r="Q26"/>
  <c r="O9"/>
  <c r="O15"/>
  <c r="O19"/>
  <c r="O26" s="1"/>
  <c r="O23"/>
  <c r="C26" i="136"/>
  <c r="O34" i="17"/>
  <c r="S21" i="150"/>
  <c r="S17"/>
  <c r="S13"/>
  <c r="S11"/>
  <c r="S8"/>
  <c r="S25"/>
  <c r="S23"/>
  <c r="S19"/>
  <c r="S15"/>
  <c r="S9"/>
  <c r="S26" s="1"/>
  <c r="S10"/>
  <c r="S10" i="136"/>
  <c r="S11"/>
  <c r="S25"/>
  <c r="S21"/>
  <c r="S17"/>
  <c r="S13"/>
  <c r="S24"/>
  <c r="S20"/>
  <c r="S16"/>
  <c r="S12"/>
  <c r="S23"/>
  <c r="S19"/>
  <c r="S15"/>
  <c r="S22"/>
  <c r="S18"/>
  <c r="S14"/>
  <c r="S8"/>
  <c r="S26" s="1"/>
  <c r="S12" i="150"/>
  <c r="L33" i="37" l="1"/>
  <c r="J33"/>
  <c r="B45" i="65"/>
  <c r="E10" i="60"/>
  <c r="K12" i="23"/>
  <c r="D40" i="1" s="1"/>
  <c r="G20" i="114"/>
  <c r="D12" i="26"/>
  <c r="H35" i="151"/>
  <c r="D11" i="124"/>
  <c r="E13"/>
  <c r="E11" s="1"/>
  <c r="C11"/>
  <c r="B11"/>
  <c r="D30" i="26"/>
  <c r="D21"/>
  <c r="D10" s="1"/>
  <c r="B10"/>
  <c r="L12" i="23"/>
  <c r="G35" i="151"/>
  <c r="R35"/>
  <c r="G10" i="77"/>
  <c r="F10"/>
  <c r="E10"/>
  <c r="D10"/>
  <c r="B10"/>
  <c r="K33" i="37"/>
  <c r="I33"/>
  <c r="H33"/>
  <c r="G33"/>
  <c r="F33"/>
  <c r="E33"/>
  <c r="D33"/>
  <c r="C33"/>
  <c r="B33"/>
  <c r="I7" i="33"/>
  <c r="N18" i="31"/>
  <c r="N36" s="1"/>
  <c r="M18"/>
  <c r="M36"/>
  <c r="N8" i="30"/>
  <c r="M8"/>
  <c r="I35" i="28"/>
  <c r="I7" i="27"/>
  <c r="D10" i="25"/>
  <c r="B10"/>
  <c r="I11" i="24"/>
  <c r="H11"/>
  <c r="G11"/>
  <c r="F11"/>
  <c r="F45" i="65"/>
  <c r="D69" i="1" s="1"/>
  <c r="H10" i="60"/>
  <c r="D10"/>
  <c r="F10"/>
  <c r="B10"/>
  <c r="I10"/>
  <c r="G49" i="40"/>
  <c r="G56"/>
  <c r="D9"/>
  <c r="D10" i="39"/>
  <c r="C10"/>
  <c r="AC33" i="134"/>
  <c r="Q12" i="136"/>
  <c r="Q14"/>
  <c r="Q16"/>
  <c r="Q18"/>
  <c r="Q20"/>
  <c r="Q22"/>
  <c r="Q24"/>
  <c r="Q9"/>
  <c r="F35" i="34"/>
  <c r="O14" i="136"/>
  <c r="O16"/>
  <c r="O18"/>
  <c r="O20"/>
  <c r="O22"/>
  <c r="O24"/>
  <c r="O9"/>
  <c r="O26" s="1"/>
  <c r="G14"/>
  <c r="G16"/>
  <c r="G18"/>
  <c r="G20"/>
  <c r="G22"/>
  <c r="G24"/>
  <c r="G10"/>
  <c r="G26" s="1"/>
  <c r="C8" i="17"/>
  <c r="O8"/>
  <c r="Q34"/>
  <c r="D31" i="1" s="1"/>
  <c r="M34" i="17"/>
  <c r="G15" i="18"/>
  <c r="G23" s="1"/>
  <c r="D33" i="112"/>
  <c r="H33" i="149"/>
  <c r="Q25" i="136"/>
  <c r="Q23"/>
  <c r="Q21"/>
  <c r="Q19"/>
  <c r="Q17"/>
  <c r="Q15"/>
  <c r="Q13"/>
  <c r="E35" i="28"/>
  <c r="G35"/>
  <c r="D32" i="7"/>
  <c r="E33" i="112"/>
  <c r="I25"/>
  <c r="I33" s="1"/>
  <c r="G7"/>
  <c r="G33" s="1"/>
  <c r="E33" i="149"/>
  <c r="L26" i="136"/>
  <c r="L26" i="150"/>
  <c r="C38" i="16"/>
  <c r="E48" i="18"/>
  <c r="F48" s="1"/>
  <c r="G40" s="1"/>
  <c r="E26" i="99"/>
  <c r="M12"/>
  <c r="E12"/>
  <c r="M36"/>
  <c r="S36" s="1"/>
  <c r="M34"/>
  <c r="S34" s="1"/>
  <c r="M30"/>
  <c r="S30" s="1"/>
  <c r="M28"/>
  <c r="S28" s="1"/>
  <c r="G26"/>
  <c r="Q26"/>
  <c r="E8"/>
  <c r="S8" s="1"/>
  <c r="E38" i="16" l="1"/>
  <c r="G38" s="1"/>
  <c r="M14" i="136"/>
  <c r="M16"/>
  <c r="M18"/>
  <c r="M20"/>
  <c r="M22"/>
  <c r="M24"/>
  <c r="M9"/>
  <c r="M12"/>
  <c r="M11"/>
  <c r="M10"/>
  <c r="M8"/>
  <c r="S12" i="99"/>
  <c r="S26"/>
  <c r="M13" i="136"/>
  <c r="M15"/>
  <c r="M17"/>
  <c r="M19"/>
  <c r="M21"/>
  <c r="M23"/>
  <c r="M25"/>
  <c r="J25" i="112"/>
  <c r="J33" s="1"/>
  <c r="Q26" i="136"/>
  <c r="G36" i="18"/>
  <c r="G32"/>
  <c r="M22" i="150"/>
  <c r="M18"/>
  <c r="M14"/>
  <c r="M12"/>
  <c r="M10"/>
  <c r="M23"/>
  <c r="M19"/>
  <c r="M15"/>
  <c r="M11"/>
  <c r="M9"/>
  <c r="M24"/>
  <c r="M20"/>
  <c r="M16"/>
  <c r="M8"/>
  <c r="M25"/>
  <c r="M21"/>
  <c r="M17"/>
  <c r="M13"/>
  <c r="R10" i="146"/>
  <c r="R8"/>
  <c r="F7" i="7"/>
  <c r="R9" i="146"/>
  <c r="D18" i="1"/>
  <c r="D41" s="1"/>
  <c r="E32" i="7"/>
  <c r="D19" i="1" s="1"/>
  <c r="F31" i="7"/>
  <c r="F29"/>
  <c r="F27"/>
  <c r="F25"/>
  <c r="F22"/>
  <c r="F20"/>
  <c r="F18"/>
  <c r="F16"/>
  <c r="F13"/>
  <c r="F11"/>
  <c r="F9"/>
  <c r="F30"/>
  <c r="F26"/>
  <c r="F21"/>
  <c r="F17"/>
  <c r="F12"/>
  <c r="F8"/>
  <c r="F28"/>
  <c r="F23"/>
  <c r="F19"/>
  <c r="F14"/>
  <c r="F10"/>
  <c r="G44" i="18"/>
  <c r="F6" i="7" l="1"/>
  <c r="M26" i="136"/>
  <c r="F38" i="16"/>
  <c r="F15" i="7"/>
  <c r="F24"/>
  <c r="M26" i="150"/>
  <c r="G48" i="18"/>
  <c r="F32" i="7" l="1"/>
</calcChain>
</file>

<file path=xl/sharedStrings.xml><?xml version="1.0" encoding="utf-8"?>
<sst xmlns="http://schemas.openxmlformats.org/spreadsheetml/2006/main" count="7187" uniqueCount="1688">
  <si>
    <t>Cows</t>
  </si>
  <si>
    <t>Young Stock</t>
  </si>
  <si>
    <t>Buffaloes :</t>
  </si>
  <si>
    <t>Goats</t>
  </si>
  <si>
    <t>Horses and ponies</t>
  </si>
  <si>
    <t>Pigs</t>
  </si>
  <si>
    <t>Fowls</t>
  </si>
  <si>
    <t>Ducks</t>
  </si>
  <si>
    <t>BAHC</t>
  </si>
  <si>
    <t>ABAHC</t>
  </si>
  <si>
    <t>ADAC</t>
  </si>
  <si>
    <t>MAHC</t>
  </si>
  <si>
    <t>Veterinary personnel</t>
  </si>
  <si>
    <t>a)</t>
  </si>
  <si>
    <t>b)</t>
  </si>
  <si>
    <t>working factories</t>
  </si>
  <si>
    <t>average daily employment</t>
  </si>
  <si>
    <t>Thousand cu.metre</t>
  </si>
  <si>
    <t>Hectare</t>
  </si>
  <si>
    <t>Source : Census of India</t>
  </si>
  <si>
    <t>Purulia</t>
  </si>
  <si>
    <t>23º42' 00"N</t>
  </si>
  <si>
    <t>86º54' 00"E</t>
  </si>
  <si>
    <t>85º49' 00"E</t>
  </si>
  <si>
    <t>23º20' 00"N</t>
  </si>
  <si>
    <t>86º25' 00"E</t>
  </si>
  <si>
    <t>Arsha</t>
  </si>
  <si>
    <t>Baghmundi</t>
  </si>
  <si>
    <t>Barabazar</t>
  </si>
  <si>
    <t>Jaypur</t>
  </si>
  <si>
    <t>Sl.
No.</t>
  </si>
  <si>
    <t>D.L.&amp; L.R.O., Purulia</t>
  </si>
  <si>
    <t>Jhalda</t>
  </si>
  <si>
    <t>Bandowan</t>
  </si>
  <si>
    <t>Hura</t>
  </si>
  <si>
    <t>Raghunathpur</t>
  </si>
  <si>
    <t>Kashipur</t>
  </si>
  <si>
    <t>Neturia</t>
  </si>
  <si>
    <t>Para</t>
  </si>
  <si>
    <t>Santuri</t>
  </si>
  <si>
    <t>Raghunathpur-I</t>
  </si>
  <si>
    <t>Raghunathpur(M)</t>
  </si>
  <si>
    <t>Manbazar -I</t>
  </si>
  <si>
    <t>Manbazar -II</t>
  </si>
  <si>
    <t xml:space="preserve">Purulia Town </t>
  </si>
  <si>
    <t>Puncha</t>
  </si>
  <si>
    <t>Purulia-I</t>
  </si>
  <si>
    <t>Purulia-II</t>
  </si>
  <si>
    <t>Jhalda-I</t>
  </si>
  <si>
    <t>Jhalda(M)</t>
  </si>
  <si>
    <t>Sadar (E) Sub-Division</t>
  </si>
  <si>
    <t>Raghunathpur Sub-Division</t>
  </si>
  <si>
    <t>Raghunathpur-II</t>
  </si>
  <si>
    <t>Balarampur</t>
  </si>
  <si>
    <t>Jhalda-II</t>
  </si>
  <si>
    <t>Manbazar-I</t>
  </si>
  <si>
    <t>Manbazar-II</t>
  </si>
  <si>
    <t>-</t>
  </si>
  <si>
    <t>Purulia(M)</t>
  </si>
  <si>
    <t>Population (2011)</t>
  </si>
  <si>
    <t xml:space="preserve"> -</t>
  </si>
  <si>
    <t>Central Bank</t>
  </si>
  <si>
    <t>All Credit Societies (1 + 2 + 3 + 4)</t>
  </si>
  <si>
    <t>Note : HDTW -</t>
  </si>
  <si>
    <t>Note : Under the schemes 
        NOAPS (National Old-age 
        Pension Scheme) &amp; NFBS 
        (National Family Benefit 
        Scheme) etc.</t>
  </si>
  <si>
    <t>Total of All Credit &amp; Non-Credit Societies (5 + 6)</t>
  </si>
  <si>
    <t>Year (as on the last Friday of June)</t>
  </si>
  <si>
    <t>Semi-Urban</t>
  </si>
  <si>
    <t>01-07-1876</t>
  </si>
  <si>
    <t>01-07-1888</t>
  </si>
  <si>
    <t>01-04-1888</t>
  </si>
  <si>
    <t>Nov.,1963</t>
  </si>
  <si>
    <t xml:space="preserve">Jaypur </t>
  </si>
  <si>
    <t>*</t>
  </si>
  <si>
    <t>No.of 
Employees</t>
  </si>
  <si>
    <t>1) District Magistrate, Purulia</t>
  </si>
  <si>
    <t>(a) "Rural" includes all centres having population of 10,000 or less</t>
  </si>
  <si>
    <t>(b) "Semi-urban" includes all centres with population over 10,000 and upto 1 lakh</t>
  </si>
  <si>
    <t>(c) "Urban" includes all centres with population over 1 lakh and upto 10 lakhs</t>
  </si>
  <si>
    <t>New Business</t>
  </si>
  <si>
    <t>Loan Distributed</t>
  </si>
  <si>
    <t>1st year's premium including 1st premium</t>
  </si>
  <si>
    <t>Renewal Premium</t>
  </si>
  <si>
    <t>Department of Statistics &amp; Programme Implementation</t>
  </si>
  <si>
    <t>Employment</t>
  </si>
  <si>
    <t>Domestic</t>
  </si>
  <si>
    <t>Industrial</t>
  </si>
  <si>
    <t>Public lighting</t>
  </si>
  <si>
    <t xml:space="preserve">Agricultural irrigation &amp; dewatering    </t>
  </si>
  <si>
    <t>No.of factories</t>
  </si>
  <si>
    <t>Primary School</t>
  </si>
  <si>
    <t>Middle School</t>
  </si>
  <si>
    <t>High School</t>
  </si>
  <si>
    <t>Higher Secondary School</t>
  </si>
  <si>
    <t>(Area in thousand hectares)</t>
  </si>
  <si>
    <t xml:space="preserve">Marginal </t>
  </si>
  <si>
    <t>Area of holdings</t>
  </si>
  <si>
    <t>Average size of holdings (hect.)</t>
  </si>
  <si>
    <t>No. of accidents occurred</t>
  </si>
  <si>
    <t xml:space="preserve">Collection </t>
  </si>
  <si>
    <t>* In 1000 bales of 180 kgs each</t>
  </si>
  <si>
    <t>3) Education cell under each Municipality / Corporation / Local Body</t>
  </si>
  <si>
    <t>No. of Family Welfare Centres</t>
  </si>
  <si>
    <t>No. of Cases treated</t>
  </si>
  <si>
    <t>No. of Tourist Lodges(Govt.)</t>
  </si>
  <si>
    <t>Police Stations</t>
  </si>
  <si>
    <t>Out-posts</t>
  </si>
  <si>
    <t xml:space="preserve">                Female</t>
  </si>
  <si>
    <t xml:space="preserve">                Total</t>
  </si>
  <si>
    <t>Name of district headquarters</t>
  </si>
  <si>
    <t>Collectorate (L.S.G. Cell), Purulia</t>
  </si>
  <si>
    <t>M / C.T.</t>
  </si>
  <si>
    <t>Sub-division / Town</t>
  </si>
  <si>
    <t>M</t>
  </si>
  <si>
    <t>Super/Director of the
respective (L.S.G./
Private) Hospitals,
Purulia</t>
  </si>
  <si>
    <t>1) Dy. C.M.O.H.-II, Purulia</t>
  </si>
  <si>
    <t>2) Kangsabati North Divn., Purulia</t>
  </si>
  <si>
    <t>2) Kangsabati South Divn., Purulia</t>
  </si>
  <si>
    <t>Source : Divisional Engineer (R.E.) Div., W.B.S.E.D.C.L., Purulia</t>
  </si>
  <si>
    <t xml:space="preserve"> Sergeant / Armed S.I.</t>
  </si>
  <si>
    <t>Head Constable / Head Police Driver</t>
  </si>
  <si>
    <t>Constable / Driver</t>
  </si>
  <si>
    <t>Asstt. Sub-Inspector / Asstt. Sergeant</t>
  </si>
  <si>
    <t>Sub-divisional Controller,
Food &amp; Supply,Purulia &amp; Raghunathpur</t>
  </si>
  <si>
    <t>Other Fibres</t>
  </si>
  <si>
    <t>Education :</t>
  </si>
  <si>
    <t>Banking :</t>
  </si>
  <si>
    <t>Employment situation:</t>
  </si>
  <si>
    <t>Total Fibres</t>
  </si>
  <si>
    <t>All crops combined</t>
  </si>
  <si>
    <t>Post</t>
  </si>
  <si>
    <t>Vested waste land</t>
  </si>
  <si>
    <t>Mulberry</t>
  </si>
  <si>
    <t>Tasar</t>
  </si>
  <si>
    <t>Eri</t>
  </si>
  <si>
    <t>Muga</t>
  </si>
  <si>
    <t>Sector</t>
  </si>
  <si>
    <t>Sectors</t>
  </si>
  <si>
    <t>(a) Teachers' Training(B.Ed.+Phy.Ed.) Colleges</t>
  </si>
  <si>
    <t>Agricultural</t>
  </si>
  <si>
    <t>Non-agricultural</t>
  </si>
  <si>
    <t>Combined</t>
  </si>
  <si>
    <t>(a) D.I.(Secondary)</t>
  </si>
  <si>
    <t>(a) General Stream(Including independent H.S.School)</t>
  </si>
  <si>
    <t>(b) Vocational Stream(Including independent H.S.School)</t>
  </si>
  <si>
    <t>STUDY CENTRES OF OPEN UNIVERSITIES</t>
  </si>
  <si>
    <t>Recognized Sanskrit Tols</t>
  </si>
  <si>
    <t>Hired workers</t>
  </si>
  <si>
    <t>Females employed</t>
  </si>
  <si>
    <t>Occupational Group</t>
  </si>
  <si>
    <t>Industrial supervisory</t>
  </si>
  <si>
    <t>Skilled &amp; Semi-Skilled</t>
  </si>
  <si>
    <t>Clerical</t>
  </si>
  <si>
    <t>Educational</t>
  </si>
  <si>
    <t>Unskilled</t>
  </si>
  <si>
    <t>All groups</t>
  </si>
  <si>
    <t>Old-age assistance</t>
  </si>
  <si>
    <t>Recipients (No.)</t>
  </si>
  <si>
    <t>Widow assistance</t>
  </si>
  <si>
    <t>Handicapped assistance</t>
  </si>
  <si>
    <t>Class of Offence</t>
  </si>
  <si>
    <t>Murder</t>
  </si>
  <si>
    <t>Dacoity</t>
  </si>
  <si>
    <t>Robbery</t>
  </si>
  <si>
    <t>Burglary</t>
  </si>
  <si>
    <t>Rioting</t>
  </si>
  <si>
    <t>Theft</t>
  </si>
  <si>
    <t>Offences against women</t>
  </si>
  <si>
    <t>Cases Tried</t>
  </si>
  <si>
    <t>Persons Convicted</t>
  </si>
  <si>
    <t>Persons Acquitted</t>
  </si>
  <si>
    <t>Name of Sub-division</t>
  </si>
  <si>
    <t>Category of police force</t>
  </si>
  <si>
    <t>S.D.P.O.</t>
  </si>
  <si>
    <t>Inspector</t>
  </si>
  <si>
    <t>Sub-Inspector</t>
  </si>
  <si>
    <t>J.C.O.</t>
  </si>
  <si>
    <t>Naik</t>
  </si>
  <si>
    <t>31.10.2010</t>
  </si>
  <si>
    <t>16.12.2013</t>
  </si>
  <si>
    <t>Name of Zilla Parishad</t>
  </si>
  <si>
    <t>Date of Establishment</t>
  </si>
  <si>
    <t>Land Revenue</t>
  </si>
  <si>
    <t>Sub-centres</t>
  </si>
  <si>
    <t>(Population in Number)</t>
  </si>
  <si>
    <t>No. of Medical Institutions in</t>
  </si>
  <si>
    <t>Others
(CC+OP+MTP etc.)</t>
  </si>
  <si>
    <t xml:space="preserve"> * * * * * * </t>
  </si>
  <si>
    <t>2.1(b)</t>
  </si>
  <si>
    <t>Stamp Revenue &amp; Registration Fees</t>
  </si>
  <si>
    <t>Excise Revenue</t>
  </si>
  <si>
    <t>Sales Tax</t>
  </si>
  <si>
    <t>Taxes on Vehicles</t>
  </si>
  <si>
    <t>Electricity Duty</t>
  </si>
  <si>
    <t>Agri.Income Tax</t>
  </si>
  <si>
    <t>Other Taxes</t>
  </si>
  <si>
    <t>Entertain-
ment Tax</t>
  </si>
  <si>
    <t>Profes-
sional Tax</t>
  </si>
  <si>
    <t>Culturable waste land</t>
  </si>
  <si>
    <t>Commodity</t>
  </si>
  <si>
    <t>Market</t>
  </si>
  <si>
    <t>Source : Superintendent of Police, Purulia</t>
  </si>
  <si>
    <t>Principal Market Yard</t>
  </si>
  <si>
    <t xml:space="preserve">                            Female</t>
  </si>
  <si>
    <t xml:space="preserve"> Population  (Number)</t>
  </si>
  <si>
    <t>P.C. of Population to district Population</t>
  </si>
  <si>
    <t>Urban Population</t>
  </si>
  <si>
    <t xml:space="preserve">Rural Population </t>
  </si>
  <si>
    <t>Rural Population</t>
  </si>
  <si>
    <t>Religious Community</t>
  </si>
  <si>
    <t>*  Included in "Others"</t>
  </si>
  <si>
    <t xml:space="preserve">* Newly established </t>
  </si>
  <si>
    <t>5) I.C.D.S. Cell under D.M.Office</t>
  </si>
  <si>
    <t>Sitting Capacity
(Number)</t>
  </si>
  <si>
    <t>Source : Directorate of Agricultural Marketing, Govt. of W.B.</t>
  </si>
  <si>
    <t>Combined Office</t>
  </si>
  <si>
    <t>No. of mouzas having drinking water facilities</t>
  </si>
  <si>
    <t>Poultry Birds</t>
  </si>
  <si>
    <t>Sub-Market Yard</t>
  </si>
  <si>
    <t xml:space="preserve">Month </t>
  </si>
  <si>
    <t>Annual average</t>
  </si>
  <si>
    <t>Modified ration shop</t>
  </si>
  <si>
    <t xml:space="preserve">
Employment in State Government Offices (As on 31st March)
</t>
  </si>
  <si>
    <t xml:space="preserve">Centre : Bankura &amp; Purulia </t>
  </si>
  <si>
    <t>(Kilometre)</t>
  </si>
  <si>
    <t>P.W.D.</t>
  </si>
  <si>
    <t>Zilla Parishad</t>
  </si>
  <si>
    <t>Gram Panchayat &amp; Panchayat Samity</t>
  </si>
  <si>
    <t>National Highways</t>
  </si>
  <si>
    <t>State Highways</t>
  </si>
  <si>
    <t>District Roads</t>
  </si>
  <si>
    <t>Village Roads</t>
  </si>
  <si>
    <t>Year (as on 31st March)</t>
  </si>
  <si>
    <t>Goods Vehicles</t>
  </si>
  <si>
    <t>Motor car &amp; Jeep</t>
  </si>
  <si>
    <t>Motor cycle &amp; Scooter</t>
  </si>
  <si>
    <t>Taxi &amp; Contract Carriage</t>
  </si>
  <si>
    <t>Auto Rickshaw</t>
  </si>
  <si>
    <t>(d) "Metropolitan" includes all centres with population over 10 lakhs</t>
  </si>
  <si>
    <t>Commercial</t>
  </si>
  <si>
    <t>Statutory ration shop</t>
  </si>
  <si>
    <t>Oil Seeds :</t>
  </si>
  <si>
    <t>Fibres :</t>
  </si>
  <si>
    <t>Miscellaneous crops :</t>
  </si>
  <si>
    <t>P.C. of Col.(9) to respective total workers</t>
  </si>
  <si>
    <t>(23)</t>
  </si>
  <si>
    <t>2011-12*</t>
  </si>
  <si>
    <t>* Excluding Raghunathpur Branch</t>
  </si>
  <si>
    <t>(24)</t>
  </si>
  <si>
    <t>(25)</t>
  </si>
  <si>
    <t>(26)</t>
  </si>
  <si>
    <t>(27)</t>
  </si>
  <si>
    <t>(28)</t>
  </si>
  <si>
    <t>(29)</t>
  </si>
  <si>
    <t>(30)</t>
  </si>
  <si>
    <t>(31)</t>
  </si>
  <si>
    <t>(32)</t>
  </si>
  <si>
    <t>(33)</t>
  </si>
  <si>
    <t>(34)</t>
  </si>
  <si>
    <t>(35)</t>
  </si>
  <si>
    <t>(36)</t>
  </si>
  <si>
    <t>(2001)</t>
  </si>
  <si>
    <t>Out-
growth
(2011)</t>
  </si>
  <si>
    <t>Census Town
(2011)</t>
  </si>
  <si>
    <t>(38)</t>
  </si>
  <si>
    <t>(37)</t>
  </si>
  <si>
    <t>(39)</t>
  </si>
  <si>
    <t>(40)</t>
  </si>
  <si>
    <t>(41)</t>
  </si>
  <si>
    <t>(42)</t>
  </si>
  <si>
    <t>(43)</t>
  </si>
  <si>
    <t>(44)</t>
  </si>
  <si>
    <t>Mini Bus</t>
  </si>
  <si>
    <t>All other Commercial &amp; Vocational Institutions (Affiliated to W.B. State Council of Technical Education)</t>
  </si>
  <si>
    <t>* Figures of Sakshar
   Bharat Only</t>
  </si>
  <si>
    <t>farmers*</t>
  </si>
  <si>
    <t>1) Marginal farmer possesses agricultural land 
    measuring upto 1 hectare</t>
  </si>
  <si>
    <t>2) Small farmer possesses agricultural land 
    measuring more than 1 hectare and upto 2 hectares</t>
  </si>
  <si>
    <t>* As per Agricultural Census, 2010-11</t>
  </si>
  <si>
    <t>Notes :</t>
  </si>
  <si>
    <t>Notes :-</t>
  </si>
  <si>
    <t>Commercial &amp; Gramin (No. in ' 000)</t>
  </si>
  <si>
    <t>Working Capital ( ' 000 Rs.)</t>
  </si>
  <si>
    <t>labourers (2011)</t>
  </si>
  <si>
    <t xml:space="preserve">    under the new programme named Sakshar Bharat Mission in this district.</t>
  </si>
  <si>
    <t xml:space="preserve">    Instead of this V.T.Centres/ A.E.C.(Adult Education Centre) are being run </t>
  </si>
  <si>
    <t>Mass Literacy Centre
(Continuing Education Programme)</t>
  </si>
  <si>
    <t>Stage Carriage</t>
  </si>
  <si>
    <t>No. of persons injured</t>
  </si>
  <si>
    <t>Post Office</t>
  </si>
  <si>
    <t>handbook for the year</t>
  </si>
  <si>
    <t>Telegraph Office</t>
  </si>
  <si>
    <t>Source : Post Master General, West Bengal Circle</t>
  </si>
  <si>
    <t>Name of Block</t>
  </si>
  <si>
    <t xml:space="preserve">        (Number)</t>
  </si>
  <si>
    <t>Sl.</t>
  </si>
  <si>
    <t>Bargadars</t>
  </si>
  <si>
    <t>Patta</t>
  </si>
  <si>
    <t>holders</t>
  </si>
  <si>
    <t>TECHNICAL SCHOOLS</t>
  </si>
  <si>
    <t>TECHNICAL COLLEGES</t>
  </si>
  <si>
    <t>TECHNICAL UNIVERSITIES</t>
  </si>
  <si>
    <t>District Total</t>
  </si>
  <si>
    <t>Paddy(Aman Fine)</t>
  </si>
  <si>
    <t>Manbazar</t>
  </si>
  <si>
    <t>Qtl.</t>
  </si>
  <si>
    <t>Paddy(Common)</t>
  </si>
  <si>
    <t xml:space="preserve">   "</t>
  </si>
  <si>
    <t>Offences Reported</t>
  </si>
  <si>
    <t>Net area under effective piscicul-ture (hect.)</t>
  </si>
  <si>
    <t>Rice(Common)</t>
  </si>
  <si>
    <t>Musur(Small)</t>
  </si>
  <si>
    <t>Rice(Aman Fine)</t>
  </si>
  <si>
    <t>Musur(Deshi Big)</t>
  </si>
  <si>
    <t>Matar</t>
  </si>
  <si>
    <t>Arhar</t>
  </si>
  <si>
    <t>Khesari</t>
  </si>
  <si>
    <t>Egg(Hen)</t>
  </si>
  <si>
    <t xml:space="preserve">  Kashipur</t>
  </si>
  <si>
    <t>100 Nos.</t>
  </si>
  <si>
    <t>Cow(Milk)</t>
  </si>
  <si>
    <t>Receipt</t>
  </si>
  <si>
    <t xml:space="preserve">    "</t>
  </si>
  <si>
    <t>100 Ltr.</t>
  </si>
  <si>
    <t>Cow(Skin)</t>
  </si>
  <si>
    <t xml:space="preserve">  Purulia</t>
  </si>
  <si>
    <t>Per Piece</t>
  </si>
  <si>
    <t>Onion(Deshi)</t>
  </si>
  <si>
    <t>3) District Social Education Officer</t>
  </si>
  <si>
    <t>4) District Social Welfare Officer</t>
  </si>
  <si>
    <t>Establishments with hired workers</t>
  </si>
  <si>
    <t>Own Account Establishments</t>
  </si>
  <si>
    <t>Nitrogen (N)</t>
  </si>
  <si>
    <t>Phosphate (P)</t>
  </si>
  <si>
    <t>Potash (K)</t>
  </si>
  <si>
    <t xml:space="preserve">                         Sources :</t>
  </si>
  <si>
    <t xml:space="preserve"> Manbazar</t>
  </si>
  <si>
    <t>Total Earning 
( ' 000 Rs.)</t>
  </si>
  <si>
    <t>Sources : All  Municipalities, Purulia</t>
  </si>
  <si>
    <t xml:space="preserve">Raghunathpur Sub-Division      </t>
  </si>
  <si>
    <t>Gur</t>
  </si>
  <si>
    <t>Sheep Alive(15 Kgs.)</t>
  </si>
  <si>
    <t xml:space="preserve">Goat Alive(12 Kgs.)    </t>
  </si>
  <si>
    <t>Maskalai</t>
  </si>
  <si>
    <t>Mustard</t>
  </si>
  <si>
    <t>3823*</t>
  </si>
  <si>
    <t>Crore Cut Flowers</t>
  </si>
  <si>
    <t xml:space="preserve">2010-11 </t>
  </si>
  <si>
    <t>Linseed</t>
  </si>
  <si>
    <t>Prod.</t>
  </si>
  <si>
    <t>Yield</t>
  </si>
  <si>
    <t>Prod.*</t>
  </si>
  <si>
    <t>Yield**</t>
  </si>
  <si>
    <t>Canal</t>
  </si>
  <si>
    <t>Area</t>
  </si>
  <si>
    <t xml:space="preserve"> </t>
  </si>
  <si>
    <t>No. of Govt. Schemes operated</t>
  </si>
  <si>
    <t>Cattle</t>
  </si>
  <si>
    <t xml:space="preserve">Kashipur </t>
  </si>
  <si>
    <t xml:space="preserve">Neturia  </t>
  </si>
  <si>
    <t>Number of Bank offices</t>
  </si>
  <si>
    <t>Wholesale Prices of Agricultural Commodities, Live-stock &amp; Live-stock Products</t>
  </si>
  <si>
    <t>Consumption of Electricity</t>
  </si>
  <si>
    <t>Primary Land Mortgage Bank</t>
  </si>
  <si>
    <t>Area of land distributed 
(Hectare)</t>
  </si>
  <si>
    <t>Number of Beneficiaries</t>
  </si>
  <si>
    <t>Miscellaneous</t>
  </si>
  <si>
    <t>Dist. Panchayat Office, Purulia</t>
  </si>
  <si>
    <t>Source : All Block Development Officers, Purulia</t>
  </si>
  <si>
    <t>District Panchayat &amp; Rural Development Office, Purulia</t>
  </si>
  <si>
    <r>
      <t>Average population per office</t>
    </r>
    <r>
      <rPr>
        <vertAlign val="superscript"/>
        <sz val="10"/>
        <color indexed="60"/>
        <rFont val="Arial"/>
        <family val="2"/>
      </rPr>
      <t>#</t>
    </r>
    <r>
      <rPr>
        <sz val="10"/>
        <color indexed="60"/>
        <rFont val="Arial"/>
        <family val="2"/>
      </rPr>
      <t xml:space="preserve"> (in thousand)</t>
    </r>
  </si>
  <si>
    <t>Gramin Bank</t>
  </si>
  <si>
    <t>Below 1.0 hectare</t>
  </si>
  <si>
    <t>1.0 hectare and above but less than 2.0 hectares</t>
  </si>
  <si>
    <t>2.0 hectares and above but less than 4.0 hectares</t>
  </si>
  <si>
    <t>4.0 hectares and above but less than 10.0 hectares</t>
  </si>
  <si>
    <t>Para &amp; 
Santaldih (P)</t>
  </si>
  <si>
    <t>10.0 hectares and above. It includes mostly institutional holdings</t>
  </si>
  <si>
    <t xml:space="preserve"> River  Lift Irrigation</t>
  </si>
  <si>
    <t xml:space="preserve"> Open Dug Well</t>
  </si>
  <si>
    <t xml:space="preserve"> Deep Tubewell =HDTW+MDTW+LDTW</t>
  </si>
  <si>
    <t>3)</t>
  </si>
  <si>
    <t>4)</t>
  </si>
  <si>
    <t xml:space="preserve">Zilla Parishad, Purulia </t>
  </si>
  <si>
    <t>Panchayat Samities, Purulia</t>
  </si>
  <si>
    <t>Gram  Panchayats, Purulia</t>
  </si>
  <si>
    <t xml:space="preserve">Deputy Director of Tourism, Purulia         </t>
  </si>
  <si>
    <t>Deputy Project Director, W.B.C.A.D.C.,</t>
  </si>
  <si>
    <t>TABLE 13.1 (Concld.)</t>
  </si>
  <si>
    <t>Climate :</t>
  </si>
  <si>
    <t>22º43' 00"N</t>
  </si>
  <si>
    <t>Distribution of Population by sex and by age group in the district of Purulia, 2001</t>
  </si>
  <si>
    <t>Raghunathpur Sub-Div.</t>
  </si>
  <si>
    <t xml:space="preserve">           Ind. = Industry</t>
  </si>
  <si>
    <t>Scheduled Caste</t>
  </si>
  <si>
    <t>1*</t>
  </si>
  <si>
    <t xml:space="preserve"> February</t>
  </si>
  <si>
    <t xml:space="preserve">March </t>
  </si>
  <si>
    <t xml:space="preserve">April </t>
  </si>
  <si>
    <t xml:space="preserve"> July</t>
  </si>
  <si>
    <t>Beds per lakh of Population (Census 2011)</t>
  </si>
  <si>
    <t>Source : Census of India, 2001 &amp; 2011</t>
  </si>
  <si>
    <t xml:space="preserve"> (a)  less than 50 hectares</t>
  </si>
  <si>
    <t>(b)  Less than 50 tonnes</t>
  </si>
  <si>
    <t>Manufacture of rubber and plastic products</t>
  </si>
  <si>
    <t>Year / Month</t>
  </si>
  <si>
    <t xml:space="preserve">May  </t>
  </si>
  <si>
    <t xml:space="preserve"> August</t>
  </si>
  <si>
    <t>( Base :  2006-07 = 100 )</t>
  </si>
  <si>
    <t>Centre : Purulia</t>
  </si>
  <si>
    <t>Scheduled Tribe</t>
  </si>
  <si>
    <t xml:space="preserve">Rural </t>
  </si>
  <si>
    <t xml:space="preserve">Urban </t>
  </si>
  <si>
    <t>Unsurfaced</t>
  </si>
  <si>
    <t>District:-</t>
  </si>
  <si>
    <t>Number of Cinema House</t>
  </si>
  <si>
    <t>2005-06</t>
  </si>
  <si>
    <t>Land under misc. tree groves not included in Net area sown</t>
  </si>
  <si>
    <t>Number of</t>
  </si>
  <si>
    <t>P.W.D.(Roads), Govt. of  W.B.</t>
  </si>
  <si>
    <t>1088*</t>
  </si>
  <si>
    <t>Home(Transport) Deptt., Govt. of  W.B.</t>
  </si>
  <si>
    <t>R.T.A., Purulia</t>
  </si>
  <si>
    <t>No. of Tourists carried</t>
  </si>
  <si>
    <t>No. of Tourists 
staying in 
Tourist Lodges</t>
  </si>
  <si>
    <t>Minor Offences</t>
  </si>
  <si>
    <t>Addl. Superintendent</t>
  </si>
  <si>
    <t>Dy. Superintendent</t>
  </si>
  <si>
    <t>Social Welfare Homes under M.E.E. Deptt.</t>
  </si>
  <si>
    <t>District Total- 3</t>
  </si>
  <si>
    <t>Sub-Division / C.D.Block / M</t>
  </si>
  <si>
    <t>Sub-Division 
/ C.D.Block/ M</t>
  </si>
  <si>
    <t xml:space="preserve">No. of persons engaged in the profession </t>
  </si>
  <si>
    <t>Sl.  No.</t>
  </si>
  <si>
    <t>2.1(a)</t>
  </si>
  <si>
    <t>2.4(a)</t>
  </si>
  <si>
    <t>2.4(b)</t>
  </si>
  <si>
    <t>2.5(a)</t>
  </si>
  <si>
    <t>2.5(b)</t>
  </si>
  <si>
    <t>2.10(a)</t>
  </si>
  <si>
    <t>3.2(a)</t>
  </si>
  <si>
    <t>1.2</t>
  </si>
  <si>
    <t>1.1</t>
  </si>
  <si>
    <t>1.3</t>
  </si>
  <si>
    <t>1.4</t>
  </si>
  <si>
    <t>2.1</t>
  </si>
  <si>
    <t>2.2</t>
  </si>
  <si>
    <t>2.3</t>
  </si>
  <si>
    <t>2.6</t>
  </si>
  <si>
    <t>2. Forest Produce</t>
  </si>
  <si>
    <t>3. Revenue &amp; Expenditure</t>
  </si>
  <si>
    <t>2.7</t>
  </si>
  <si>
    <t>2.8</t>
  </si>
  <si>
    <t>2.9</t>
  </si>
  <si>
    <t>2.10</t>
  </si>
  <si>
    <t>2.11</t>
  </si>
  <si>
    <t>3.1</t>
  </si>
  <si>
    <t>3.2</t>
  </si>
  <si>
    <t>3.3</t>
  </si>
  <si>
    <t>Assembly and Parliamentary Constituencies</t>
  </si>
  <si>
    <t>(a) Medical (Allopathic, Dental, Homeopathic, Ayurvedic)
 Colleges</t>
  </si>
  <si>
    <t>(f) Institute of Radiology / Pathology / Bio-Chemistry / 
Laboratory Technology / Radiography / Physiotherapy / 
Radiotherapy / ECG</t>
  </si>
  <si>
    <t>Students by sex in different type of General Educational Institutions</t>
  </si>
  <si>
    <t>Institutions,Students &amp; Teachers by Block &amp; Municipality</t>
  </si>
  <si>
    <t>Post &amp; Telegraph Offices</t>
  </si>
  <si>
    <t>No. of Factories</t>
  </si>
  <si>
    <t>Pradhan Mantri  
Gram Sadak Yojana</t>
  </si>
  <si>
    <t>Pradhan Mantri 
Gram Sadak Yojana</t>
  </si>
  <si>
    <r>
      <t xml:space="preserve">Recognized </t>
    </r>
    <r>
      <rPr>
        <b/>
        <u/>
        <sz val="10"/>
        <rFont val="Arial"/>
        <family val="2"/>
      </rPr>
      <t>Primary Schools</t>
    </r>
    <r>
      <rPr>
        <b/>
        <sz val="10"/>
        <rFont val="Arial"/>
        <family val="2"/>
      </rPr>
      <t xml:space="preserve"> under the control of or of  the type of</t>
    </r>
  </si>
  <si>
    <r>
      <t xml:space="preserve">Recognized </t>
    </r>
    <r>
      <rPr>
        <b/>
        <u/>
        <sz val="10"/>
        <rFont val="Arial"/>
        <family val="2"/>
      </rPr>
      <t>Middle Schools</t>
    </r>
    <r>
      <rPr>
        <b/>
        <sz val="10"/>
        <rFont val="Arial"/>
        <family val="2"/>
      </rPr>
      <t xml:space="preserve"> under the control of or of the type of</t>
    </r>
  </si>
  <si>
    <r>
      <t xml:space="preserve">Recognized </t>
    </r>
    <r>
      <rPr>
        <b/>
        <u/>
        <sz val="10"/>
        <rFont val="Arial"/>
        <family val="2"/>
      </rPr>
      <t>High Schools</t>
    </r>
    <r>
      <rPr>
        <b/>
        <sz val="10"/>
        <rFont val="Arial"/>
        <family val="2"/>
      </rPr>
      <t xml:space="preserve"> under the control of or of  the type of</t>
    </r>
  </si>
  <si>
    <r>
      <t xml:space="preserve">Recognized </t>
    </r>
    <r>
      <rPr>
        <b/>
        <u/>
        <sz val="10"/>
        <rFont val="Arial"/>
        <family val="2"/>
      </rPr>
      <t>Higher Secondary Schools</t>
    </r>
    <r>
      <rPr>
        <b/>
        <sz val="10"/>
        <rFont val="Arial"/>
        <family val="2"/>
      </rPr>
      <t xml:space="preserve"> under the control of or of the type of</t>
    </r>
  </si>
  <si>
    <r>
      <t xml:space="preserve">Recognized </t>
    </r>
    <r>
      <rPr>
        <b/>
        <u/>
        <sz val="10"/>
        <rFont val="Arial"/>
        <family val="2"/>
      </rPr>
      <t>Middle Schools</t>
    </r>
    <r>
      <rPr>
        <b/>
        <sz val="10"/>
        <rFont val="Arial"/>
        <family val="2"/>
      </rPr>
      <t xml:space="preserve"> under the control of or of  the type of</t>
    </r>
  </si>
  <si>
    <r>
      <t xml:space="preserve">Recognized </t>
    </r>
    <r>
      <rPr>
        <b/>
        <u/>
        <sz val="10"/>
        <rFont val="Arial"/>
        <family val="2"/>
      </rPr>
      <t>High Schools</t>
    </r>
    <r>
      <rPr>
        <b/>
        <sz val="10"/>
        <rFont val="Arial"/>
        <family val="2"/>
      </rPr>
      <t xml:space="preserve"> under the control of or of the type of</t>
    </r>
  </si>
  <si>
    <r>
      <t xml:space="preserve">Recognized </t>
    </r>
    <r>
      <rPr>
        <b/>
        <u/>
        <sz val="10"/>
        <rFont val="Arial"/>
        <family val="2"/>
      </rPr>
      <t>Higher Secondary Schools</t>
    </r>
    <r>
      <rPr>
        <b/>
        <sz val="10"/>
        <rFont val="Arial"/>
        <family val="2"/>
      </rPr>
      <t xml:space="preserve"> under the control of or of  the type of</t>
    </r>
  </si>
  <si>
    <t>Agricultural Census, 2010-11</t>
  </si>
  <si>
    <t>DTW</t>
  </si>
  <si>
    <t xml:space="preserve">STW </t>
  </si>
  <si>
    <t xml:space="preserve">ODW </t>
  </si>
  <si>
    <t>3) Asstt. Engr.(Agri. Mech.), Purulia</t>
  </si>
  <si>
    <t>No. of Originating/ Terminating Bus routes</t>
  </si>
  <si>
    <t>2) Treasury Offices, Purulia &amp; Raghunathpur</t>
  </si>
  <si>
    <t xml:space="preserve">Teachers in different type of Professional &amp; Technical Educational Institutions </t>
  </si>
  <si>
    <t>Teachers in different type of Special &amp; Non-formal Educational Institutions</t>
  </si>
  <si>
    <t>Outgrowth</t>
  </si>
  <si>
    <t>Source : District Census Handbook,1961</t>
  </si>
  <si>
    <t>No. of
 Un-reserved constituencies</t>
  </si>
  <si>
    <t>No. of Constituencies reserved for</t>
  </si>
  <si>
    <t xml:space="preserve">Population </t>
  </si>
  <si>
    <t xml:space="preserve">Total Population </t>
  </si>
  <si>
    <r>
      <t xml:space="preserve">                 ..</t>
    </r>
    <r>
      <rPr>
        <sz val="10"/>
        <color indexed="18"/>
        <rFont val="Arial"/>
        <family val="2"/>
      </rPr>
      <t xml:space="preserve">        =</t>
    </r>
  </si>
  <si>
    <t xml:space="preserve">                 P        =</t>
  </si>
  <si>
    <t xml:space="preserve">                 R        =</t>
  </si>
  <si>
    <t xml:space="preserve">                 I          =</t>
  </si>
  <si>
    <t xml:space="preserve">                 C        =</t>
  </si>
  <si>
    <t xml:space="preserve">                 E        =</t>
  </si>
  <si>
    <t xml:space="preserve">                 P.C.    =</t>
  </si>
  <si>
    <t xml:space="preserve">                 M.C.    =</t>
  </si>
  <si>
    <t xml:space="preserve">                 M        =</t>
  </si>
  <si>
    <t xml:space="preserve">                 O.G.    =</t>
  </si>
  <si>
    <t xml:space="preserve">                 C.T.     =</t>
  </si>
  <si>
    <t xml:space="preserve">                 N.A.     =</t>
  </si>
  <si>
    <r>
      <t xml:space="preserve">                 -</t>
    </r>
    <r>
      <rPr>
        <sz val="10"/>
        <color indexed="18"/>
        <rFont val="Arial"/>
        <family val="2"/>
      </rPr>
      <t xml:space="preserve">        =</t>
    </r>
  </si>
  <si>
    <t>No. of Males</t>
  </si>
  <si>
    <t>No. of Females</t>
  </si>
  <si>
    <t xml:space="preserve">District Total  2011                   </t>
  </si>
  <si>
    <t>P.C.to total population of  district</t>
  </si>
  <si>
    <t>All Religions</t>
  </si>
  <si>
    <t>Hospitals</t>
  </si>
  <si>
    <t>Kg.per hect.</t>
  </si>
  <si>
    <t>(P)= Part</t>
  </si>
  <si>
    <t>Source : Directorate of Agriculture,  Govt. of W.B.</t>
  </si>
  <si>
    <t xml:space="preserve">           A I C -  Artificial Insemination Centre </t>
  </si>
  <si>
    <t>Price as on February(in Rs.)</t>
  </si>
  <si>
    <t>* In thousand bales of 180 kgs. each</t>
  </si>
  <si>
    <t>TABLE 3.3(a)</t>
  </si>
  <si>
    <t>Municipal Corporations</t>
  </si>
  <si>
    <t>Municipalities</t>
  </si>
  <si>
    <t>Blocks</t>
  </si>
  <si>
    <t>Sub-divisions</t>
  </si>
  <si>
    <t>University (Gen. &amp; Tech.)</t>
  </si>
  <si>
    <t>Number of Deaths by age group</t>
  </si>
  <si>
    <t>Source : Heads of all Technical and Professional Institutions, Purulia</t>
  </si>
  <si>
    <t>All other Commercial &amp; Vocational Institutions (Affiliated to W.B.State Council of Technical Education)</t>
  </si>
  <si>
    <t>Madhyamik Siksha Kendras</t>
  </si>
  <si>
    <t>Local Bodies</t>
  </si>
  <si>
    <t>Primary Health Centres</t>
  </si>
  <si>
    <t>2013-14</t>
  </si>
  <si>
    <t>5397**</t>
  </si>
  <si>
    <t>112 (P)</t>
  </si>
  <si>
    <t>7390 (P)</t>
  </si>
  <si>
    <t>N.B. :  1 Ganda = 4 No, 1 Pon = 20 Ganda =  80 No, 1 Kahan = 16 Pon = 320 Ganda = 1280 No.</t>
  </si>
  <si>
    <t>Net area available for pisciculture (hect.)</t>
  </si>
  <si>
    <t>N.G.O/
Private Bodies
(Nursing Homes)</t>
  </si>
  <si>
    <t>Block Primary Health Centres</t>
  </si>
  <si>
    <t>Gram Panchayat &amp;
 Panchayat Samity</t>
  </si>
  <si>
    <t>Centres of Rabindra Mukta Vidyalaya</t>
  </si>
  <si>
    <t>Reformatory or certified Institutions or Welfare Homes under Social Welfare Deptt.for the Juveniles or destitute children or the children of  red-light areas</t>
  </si>
  <si>
    <t>2) District Mass Education Extension Officer</t>
  </si>
  <si>
    <r>
      <t xml:space="preserve">Amount disbursed </t>
    </r>
    <r>
      <rPr>
        <sz val="10"/>
        <color indexed="60"/>
        <rFont val="Arial Narrow"/>
        <family val="2"/>
      </rPr>
      <t>(in thousand rupees)</t>
    </r>
  </si>
  <si>
    <t>Mental illness</t>
  </si>
  <si>
    <t>Mental retarded</t>
  </si>
  <si>
    <t>Other disability</t>
  </si>
  <si>
    <t>Multiple disability</t>
  </si>
  <si>
    <t>Educational Institutions for the Blind and other  Physically &amp;  Mentally Handicapped</t>
  </si>
  <si>
    <t>Educational Institutions for the Blind and other  Physically &amp; Mentally Handicapped</t>
  </si>
  <si>
    <t>3) District Mass Education Extension Officer</t>
  </si>
  <si>
    <t>Educational Institutions for the Blind and other Physically &amp; Mentally Handicapped</t>
  </si>
  <si>
    <t>4.4</t>
  </si>
  <si>
    <t>4.5</t>
  </si>
  <si>
    <t>4.6</t>
  </si>
  <si>
    <t>4.7</t>
  </si>
  <si>
    <t>4.8</t>
  </si>
  <si>
    <t>5.1(a)</t>
  </si>
  <si>
    <t>5.1(b)</t>
  </si>
  <si>
    <t>C.T.</t>
  </si>
  <si>
    <t>Adra</t>
  </si>
  <si>
    <t>Par Beliya</t>
  </si>
  <si>
    <t>Arra</t>
  </si>
  <si>
    <t>Chapuri</t>
  </si>
  <si>
    <t>Hijuli</t>
  </si>
  <si>
    <t>Nabagram</t>
  </si>
  <si>
    <t>Santaldih Thermal Power Project Town</t>
  </si>
  <si>
    <t xml:space="preserve">
2.</t>
  </si>
  <si>
    <r>
      <t>#</t>
    </r>
    <r>
      <rPr>
        <sz val="9"/>
        <rFont val="Arial"/>
        <family val="2"/>
      </rPr>
      <t xml:space="preserve"> As per 2001 Census Population</t>
    </r>
  </si>
  <si>
    <t xml:space="preserve">        The present issue of the District Statistical Handbook seeks to provide statistical information on various socio-economic aspects of the district in a compact form. Attempts have been made to incorporate up-to-date information so that continuity of the time series of the data published in earlier issues is maintained. Data at the Block level have also been incorporated as far as available, so that those could be effectively used by planners, policymakers and researchers.
       I express my gratitude to the different offices situated in the district for active co-operation received from their end in timely supply of data. I like to put in my appreciation to the officials of the Handbook, Co-ordination &amp; Nucleus (Compilation) units of the Head Office and  District  office of the Bureau of Applied Economics &amp; Statistics for their sincere and sustained effort in bringing out the publication.
      Suggestions for any improvement of the publication will be highly appreciated. </t>
  </si>
  <si>
    <t>Sadar (W) Sub-Division</t>
  </si>
  <si>
    <t>GENERAL RECOGNIZED SCHOOLS</t>
  </si>
  <si>
    <t>GENERAL DEGREE COLLEGES</t>
  </si>
  <si>
    <t>Panchayat Samity</t>
  </si>
  <si>
    <t>' 000 Hectares</t>
  </si>
  <si>
    <t>Number of Factories, Production of Lac and Persons employed in Lac Industry</t>
  </si>
  <si>
    <t>Percentage of Irrigated area to Cultivated area</t>
  </si>
  <si>
    <t>8.90 *</t>
  </si>
  <si>
    <t>* Irrigation suffered due to severe drought situation</t>
  </si>
  <si>
    <t>Working capital 
(Rs. in thousand)</t>
  </si>
  <si>
    <t>Loans repayment by individuals &amp; other societies 
(Rs. in thousand)</t>
  </si>
  <si>
    <t>Deposits
(Rs. in Crore)</t>
  </si>
  <si>
    <t>Advances
(Rs. in Crore)</t>
  </si>
  <si>
    <t>Divisional Manager, LIC, Asansol</t>
  </si>
  <si>
    <t>- *</t>
  </si>
  <si>
    <t>*  Due to draught prevailing during the year nil production was reported</t>
  </si>
  <si>
    <t>* As on 30th November</t>
  </si>
  <si>
    <t>2011 *</t>
  </si>
  <si>
    <t>All Establishments</t>
  </si>
  <si>
    <t>No. of Ferry Services</t>
  </si>
  <si>
    <t>Current Calendar Year</t>
  </si>
  <si>
    <t>Current Financial Year</t>
  </si>
  <si>
    <t xml:space="preserve">Census Year </t>
  </si>
  <si>
    <t>2001</t>
  </si>
  <si>
    <t>Contents</t>
  </si>
  <si>
    <t>Symbols Used</t>
  </si>
  <si>
    <t>Nil or negligible</t>
  </si>
  <si>
    <t>Not available</t>
  </si>
  <si>
    <t>Provisional</t>
  </si>
  <si>
    <t>Revised</t>
  </si>
  <si>
    <t>Incomplete</t>
  </si>
  <si>
    <t>Estimated</t>
  </si>
  <si>
    <t>Percentage</t>
  </si>
  <si>
    <t>Bureau  of  Applied  Economics  &amp;  Statistics</t>
  </si>
  <si>
    <t>Government  of  West Bengal</t>
  </si>
  <si>
    <t>5.3(a)</t>
  </si>
  <si>
    <t>(Degree Celsius)</t>
  </si>
  <si>
    <t>5.3(e)</t>
  </si>
  <si>
    <t>Area and Production of Flowers</t>
  </si>
  <si>
    <t>(Number in thousand)</t>
  </si>
  <si>
    <t>Population by religion and by sex in the district of Purulia, 2001</t>
  </si>
  <si>
    <t>Hindu</t>
  </si>
  <si>
    <t>Muslim</t>
  </si>
  <si>
    <t>Christian</t>
  </si>
  <si>
    <t>Sikh</t>
  </si>
  <si>
    <t>Buddhist</t>
  </si>
  <si>
    <t>Jain</t>
  </si>
  <si>
    <t xml:space="preserve">Hura </t>
  </si>
  <si>
    <t xml:space="preserve">Puncha </t>
  </si>
  <si>
    <t>5.3(b)</t>
  </si>
  <si>
    <t>5.3(c)</t>
  </si>
  <si>
    <t>5.3(d)</t>
  </si>
  <si>
    <t>5.5(a)</t>
  </si>
  <si>
    <t>Sadar(W) Sub-Division</t>
  </si>
  <si>
    <t xml:space="preserve">Manbazar-I
Manbazar-II </t>
  </si>
  <si>
    <t>Purulia -I 
Purulia-II</t>
  </si>
  <si>
    <t>Raghunathpur -I
Raghunathpur -II</t>
  </si>
  <si>
    <t>8.2(a)</t>
  </si>
  <si>
    <t>8.4(a)</t>
  </si>
  <si>
    <t>TABLE 17.1</t>
  </si>
  <si>
    <t>TABLE 17.2</t>
  </si>
  <si>
    <t>TABLE 18.1</t>
  </si>
  <si>
    <t>TABLE 1.1</t>
  </si>
  <si>
    <t>TABLE 1.2</t>
  </si>
  <si>
    <t>TABLE 2.1(a)</t>
  </si>
  <si>
    <t>TABLE 2.2</t>
  </si>
  <si>
    <t xml:space="preserve">TABLE 2.3   </t>
  </si>
  <si>
    <t>TABLE 2.4(a)</t>
  </si>
  <si>
    <t>TABLE 2.4(b)</t>
  </si>
  <si>
    <t>TABLE 2.5(b)</t>
  </si>
  <si>
    <t>TABLE 2.5(a)</t>
  </si>
  <si>
    <t>TABLE 2.6</t>
  </si>
  <si>
    <t>TABLE 2.7</t>
  </si>
  <si>
    <t>TABLE 2.8</t>
  </si>
  <si>
    <t>TABLE 2.9</t>
  </si>
  <si>
    <t>TABLE 2.10</t>
  </si>
  <si>
    <t>TABLE 2.11</t>
  </si>
  <si>
    <t>TABLE 2.10(a)</t>
  </si>
  <si>
    <t>TABLE 3.1</t>
  </si>
  <si>
    <t>TABLE 3.2</t>
  </si>
  <si>
    <t>TABLE 3.2(a)</t>
  </si>
  <si>
    <t>TABLE 3.3</t>
  </si>
  <si>
    <t>TABLE 4.1(a)</t>
  </si>
  <si>
    <t>TABLE 4.1(b)</t>
  </si>
  <si>
    <t>TABLE 4.1(c)</t>
  </si>
  <si>
    <t>TABLE 4.2(a)</t>
  </si>
  <si>
    <t>TABLE 4.2(b)</t>
  </si>
  <si>
    <t>TABLE 4.2(c)</t>
  </si>
  <si>
    <t>TABLE 4.3(a)</t>
  </si>
  <si>
    <t>TABLE 4.3(b)</t>
  </si>
  <si>
    <t>TABLE 4.3(c)</t>
  </si>
  <si>
    <t>TABLE 4.4</t>
  </si>
  <si>
    <t>TABLE 4.5</t>
  </si>
  <si>
    <t>TABLE 4.6</t>
  </si>
  <si>
    <t>TABLE 4.8</t>
  </si>
  <si>
    <t>TABLE 4.7</t>
  </si>
  <si>
    <t>TABLE 5.1</t>
  </si>
  <si>
    <t>TABLE 5.1(a)</t>
  </si>
  <si>
    <t>TABLE 5.1(b)</t>
  </si>
  <si>
    <t>TABLE 5.2</t>
  </si>
  <si>
    <t>TABLE 5.3</t>
  </si>
  <si>
    <t>TABLE 5.3(a)</t>
  </si>
  <si>
    <t>TABLE 5.3(d)</t>
  </si>
  <si>
    <t>TABLE 5.4</t>
  </si>
  <si>
    <t>TABLE 5.5</t>
  </si>
  <si>
    <t>TABLE 5.5(a)</t>
  </si>
  <si>
    <t>TABLE 5.7</t>
  </si>
  <si>
    <t>TABLE 5.8</t>
  </si>
  <si>
    <t>TABLE 5.6</t>
  </si>
  <si>
    <t>TABLE 6.1</t>
  </si>
  <si>
    <t>TABLE 6.2</t>
  </si>
  <si>
    <t>TABLE 7.1</t>
  </si>
  <si>
    <t>TABLE 7.2</t>
  </si>
  <si>
    <t>TABLE 7.3</t>
  </si>
  <si>
    <t>TABLE 8.1</t>
  </si>
  <si>
    <t>TABLE 8.2</t>
  </si>
  <si>
    <t>TABLE 8.2(a)</t>
  </si>
  <si>
    <t>Director</t>
  </si>
  <si>
    <t>Contents (Concld.)</t>
  </si>
  <si>
    <t>9) Head of  each Sanskrit Tol &amp; Ekalabya School</t>
  </si>
  <si>
    <t>(b) Junior Govt. Polytechnics</t>
  </si>
  <si>
    <t>(a) Pre-primary &amp; Primary Teachers' Training Institutes(PTTI)</t>
  </si>
  <si>
    <t>Persons Engaged in Agriculture in the Blocks</t>
  </si>
  <si>
    <t>Manufacture of fabricated metal products, except machinery and equipment</t>
  </si>
  <si>
    <t>Distribution of Rural &amp; Urban Population by sex, 2001</t>
  </si>
  <si>
    <t>General Educational Institutions by type</t>
  </si>
  <si>
    <t>Professional &amp; Technical Educational Institutions by type</t>
  </si>
  <si>
    <t xml:space="preserve">Special &amp; Non-formal Educational Institutions by type </t>
  </si>
  <si>
    <t>Area of Vested Agricultural Land distributed &amp; Number of Beneficiaries</t>
  </si>
  <si>
    <t xml:space="preserve">Classification of Forest Area, Out-turn of Forest Produce, Revenue &amp; Expenditure </t>
  </si>
  <si>
    <t>Veterinary Hospitals, Veterinary Personnel &amp; Cases treated</t>
  </si>
  <si>
    <t>Consumption of Electricity by different sectors</t>
  </si>
  <si>
    <t>Production in Sericulture Industry</t>
  </si>
  <si>
    <t xml:space="preserve">Employment in Registered Factories &amp; State Government Offices </t>
  </si>
  <si>
    <t xml:space="preserve">Length of Roads maintained by Municipalities </t>
  </si>
  <si>
    <t>Registered Motor Vehicles</t>
  </si>
  <si>
    <t>Strength of Police Force by category</t>
  </si>
  <si>
    <t>Revenue collected from different sources</t>
  </si>
  <si>
    <t>Particulars of Fisheries in the Blocks</t>
  </si>
  <si>
    <t>Estimated Number of Live-stock and Poultry in the Blocks</t>
  </si>
  <si>
    <t>Length of Roads maintained by different agencies in the Blocks</t>
  </si>
  <si>
    <t>Transport Facilities in the Blocks</t>
  </si>
  <si>
    <t>(a) Medical(Allopathic, Dental, Homeopathic, Ayurvedic) Colleges</t>
  </si>
  <si>
    <t>TABLE 18.1 (Contd.)</t>
  </si>
  <si>
    <t>TABLE 18.1 (Concld.)</t>
  </si>
  <si>
    <t>Sl. No.</t>
  </si>
  <si>
    <t>Musur</t>
  </si>
  <si>
    <t>1) B. A. E &amp; S., Govt. of  W.B.</t>
  </si>
  <si>
    <t>** In bales per hectare</t>
  </si>
  <si>
    <t>2) Directorate of  Agri., Govt. of  W.B.</t>
  </si>
  <si>
    <t>1) Directorate of Agriculture, Govt. of W.B.</t>
  </si>
  <si>
    <t>* In bales/ hectare</t>
  </si>
  <si>
    <t>Name of Fruits/ Vegetables</t>
  </si>
  <si>
    <t>Govt. Canal</t>
  </si>
  <si>
    <t>Executive Engineer, Agri. Irrigation, Purulia</t>
  </si>
  <si>
    <t>Executive Engineer, Agri. Mech., Purulia</t>
  </si>
  <si>
    <t>Source : Live-stock Census Report, Govt. of W.B.</t>
  </si>
  <si>
    <t>Dy. Director, Animal Resources &amp; Development Parishad Office, Purulia</t>
  </si>
  <si>
    <t>Type of society/ Year</t>
  </si>
  <si>
    <t>P.C. of advances to deposits</t>
  </si>
  <si>
    <t>No. of offices</t>
  </si>
  <si>
    <t>Urban/ Metropolitan</t>
  </si>
  <si>
    <t>Fresh registration 
during the year</t>
  </si>
  <si>
    <t>Placement effected 
during the year</t>
  </si>
  <si>
    <t>Vacancies notified 
during the year</t>
  </si>
  <si>
    <t>On live-register 
at the end of the year</t>
  </si>
  <si>
    <t>Health &amp; Family Welfare Deptt.,
Govt. of W.B.</t>
  </si>
  <si>
    <t>Other Departments of Govt. of W.B.
including
 State Govt.
Undertaking</t>
  </si>
  <si>
    <t>Govt. of India
 including
 Central Govt.
Undertaking</t>
  </si>
  <si>
    <t xml:space="preserve">Dy. C.M.O.H. - II &amp; III, Purulia </t>
  </si>
  <si>
    <t>No. of holdings</t>
  </si>
  <si>
    <t>Panchayats</t>
  </si>
  <si>
    <t>Towns</t>
  </si>
  <si>
    <t>Fixed Capital 
(Rs. in Lakh)</t>
  </si>
  <si>
    <t xml:space="preserve">Invested Capital 
(Rs. in Lakh) </t>
  </si>
  <si>
    <t>Emoluments 
(Rs. in Lakh)</t>
  </si>
  <si>
    <t>Values of Input 
(Rs. in Lakh)</t>
  </si>
  <si>
    <t>Values of Output 
(Rs. in Lakh)</t>
  </si>
  <si>
    <t>Net value added 
(Rs. in Lakh)</t>
  </si>
  <si>
    <t>Net income (Rs. in Lakh)</t>
  </si>
  <si>
    <t>No. of policies</t>
  </si>
  <si>
    <t>No. of persons taken loan</t>
  </si>
  <si>
    <t xml:space="preserve">Sub-Division/ C.D.Block </t>
  </si>
  <si>
    <t>1) Asstt. Director of Fisheries, Purulia</t>
  </si>
  <si>
    <t>6) Project Officer, Backward Class Welfare Deptt., Purulia</t>
  </si>
  <si>
    <t>Mustard(Yellow)</t>
  </si>
  <si>
    <t>Mustard(Red)</t>
  </si>
  <si>
    <t>Year(as on 31st October)</t>
  </si>
  <si>
    <t>Directorate of District Distribution, 
Procurement and Supply, Govt. of W.B.</t>
  </si>
  <si>
    <t>No. of 
Vehicles</t>
  </si>
  <si>
    <t>No. of trips conducted</t>
  </si>
  <si>
    <t>Sadar(West)</t>
  </si>
  <si>
    <t>Sadar(East)</t>
  </si>
  <si>
    <t xml:space="preserve">Sadar(E) Sub-Division </t>
  </si>
  <si>
    <t>No. of fertilizer depots</t>
  </si>
  <si>
    <t>No. of seed stores</t>
  </si>
  <si>
    <t>No. of fair price shops</t>
  </si>
  <si>
    <t>No. of gram panchayat offices with telephone facilities</t>
  </si>
  <si>
    <t xml:space="preserve">Fish Farmers Dev. Agency( F.F.D.A.), Purulia </t>
  </si>
  <si>
    <t>Total No. 
of Beds</t>
  </si>
  <si>
    <t>Total No. of Beds</t>
  </si>
  <si>
    <t>High capacity Deep Tubewell,</t>
  </si>
  <si>
    <t xml:space="preserve">Dy. Director, Animal Resources and </t>
  </si>
  <si>
    <t>PURULIA AT A GLANCE (Concld.)</t>
  </si>
  <si>
    <t>Registered Working Factories (Daily Average)</t>
  </si>
  <si>
    <t>Sadar (E)Sub-Division</t>
  </si>
  <si>
    <t>Source : B.A.E.&amp; S., Govt. of W.B.</t>
  </si>
  <si>
    <t>Irrigation and Waterways Directorate</t>
  </si>
  <si>
    <t>TABLE 3.1 (Concld.)</t>
  </si>
  <si>
    <t>TABLE 3.2 (Concld.)</t>
  </si>
  <si>
    <t>Sources : 1)</t>
  </si>
  <si>
    <t>Principal Agricultural Officer, Purulia</t>
  </si>
  <si>
    <t xml:space="preserve"> 2)</t>
  </si>
  <si>
    <t xml:space="preserve"> 3)</t>
  </si>
  <si>
    <t>Executive Engineers, Agri. Mech.,</t>
  </si>
  <si>
    <t xml:space="preserve"> Agri. Irri., Purulia</t>
  </si>
  <si>
    <t>2)</t>
  </si>
  <si>
    <t>Supdt. of Agri. Marketing Office</t>
  </si>
  <si>
    <t>SAHC
 + DVH</t>
  </si>
  <si>
    <t>Warehouses</t>
  </si>
  <si>
    <t>Cold Storages</t>
  </si>
  <si>
    <t>Milk (Thousand tonnes)</t>
  </si>
  <si>
    <t>Egg ( Number in thousand )</t>
  </si>
  <si>
    <t>Bulls and Bullocks</t>
  </si>
  <si>
    <t>Total Cattle</t>
  </si>
  <si>
    <t>Total Buffaloes</t>
  </si>
  <si>
    <t>Sheep</t>
  </si>
  <si>
    <t>Total Live-stock</t>
  </si>
  <si>
    <t>Total Poultry</t>
  </si>
  <si>
    <t>Development Parishad Office, Purulia</t>
  </si>
  <si>
    <t>' 000 Rs.</t>
  </si>
  <si>
    <t>Source : Meteorological Department, Govt. of India</t>
  </si>
  <si>
    <t>Source : Collectorate (Election Deptt.), Purulia</t>
  </si>
  <si>
    <t>Note :  TT  = Tetanus Toxoid</t>
  </si>
  <si>
    <t>Type of Institution</t>
  </si>
  <si>
    <t xml:space="preserve">  Source : Heads of all Technical and Professional Institutions, Purulia</t>
  </si>
  <si>
    <t>As on</t>
  </si>
  <si>
    <t>N.B.: Literacy relates to  population aged 7 years and above</t>
  </si>
  <si>
    <t>Source : Asstt. Registrar of Co-operative Societies, Purulia</t>
  </si>
  <si>
    <t>Rapeseed &amp; Mustard</t>
  </si>
  <si>
    <t xml:space="preserve"> High capacity Deep Tubewell</t>
  </si>
  <si>
    <t>ODW -</t>
  </si>
  <si>
    <t>STW -</t>
  </si>
  <si>
    <t>Poultry :</t>
  </si>
  <si>
    <t>A I C (including
 Pranibandhu &amp; 
Co-operatives)</t>
  </si>
  <si>
    <t>Note : SAHC - State Animal Health Centre</t>
  </si>
  <si>
    <t xml:space="preserve">          BAHC - Block Animal Health Centre</t>
  </si>
  <si>
    <t>Source : Commissioner of Labour, Govt. of W.B.</t>
  </si>
  <si>
    <t>Directorate of Rationing, Govt. of W.B.</t>
  </si>
  <si>
    <t xml:space="preserve">          ABAHC - Additional Block Animal Health Centre</t>
  </si>
  <si>
    <t xml:space="preserve">          ADAC - Animal Development Aid Centre</t>
  </si>
  <si>
    <t xml:space="preserve">          MAHC  - Mobile Animal Health Centre</t>
  </si>
  <si>
    <t xml:space="preserve">          DVH - District Veterinary Hospital</t>
  </si>
  <si>
    <t xml:space="preserve">Upto 31st March </t>
  </si>
  <si>
    <t>Source : Divisional Engineer (O &amp; M), W.B.S.E.D.C.L., Purulia</t>
  </si>
  <si>
    <t>4)General Manager, District Industries Centre, Purulia</t>
  </si>
  <si>
    <t>Agricultural Credit Societies</t>
  </si>
  <si>
    <t>State Government Offices</t>
  </si>
  <si>
    <t>Non-Agricultural Credit Societies</t>
  </si>
  <si>
    <t>Non-Credit Societies</t>
  </si>
  <si>
    <t>Railway Traction &amp; Non-Traction</t>
  </si>
  <si>
    <t>TABLE 9.2(a)</t>
  </si>
  <si>
    <t>Urid(Deshi)</t>
  </si>
  <si>
    <t>Source : District Agricultural Marketing Officer, Purulia</t>
  </si>
  <si>
    <t>Department of Statistical Analysis and Computer Services, Mumbai, Reserve Bank of India</t>
  </si>
  <si>
    <t>TABLE 8.3</t>
  </si>
  <si>
    <t>TABLE 8.4(a)</t>
  </si>
  <si>
    <t>TABLE 8.4</t>
  </si>
  <si>
    <t>TABLE 9.1</t>
  </si>
  <si>
    <t>TABLE 9.2</t>
  </si>
  <si>
    <t>TABLE 9.2(b)</t>
  </si>
  <si>
    <t>TABLE 10.2</t>
  </si>
  <si>
    <t>TABLE 10.1</t>
  </si>
  <si>
    <t>TABLE 10.3</t>
  </si>
  <si>
    <t>TABLE 11.1(a)</t>
  </si>
  <si>
    <t>Table 5.3(e)</t>
  </si>
  <si>
    <t>Name of Flowers</t>
  </si>
  <si>
    <t>Rose</t>
  </si>
  <si>
    <t>Chrysanthemum</t>
  </si>
  <si>
    <t>Gladiolus</t>
  </si>
  <si>
    <t>Tuberose</t>
  </si>
  <si>
    <t>Marigold</t>
  </si>
  <si>
    <t>Jasmine</t>
  </si>
  <si>
    <t>Seasonal Flower</t>
  </si>
  <si>
    <t>Misc.Flower</t>
  </si>
  <si>
    <t>'000 hectares</t>
  </si>
  <si>
    <t>TABLE 11.1</t>
  </si>
  <si>
    <t>Students by sex in different type of Professional &amp; Technical Educational Institutions</t>
  </si>
  <si>
    <t>Students by sex in different type of Special &amp; Non-formal Educational Institutions</t>
  </si>
  <si>
    <t>Mouzas</t>
  </si>
  <si>
    <t>LANGUAGE</t>
  </si>
  <si>
    <t>Total Population (A+B) :</t>
  </si>
  <si>
    <t>No. of persons died</t>
  </si>
  <si>
    <t>Page No.</t>
  </si>
  <si>
    <t>3.3(a)</t>
  </si>
  <si>
    <t>Other Live-stock</t>
  </si>
  <si>
    <t>TABLE 11.4</t>
  </si>
  <si>
    <t>TABLE 11.2</t>
  </si>
  <si>
    <t>TABLE 12.7</t>
  </si>
  <si>
    <t>TABLE 13.1</t>
  </si>
  <si>
    <t>TABLE 13.2</t>
  </si>
  <si>
    <t>TABLE 13.3</t>
  </si>
  <si>
    <t>TABLE 14.1</t>
  </si>
  <si>
    <t>TABLE 14.2</t>
  </si>
  <si>
    <t>TABLE 15.1</t>
  </si>
  <si>
    <t>TABLE 18.2</t>
  </si>
  <si>
    <t>Maximum and Minimum Temperature by month</t>
  </si>
  <si>
    <t>Administrative Units</t>
  </si>
  <si>
    <t>Area, Population and Density of Population</t>
  </si>
  <si>
    <t>Growth of Population by sex</t>
  </si>
  <si>
    <t>Distribution of Population by sex in different towns</t>
  </si>
  <si>
    <t>Distribution of Operational Holdings over size-classes</t>
  </si>
  <si>
    <t>Sq.km.</t>
  </si>
  <si>
    <t>Distribution of Population by sex &amp; by age group, 2001</t>
  </si>
  <si>
    <t>Distribution of Population over different categories of workers and non-workers by sex</t>
  </si>
  <si>
    <t>Medical Facilities</t>
  </si>
  <si>
    <t>Family Welfare Centres</t>
  </si>
  <si>
    <t>Classification of Land Utilization Statistics</t>
  </si>
  <si>
    <t>Production of Principal Crops</t>
  </si>
  <si>
    <t>Yield rates of Principal Crops</t>
  </si>
  <si>
    <t>Yield rates of some Selected Crops</t>
  </si>
  <si>
    <t>Area Irrigated by different sources</t>
  </si>
  <si>
    <t>Sources of Irrigation</t>
  </si>
  <si>
    <t>Fertilizer Consumed</t>
  </si>
  <si>
    <t>Estimated Production of Milk and Egg</t>
  </si>
  <si>
    <t>Live-stock and Poultry</t>
  </si>
  <si>
    <t>Progress of Co-operative Movement</t>
  </si>
  <si>
    <t>Mouzas Electrified</t>
  </si>
  <si>
    <t>Number of Establishments in rural and urban areas</t>
  </si>
  <si>
    <t>N.B.: C.D.Block / M.C./ M / N.A.-wise figures of Census 2011 for Area are not available at present</t>
  </si>
  <si>
    <t>Source : Census of India,2011</t>
  </si>
  <si>
    <t>Census of India, 2011</t>
  </si>
  <si>
    <t>Number of Persons usually working in rural and urban Establishments</t>
  </si>
  <si>
    <t>Regulated Market by category</t>
  </si>
  <si>
    <t>Length of different classes of Roads maintained by P.W.D.</t>
  </si>
  <si>
    <t>Accidents on Roads</t>
  </si>
  <si>
    <t xml:space="preserve">Net Collection from Small Savings </t>
  </si>
  <si>
    <t>Some Basic Statistics about the Blocks</t>
  </si>
  <si>
    <t>Annual Rainfall</t>
  </si>
  <si>
    <t>Applicants on Live-register</t>
  </si>
  <si>
    <t>Net Collection from Small Savings</t>
  </si>
  <si>
    <t>Registered Working Factories</t>
  </si>
  <si>
    <t>Density of Population</t>
  </si>
  <si>
    <t>Percentage of Population:</t>
  </si>
  <si>
    <t>TABLE 18.3</t>
  </si>
  <si>
    <t xml:space="preserve"> TABLE 20.2</t>
  </si>
  <si>
    <t>TABLE 21.2</t>
  </si>
  <si>
    <t>TABLE 21.1</t>
  </si>
  <si>
    <t>TABLE 20.1</t>
  </si>
  <si>
    <t>TABLE 19.1</t>
  </si>
  <si>
    <t>TABLE 16.1</t>
  </si>
  <si>
    <t>TABLE 12.5</t>
  </si>
  <si>
    <t>TABLE 12.4</t>
  </si>
  <si>
    <t>TABLE 12.2</t>
  </si>
  <si>
    <t>TABLE 12.3</t>
  </si>
  <si>
    <t xml:space="preserve">TABLE 12.1 </t>
  </si>
  <si>
    <t>TABLE 11.3</t>
  </si>
  <si>
    <t>TABLE 1.4</t>
  </si>
  <si>
    <t>TABLE 1.3</t>
  </si>
  <si>
    <t>TABLE 2.1</t>
  </si>
  <si>
    <t>9.2(a)</t>
  </si>
  <si>
    <t>9.2(b)</t>
  </si>
  <si>
    <t>11.1(a)</t>
  </si>
  <si>
    <t>Progress in Tourism</t>
  </si>
  <si>
    <t>Distribution of Rural and Urban Population by sex in the district of  Purulia, 2011</t>
  </si>
  <si>
    <t>Source : Census of India, 2011</t>
  </si>
  <si>
    <t>Distribution of Rural &amp; Urban Population by sex, 2011</t>
  </si>
  <si>
    <t>Manufacture of wood and products of wood and cork, except furniture; manufacture of articles of straw and plating materials</t>
  </si>
  <si>
    <t>Distribution of Population by sex &amp; by age group, 2011</t>
  </si>
  <si>
    <t>Distribution of Population by sex and by age group in the district of Purulia, 2011</t>
  </si>
  <si>
    <t xml:space="preserve">Co-operative Societies in the Blocks </t>
  </si>
  <si>
    <t>4.1(a)</t>
  </si>
  <si>
    <t>4.1(c)</t>
  </si>
  <si>
    <t>4.2(a)</t>
  </si>
  <si>
    <t>4.2(b)</t>
  </si>
  <si>
    <t>4.2(c)</t>
  </si>
  <si>
    <t>4.3(a)</t>
  </si>
  <si>
    <t>4.3(b)</t>
  </si>
  <si>
    <t>4.3(c)</t>
  </si>
  <si>
    <t>4.1(b)</t>
  </si>
  <si>
    <t>Base : Triennium ending crop year 1981-82 = 100</t>
  </si>
  <si>
    <t xml:space="preserve">Table 5.3(c)  </t>
  </si>
  <si>
    <t>Cereals</t>
  </si>
  <si>
    <t>Productivity</t>
  </si>
  <si>
    <t xml:space="preserve">Description </t>
  </si>
  <si>
    <t>Year</t>
  </si>
  <si>
    <t>Unit</t>
  </si>
  <si>
    <t xml:space="preserve"> Particulars</t>
  </si>
  <si>
    <t>Administrative set up :</t>
  </si>
  <si>
    <t>Number</t>
  </si>
  <si>
    <t>Police Station</t>
  </si>
  <si>
    <t>Inhabited Villages</t>
  </si>
  <si>
    <t>Municipal Corporation</t>
  </si>
  <si>
    <t>Municipality</t>
  </si>
  <si>
    <t>Gram Panchayat</t>
  </si>
  <si>
    <t>per sq. km.</t>
  </si>
  <si>
    <t>Gram Sansad</t>
  </si>
  <si>
    <t>Area and Population :</t>
  </si>
  <si>
    <t xml:space="preserve">Area </t>
  </si>
  <si>
    <t>Population</t>
  </si>
  <si>
    <t>"</t>
  </si>
  <si>
    <t>m.m.</t>
  </si>
  <si>
    <t>Temperature : Maximum</t>
  </si>
  <si>
    <t>Degree Celsius</t>
  </si>
  <si>
    <t>..</t>
  </si>
  <si>
    <t>Workers :</t>
  </si>
  <si>
    <t>Total workers</t>
  </si>
  <si>
    <t>Non-workers</t>
  </si>
  <si>
    <t>Agriculture and Irrigation:</t>
  </si>
  <si>
    <t>Cropped area</t>
  </si>
  <si>
    <t>Medical facilities :</t>
  </si>
  <si>
    <t>Primary</t>
  </si>
  <si>
    <t>Middle</t>
  </si>
  <si>
    <t>High</t>
  </si>
  <si>
    <t>Higher Secondary</t>
  </si>
  <si>
    <t>General College</t>
  </si>
  <si>
    <t>Industry:</t>
  </si>
  <si>
    <t>Employment in:</t>
  </si>
  <si>
    <t>Electricity :</t>
  </si>
  <si>
    <t xml:space="preserve">              </t>
  </si>
  <si>
    <t>Co-operative Societies :</t>
  </si>
  <si>
    <t>Societies</t>
  </si>
  <si>
    <t>Members</t>
  </si>
  <si>
    <t>Working Capital</t>
  </si>
  <si>
    <t>Commercial Bank</t>
  </si>
  <si>
    <t>Transport &amp; Communication:</t>
  </si>
  <si>
    <t>Post Offices</t>
  </si>
  <si>
    <t>Total deliveries performed</t>
  </si>
  <si>
    <t>Upto 5 years</t>
  </si>
  <si>
    <t>Above 5 years</t>
  </si>
  <si>
    <t>Jan Shikshan Sansthan</t>
  </si>
  <si>
    <t>Post &amp; Telegraph Offices(Combined)</t>
  </si>
  <si>
    <t>Surfaced</t>
  </si>
  <si>
    <t>Source : Employment Exchanges of Purulia &amp; Raghunathpur</t>
  </si>
  <si>
    <t>Finance :</t>
  </si>
  <si>
    <t>Name of the district</t>
  </si>
  <si>
    <t>Latitude</t>
  </si>
  <si>
    <t>Longitude</t>
  </si>
  <si>
    <t xml:space="preserve"> North</t>
  </si>
  <si>
    <t>South</t>
  </si>
  <si>
    <t xml:space="preserve"> East  </t>
  </si>
  <si>
    <t>West</t>
  </si>
  <si>
    <t>(1)</t>
  </si>
  <si>
    <t>(2)</t>
  </si>
  <si>
    <t>(3)</t>
  </si>
  <si>
    <t>(4)</t>
  </si>
  <si>
    <t>7) Head of Each Centre of Rabindra Mukta Vidyalaya</t>
  </si>
  <si>
    <t>7) Head of each centre of Rabindra Mukta Vidyalaya</t>
  </si>
  <si>
    <t xml:space="preserve">                            Sources :</t>
  </si>
  <si>
    <t>(5)</t>
  </si>
  <si>
    <t>(6)</t>
  </si>
  <si>
    <t>(7)</t>
  </si>
  <si>
    <t>Month</t>
  </si>
  <si>
    <t>Normal</t>
  </si>
  <si>
    <t>Actual</t>
  </si>
  <si>
    <t>January</t>
  </si>
  <si>
    <t>February</t>
  </si>
  <si>
    <t>March</t>
  </si>
  <si>
    <t>April</t>
  </si>
  <si>
    <t>Live-stock</t>
  </si>
  <si>
    <t>May</t>
  </si>
  <si>
    <t>June</t>
  </si>
  <si>
    <t>July</t>
  </si>
  <si>
    <t>August</t>
  </si>
  <si>
    <t>September</t>
  </si>
  <si>
    <t>October</t>
  </si>
  <si>
    <t>November</t>
  </si>
  <si>
    <t>December</t>
  </si>
  <si>
    <t>Disabled Persons by type of disability &amp; by sex</t>
  </si>
  <si>
    <t>Total</t>
  </si>
  <si>
    <t>Maxi</t>
  </si>
  <si>
    <t>31.10.2013 (P)</t>
  </si>
  <si>
    <t>Mini</t>
  </si>
  <si>
    <t>(8)</t>
  </si>
  <si>
    <t>(9)</t>
  </si>
  <si>
    <t>(10)</t>
  </si>
  <si>
    <t>(11)</t>
  </si>
  <si>
    <t xml:space="preserve">     (Degree Celsius)</t>
  </si>
  <si>
    <t>Mean</t>
  </si>
  <si>
    <t>For the year</t>
  </si>
  <si>
    <t>Sub-Division</t>
  </si>
  <si>
    <t>Samity</t>
  </si>
  <si>
    <t>Gram</t>
  </si>
  <si>
    <t>Sadar(W) Sub -Division</t>
  </si>
  <si>
    <t>Distribution of Rural and Urban Population by sex in the district of  Purulia, 2001</t>
  </si>
  <si>
    <t>2011-12</t>
  </si>
  <si>
    <t>All other Commercial &amp; Vocational Institutions 
(Affiliated to W.B. State Council of Technical Education)</t>
  </si>
  <si>
    <t>30.11.2012</t>
  </si>
  <si>
    <t>Directorate of Micro &amp; Small Scale Enterprises,
Govt. of W.B.</t>
  </si>
  <si>
    <t>2012 *</t>
  </si>
  <si>
    <t>,,</t>
  </si>
  <si>
    <t>Total No.
 of Doctors</t>
  </si>
  <si>
    <t>(Number)</t>
  </si>
  <si>
    <t>No.</t>
  </si>
  <si>
    <t>Ward</t>
  </si>
  <si>
    <t>Notified Area</t>
  </si>
  <si>
    <t>Census Town</t>
  </si>
  <si>
    <t>Constituency</t>
  </si>
  <si>
    <t>Assembly</t>
  </si>
  <si>
    <t>Population, Receipt and Expenditure of Municipalities</t>
  </si>
  <si>
    <t>Parliamentary</t>
  </si>
  <si>
    <t>(Millimetre)</t>
  </si>
  <si>
    <t>Source : Census of India, 1991 &amp; 2001</t>
  </si>
  <si>
    <t>Index with 1901 as base</t>
  </si>
  <si>
    <t>Male</t>
  </si>
  <si>
    <t>Female</t>
  </si>
  <si>
    <t>Urban</t>
  </si>
  <si>
    <t>Rural</t>
  </si>
  <si>
    <t>Age group (Years)</t>
  </si>
  <si>
    <t>P.C.</t>
  </si>
  <si>
    <t>(12)</t>
  </si>
  <si>
    <t>(13)</t>
  </si>
  <si>
    <t>(14)</t>
  </si>
  <si>
    <t>(15)</t>
  </si>
  <si>
    <t>(16)</t>
  </si>
  <si>
    <t>(17)</t>
  </si>
  <si>
    <t>(19)</t>
  </si>
  <si>
    <t>(18)</t>
  </si>
  <si>
    <t>0-4</t>
  </si>
  <si>
    <t>5-9</t>
  </si>
  <si>
    <t>10-14</t>
  </si>
  <si>
    <t>15-19</t>
  </si>
  <si>
    <t>20-24</t>
  </si>
  <si>
    <t>25-29</t>
  </si>
  <si>
    <t>30-34</t>
  </si>
  <si>
    <t>35-39</t>
  </si>
  <si>
    <t>40-44</t>
  </si>
  <si>
    <t>45-49</t>
  </si>
  <si>
    <t>173.0 (P)</t>
  </si>
  <si>
    <t>50-54</t>
  </si>
  <si>
    <t>55-59</t>
  </si>
  <si>
    <t>60-64</t>
  </si>
  <si>
    <t>65-69</t>
  </si>
  <si>
    <t>Age not stated</t>
  </si>
  <si>
    <t>All Ages</t>
  </si>
  <si>
    <t>70-74</t>
  </si>
  <si>
    <t>75-79</t>
  </si>
  <si>
    <t>80+</t>
  </si>
  <si>
    <t xml:space="preserve">Male </t>
  </si>
  <si>
    <t xml:space="preserve">Number </t>
  </si>
  <si>
    <t>PC to TW</t>
  </si>
  <si>
    <t>Cultivators</t>
  </si>
  <si>
    <t>Class of Total Workers</t>
  </si>
  <si>
    <t>Agricultural Labourers</t>
  </si>
  <si>
    <t>Other Workers</t>
  </si>
  <si>
    <t>Household Ind. Workers</t>
  </si>
  <si>
    <t>Main workers</t>
  </si>
  <si>
    <t>Buffaloes</t>
  </si>
  <si>
    <t>Marginal workers</t>
  </si>
  <si>
    <t>Total Population</t>
  </si>
  <si>
    <t>Category</t>
  </si>
  <si>
    <t>Total Workers :</t>
  </si>
  <si>
    <t>(a)</t>
  </si>
  <si>
    <t>Main workers :</t>
  </si>
  <si>
    <t xml:space="preserve">Total </t>
  </si>
  <si>
    <t>Mean Maximum and Mean Minimum Temperature by month</t>
  </si>
  <si>
    <t>Area under Principal Crops</t>
  </si>
  <si>
    <t>Warehousing and Cold Storage Facilities</t>
  </si>
  <si>
    <t>Collectorate (Election Deptt.), Purulia</t>
  </si>
  <si>
    <t>Total Workers (TW)</t>
  </si>
  <si>
    <t>Note : Total Workers = Main workers + Marginal workers</t>
  </si>
  <si>
    <t>N.G.O./
Private Bodies
(Nursing Homes)</t>
  </si>
  <si>
    <t xml:space="preserve">            DPT = Diphtheria Pertussis Tetanus</t>
  </si>
  <si>
    <t xml:space="preserve">            BCG = Bacillus Calmette Guerin</t>
  </si>
  <si>
    <t xml:space="preserve">           Sources : 1)</t>
  </si>
  <si>
    <t>7) Each Study Centre of Open University</t>
  </si>
  <si>
    <t>9) Head of each Sanskrit Tol &amp; Ekalabya School</t>
  </si>
  <si>
    <t>Micro &amp; Small Scale Enterprises with corresponding Employment</t>
  </si>
  <si>
    <t>Selected Characteristics of Factories by industry group</t>
  </si>
  <si>
    <t>Percentage of Hired Workers &amp; Females employed in Non-agricultural Establishments</t>
  </si>
  <si>
    <t>Applicants on the Live-register of Employment Exchanges</t>
  </si>
  <si>
    <t>Registration and Placement effected by Employment Exchanges</t>
  </si>
  <si>
    <t xml:space="preserve">Assistance to Old-aged Persons, Widows, and Handicapped  </t>
  </si>
  <si>
    <t>Consumer Price Index Numbers for Families of all Expenditure Groups Combined</t>
  </si>
  <si>
    <t>Consumer Price Index Numbers for Industrial Workers</t>
  </si>
  <si>
    <t>Progress of Statutory and Modified Ration Shops</t>
  </si>
  <si>
    <t>Offences reported, Cases tried, Persons convicted and acquitted</t>
  </si>
  <si>
    <t>Area, Production and Yield rates of Major Crops in the Blocks</t>
  </si>
  <si>
    <t>Source of Irrigation and Area Irrigated by different sources in the Blocks</t>
  </si>
  <si>
    <t>Yield rate of Rice</t>
  </si>
  <si>
    <t>Total beds</t>
  </si>
  <si>
    <t>Literates : Male</t>
  </si>
  <si>
    <t>Micro &amp; Small Scale Enterprises</t>
  </si>
  <si>
    <t xml:space="preserve">                     Minimum  </t>
  </si>
  <si>
    <t>(b)</t>
  </si>
  <si>
    <t>Marginal workers :</t>
  </si>
  <si>
    <t>Non-workers :</t>
  </si>
  <si>
    <t>A.</t>
  </si>
  <si>
    <t>Cultivators :</t>
  </si>
  <si>
    <t>Agricultural Labourers :</t>
  </si>
  <si>
    <t>Household Industry Workers :</t>
  </si>
  <si>
    <t>Other Workers :</t>
  </si>
  <si>
    <t>Total Workers : (1+2+3+4) = (a+b)</t>
  </si>
  <si>
    <t xml:space="preserve">      Total</t>
  </si>
  <si>
    <t xml:space="preserve">      Rural</t>
  </si>
  <si>
    <t xml:space="preserve">      Urban</t>
  </si>
  <si>
    <t>Others</t>
  </si>
  <si>
    <t>Religion not stated</t>
  </si>
  <si>
    <t>Source : Census of India, 2001</t>
  </si>
  <si>
    <t>Disability</t>
  </si>
  <si>
    <t>Density of Population       (per Sq. Km.)</t>
  </si>
  <si>
    <t xml:space="preserve">Distance of the nearest Rly. Stn. from the Block H.Q.
 ( Kilometre ) </t>
  </si>
  <si>
    <t>per cent</t>
  </si>
  <si>
    <t xml:space="preserve">Sources : </t>
  </si>
  <si>
    <t>Public</t>
  </si>
  <si>
    <t>Private</t>
  </si>
  <si>
    <t>Vasectomy</t>
  </si>
  <si>
    <t>Tubectomy</t>
  </si>
  <si>
    <t>I.U.D.</t>
  </si>
  <si>
    <t>Year  
(as on 30th Sept.)</t>
  </si>
  <si>
    <t>Year
(Census)</t>
  </si>
  <si>
    <t>Cases treated</t>
  </si>
  <si>
    <t>TT(PW)</t>
  </si>
  <si>
    <t>DPT</t>
  </si>
  <si>
    <t>Polio</t>
  </si>
  <si>
    <t>BCG</t>
  </si>
  <si>
    <t>Measles</t>
  </si>
  <si>
    <t>Indoor</t>
  </si>
  <si>
    <t>Outdoor</t>
  </si>
  <si>
    <t>(a) D.I.(Primary+Junior Basic)</t>
  </si>
  <si>
    <t>(ii)</t>
  </si>
  <si>
    <t>(iii)</t>
  </si>
  <si>
    <t>(i)</t>
  </si>
  <si>
    <t>(iv)</t>
  </si>
  <si>
    <t>B.L. &amp; L.R.O. of each block, Purulia</t>
  </si>
  <si>
    <t>' 000 KWH</t>
  </si>
  <si>
    <t>Assistant Director Of Fisheries, Purulia</t>
  </si>
  <si>
    <t>* As per Census Population 2011</t>
  </si>
  <si>
    <t>Chekya</t>
  </si>
  <si>
    <t>Begun Kodar</t>
  </si>
  <si>
    <t>Raghabpur</t>
  </si>
  <si>
    <t>Hutmura</t>
  </si>
  <si>
    <t>Bandoan</t>
  </si>
  <si>
    <t>Lagda</t>
  </si>
  <si>
    <t>Kanki</t>
  </si>
  <si>
    <t>Dubra</t>
  </si>
  <si>
    <t>Shankara</t>
  </si>
  <si>
    <t>Saltor</t>
  </si>
  <si>
    <t>Murulia</t>
  </si>
  <si>
    <t>Kantaraguri</t>
  </si>
  <si>
    <t>Lapara</t>
  </si>
  <si>
    <t>1 / 6</t>
  </si>
  <si>
    <t>1 / 5</t>
  </si>
  <si>
    <t>Distribution of Population by sex in different towns in the district of Purulia, 2011</t>
  </si>
  <si>
    <t>No. of female per 100 males</t>
  </si>
  <si>
    <t>P.C. of rural population to total population</t>
  </si>
  <si>
    <t>C.D.Block/ M</t>
  </si>
  <si>
    <t>7/ 1</t>
  </si>
  <si>
    <t>Sub-Division/ 
C.D.Block/ M</t>
  </si>
  <si>
    <t xml:space="preserve">Sub-Division/ 
C.D.Block/ M </t>
  </si>
  <si>
    <t>6/ 1</t>
  </si>
  <si>
    <t>20/ 3</t>
  </si>
  <si>
    <t>Sub-Division/ C.D.Block/ M</t>
  </si>
  <si>
    <t>P.C. to respective total population</t>
  </si>
  <si>
    <t>Base : 1982=100</t>
  </si>
  <si>
    <t>P.C. of Col.(4) to respective total population</t>
  </si>
  <si>
    <t>1) D.I. of Schools(Primary)</t>
  </si>
  <si>
    <t>2) D.I. of Schools(Secondary)</t>
  </si>
  <si>
    <t>GENERAL UNIVERSITIES (excluding completely Technical Universities)</t>
  </si>
  <si>
    <t>Tractor &amp; Trailer</t>
  </si>
  <si>
    <t>4) Each of Anglo Indian, ICSE, CBSE &amp; Railway Institution</t>
  </si>
  <si>
    <t>(c) I.C.S.E./ C.B.S.E./ Anglo-Indian &amp; Missionaries etc.</t>
  </si>
  <si>
    <t>(a) General Stream(Including independent H.S. School)</t>
  </si>
  <si>
    <t>(b) Vocational Stream(Including independent H.S. School)</t>
  </si>
  <si>
    <t>Engineering/ Medical/ Technical Colleges</t>
  </si>
  <si>
    <t>(b) Engineering Colleges(Govt.+Private)</t>
  </si>
  <si>
    <t>(c) Management Colleges(Govt.+Private)</t>
  </si>
  <si>
    <t>(d) Polytechnics(Govt.+Private)</t>
  </si>
  <si>
    <t>(b) Nursing Training Colleges(B.Sc.)</t>
  </si>
  <si>
    <t>Other Colleges/ Institutions</t>
  </si>
  <si>
    <t>1940(E)</t>
  </si>
  <si>
    <t>1984(E)</t>
  </si>
  <si>
    <t>House-holds</t>
  </si>
  <si>
    <t>5) Each Madrasah</t>
  </si>
  <si>
    <t>6) Colleges of each University</t>
  </si>
  <si>
    <t>Puncha(P) &amp;  Kenda(P)</t>
  </si>
  <si>
    <t>6) Education cell under Zilla Parishad</t>
  </si>
  <si>
    <t>8) District Education Officer</t>
  </si>
  <si>
    <t>Population by religion &amp; by sex</t>
  </si>
  <si>
    <t>Progress of L.I.C.</t>
  </si>
  <si>
    <t>(Contd.)</t>
  </si>
  <si>
    <t>Centre : Bankura</t>
  </si>
  <si>
    <t>Panchayat 
Samity</t>
  </si>
  <si>
    <t>Gram 
Panchayat</t>
  </si>
  <si>
    <t>2012-13</t>
  </si>
  <si>
    <t>Super/Director of the respective
(L.S.G./Private) Hospitals, Purulia</t>
  </si>
  <si>
    <t>1) D.I. of Schools (Primary)</t>
  </si>
  <si>
    <t>2) D.I. of Schools (Secondary)</t>
  </si>
  <si>
    <t>000 mt</t>
  </si>
  <si>
    <t>Cocoons production (Thousand kahan)</t>
  </si>
  <si>
    <t>Value of Production (Thousand rupees)</t>
  </si>
  <si>
    <t>Professional &amp; Technical Schools,
Colleges &amp; Universities</t>
  </si>
  <si>
    <t>Year 
( as on 31st March)</t>
  </si>
  <si>
    <t xml:space="preserve">Name of 
Municipality </t>
  </si>
  <si>
    <t>(e) Senior Madrasahs</t>
  </si>
  <si>
    <t>(a) Junior Technical Schools</t>
  </si>
  <si>
    <t>All PTTI &amp; Nursing Training Institutes</t>
  </si>
  <si>
    <t>Latest Calendar Year</t>
  </si>
  <si>
    <t>(a) Pre-primary &amp; Primary Teachers' Training Institutes (PTTI)</t>
  </si>
  <si>
    <t>(b) Certificate oriented Nursing Training Schools</t>
  </si>
  <si>
    <t xml:space="preserve">TABLE 12.6                                                                                                     </t>
  </si>
  <si>
    <t>No. of Co-operative Societies</t>
  </si>
  <si>
    <t>No. of Members</t>
  </si>
  <si>
    <t>Name
 of
Block</t>
  </si>
  <si>
    <t xml:space="preserve"> Til</t>
  </si>
  <si>
    <t>Name 
of
 Block</t>
  </si>
  <si>
    <t xml:space="preserve">Population
</t>
  </si>
  <si>
    <t>Name 
of 
Block</t>
  </si>
  <si>
    <t>Table No.</t>
  </si>
  <si>
    <t>Teachers' Training &amp; Nursing Training Colleges</t>
  </si>
  <si>
    <t>TABLE 2.1(b)</t>
  </si>
  <si>
    <t>(a) Law Colleges</t>
  </si>
  <si>
    <t>(b) Music Colleges</t>
  </si>
  <si>
    <t>(d) Art Colleges</t>
  </si>
  <si>
    <t>(e) Autonomous Research Institutions of Special Importance</t>
  </si>
  <si>
    <t>(c) Nutrition &amp; Home Science Colleges</t>
  </si>
  <si>
    <t>General College &amp; University 
(Excluding Open University)</t>
  </si>
  <si>
    <t>Rural 
Hospitals</t>
  </si>
  <si>
    <t>2) Lac Development Officer, Purulia</t>
  </si>
  <si>
    <t>Sishu Siksha Kendras</t>
  </si>
  <si>
    <t>Adult High Schools</t>
  </si>
  <si>
    <t xml:space="preserve">       </t>
  </si>
  <si>
    <t>Dy. C.M.O.H. - I, II &amp; III, Purulia</t>
  </si>
  <si>
    <t xml:space="preserve">          Source : Dy. C.M.O.H. - III, Purulia</t>
  </si>
  <si>
    <t>Dy. C.M.O.H. - II, Purulia</t>
  </si>
  <si>
    <t>2) Super/ Director of the respective 
    (L.S.G./ Private) Hospitals, Purulia</t>
  </si>
  <si>
    <t>Source : Directorate of Agriculture(Evaluation), Govt. of W.B.</t>
  </si>
  <si>
    <t>Source : Land &amp; Land Reforms Deptt., Govt. of W.B.</t>
  </si>
  <si>
    <t>2) P.A.O., Purulia</t>
  </si>
  <si>
    <t>3) D.P.R.D.O., Purulia</t>
  </si>
  <si>
    <t>Ekalabya Schools</t>
  </si>
  <si>
    <t>Fruits :</t>
  </si>
  <si>
    <t>Registered Factories
 (Registered under Factory Act)
(As on 31st December)</t>
  </si>
  <si>
    <t>Vegetables :</t>
  </si>
  <si>
    <t>Area and Production of Flowers in the district of Purulia</t>
  </si>
  <si>
    <t>1. Area by  class of forest</t>
  </si>
  <si>
    <t>4) Extension Forestry Division</t>
  </si>
  <si>
    <t>Divisional Forest Officers :-</t>
  </si>
  <si>
    <t xml:space="preserve">Dist. Agri. Marketing Office, Purulia </t>
  </si>
  <si>
    <t>Source : Directorate of Animal Resources &amp; Animal Health, Govt. of W.B.</t>
  </si>
  <si>
    <t>Directorate of Agriculture, Govt. of W.B.</t>
  </si>
  <si>
    <t>Super / Director of the respective (L.S.G./</t>
  </si>
  <si>
    <t>Private ) Hospitals, Purulia</t>
  </si>
  <si>
    <t>(b) Municipalities / Corporations / Local bodies etc.</t>
  </si>
  <si>
    <t>(d) Railway(ER / SER) / DVC etc.</t>
  </si>
  <si>
    <t>Engineering / Technical Schools</t>
  </si>
  <si>
    <t>(c) Industrial Training Institutes (ITI)</t>
  </si>
  <si>
    <t>(d) Industrial Training Centres (ITC)</t>
  </si>
  <si>
    <t>(e) Institute of Pharmacy / Opthalmology</t>
  </si>
  <si>
    <t>Sub-Div./ C.D. Block / M</t>
  </si>
  <si>
    <t>(f) Institute of Radiology / Pathology / Bio-Chemistry / Laboratory Technology / Radiography / Physiotherapy / Radiotherapy / ECG</t>
  </si>
  <si>
    <t>Engineering / Medical / Technical Colleges</t>
  </si>
  <si>
    <t>Other Colleges / Institutions</t>
  </si>
  <si>
    <t>Loans due from individuals &amp; other societies
(Rs. in thousand)</t>
  </si>
  <si>
    <t>Manufacture of Food Products</t>
  </si>
  <si>
    <t>Manufacture of Tobacco Products</t>
  </si>
  <si>
    <t xml:space="preserve">Number of Seats in Municipal Corporations, Municipalities and Panchayats </t>
  </si>
  <si>
    <t xml:space="preserve">Patients treated in Hospitals,Health Centres &amp; Sub-centres </t>
  </si>
  <si>
    <t>Births and Deaths in different Hospitals &amp; Health Centres</t>
  </si>
  <si>
    <t>Index Numbers of Agricultural Area, Production and Productivity (Base :1981-82 = 100)</t>
  </si>
  <si>
    <t>Public Libraries, Reading Rooms and Mass Literacy Centres</t>
  </si>
  <si>
    <t>Percentage of Literacy by sex in rural and urban areas</t>
  </si>
  <si>
    <t>Manufacture of coke and refined petroleum products</t>
  </si>
  <si>
    <t>Manufacture of other non-metallic mineral products</t>
  </si>
  <si>
    <t>NIC' 08 Code</t>
  </si>
  <si>
    <t>Year
(as on 31st March)</t>
  </si>
  <si>
    <t>Manufacture of chemicals and chemical products</t>
  </si>
  <si>
    <t>Manufacture of basic metals</t>
  </si>
  <si>
    <t>All 
Industry</t>
  </si>
  <si>
    <t>Production of Lac 
from Raw Materials('000 tonnes)</t>
  </si>
  <si>
    <t>Chief Inspector of Factories, Govt. of W.B.</t>
  </si>
  <si>
    <t>B.A.E.&amp; S., Govt. of W.B.</t>
  </si>
  <si>
    <t>5) District Social Welfare Officer, Purulia</t>
  </si>
  <si>
    <t>Non-formal Education Centres</t>
  </si>
  <si>
    <t>Anganwadi (education) Centres under I.C.D.S.</t>
  </si>
  <si>
    <t>Public Water Works &amp; Sewerage Pump</t>
  </si>
  <si>
    <t>Superintendent</t>
  </si>
  <si>
    <t>Jhalda-I 
Jhalda-II</t>
  </si>
  <si>
    <t xml:space="preserve">   Sources :</t>
  </si>
  <si>
    <t>Social Welfare Homes under M.E.E.Deptt.</t>
  </si>
  <si>
    <t>2) District Social Education Officer</t>
  </si>
  <si>
    <t>4) I. C. D. S. Cell under D. M. office</t>
  </si>
  <si>
    <t>6) District Social Welfare Officer</t>
  </si>
  <si>
    <t>1) District Panchayat Officer</t>
  </si>
  <si>
    <t>5) District Education Officer</t>
  </si>
  <si>
    <t>8) Education cell under Zilla Parishad</t>
  </si>
  <si>
    <t>Institutions</t>
  </si>
  <si>
    <t>Students</t>
  </si>
  <si>
    <t>Teachers</t>
  </si>
  <si>
    <t>Special &amp; Non-formal Education</t>
  </si>
  <si>
    <t>(20)</t>
  </si>
  <si>
    <r>
      <t>**</t>
    </r>
    <r>
      <rPr>
        <vertAlign val="superscript"/>
        <sz val="9"/>
        <rFont val="Arial"/>
        <family val="2"/>
      </rPr>
      <t xml:space="preserve"> </t>
    </r>
    <r>
      <rPr>
        <sz val="9"/>
        <rFont val="Arial"/>
        <family val="2"/>
      </rPr>
      <t>The concept of Mass Literacy Centre (N.C.E.C./ C.E.C.) no more exist.</t>
    </r>
  </si>
  <si>
    <t>(21)</t>
  </si>
  <si>
    <t>(22)</t>
  </si>
  <si>
    <t>Free Reading Room</t>
  </si>
  <si>
    <t>Public Library</t>
  </si>
  <si>
    <t>Total Tax Collected (Rs.)</t>
  </si>
  <si>
    <t>1 / 14</t>
  </si>
  <si>
    <t>3 / 25</t>
  </si>
  <si>
    <t>Area 
(Sq. Km.)
(2001)</t>
  </si>
  <si>
    <t>Sl.No.</t>
  </si>
  <si>
    <t>TABLE 2.10(a) (Concld.)</t>
  </si>
  <si>
    <t>Raghunathpur 
Sub-Division</t>
  </si>
  <si>
    <t>Sadar (E) 
Sub-Division</t>
  </si>
  <si>
    <t>Sadar (W) 
Sub-Division</t>
  </si>
  <si>
    <t>Raghunathpur  
Sub-Division</t>
  </si>
  <si>
    <t>Raghunathpur
Sub-Division</t>
  </si>
  <si>
    <t>Sadar (W)
Sub-Division</t>
  </si>
  <si>
    <t>Agricultural Meteorologist,</t>
  </si>
  <si>
    <t>TABLE 4.4  (Concld.)</t>
  </si>
  <si>
    <t>Sources : As in Table No. 4.1(a), 4.1(b)  &amp; 4.1(c)</t>
  </si>
  <si>
    <t>Source : Census of India, 2001 &amp; 1991</t>
  </si>
  <si>
    <t>2) District Social Education Officer, Purulia</t>
  </si>
  <si>
    <t>2) Respective Cinema Houses, Purulia</t>
  </si>
  <si>
    <t>Sadar(E) Sub-Division</t>
  </si>
  <si>
    <t>Source : Agricultural Census, West Bengal</t>
  </si>
  <si>
    <t>Note : Marginal :</t>
  </si>
  <si>
    <t>Small :</t>
  </si>
  <si>
    <t>Semi-medium :</t>
  </si>
  <si>
    <t>Medium :</t>
  </si>
  <si>
    <t>Large :</t>
  </si>
  <si>
    <t>Source : Directorate of Food Processing Industries and Horticulture, Govt. of W.B.</t>
  </si>
  <si>
    <t>1) Purulia Division</t>
  </si>
  <si>
    <t>MDTW -</t>
  </si>
  <si>
    <t>LDTW -</t>
  </si>
  <si>
    <t>RLI  -</t>
  </si>
  <si>
    <t>RLI -</t>
  </si>
  <si>
    <t>Middle capacity Deep Tubewell</t>
  </si>
  <si>
    <t>Low capacity Deep Tubewell</t>
  </si>
  <si>
    <t xml:space="preserve">Hospitals, Health Centres etc. </t>
  </si>
  <si>
    <t>River Lift Irrigation</t>
  </si>
  <si>
    <t>Open Dug Well</t>
  </si>
  <si>
    <t xml:space="preserve">* Only Guest Lecturer </t>
  </si>
  <si>
    <t>TABLE 6.2 (Concld.)</t>
  </si>
  <si>
    <t>Source :</t>
  </si>
  <si>
    <t>1) District Industrial Officer, Purulia</t>
  </si>
  <si>
    <t xml:space="preserve"> Sources : 1)</t>
  </si>
  <si>
    <t>(2011)</t>
  </si>
  <si>
    <t>Census Of India, 2001 &amp; 2011</t>
  </si>
  <si>
    <t>Source : All Municipalities, Purulia</t>
  </si>
  <si>
    <t>Ajodhya Hills Project, Ajodhya Hills, Purulia</t>
  </si>
  <si>
    <t xml:space="preserve"> Source : Superintendent of Police, Purulia</t>
  </si>
  <si>
    <t>Source : Secretary, Zilla Parishad, Purulia</t>
  </si>
  <si>
    <t>Description</t>
  </si>
  <si>
    <t>Daily</t>
  </si>
  <si>
    <t>Weekly</t>
  </si>
  <si>
    <t>Fortnightly</t>
  </si>
  <si>
    <t>Monthly</t>
  </si>
  <si>
    <t>Bengali</t>
  </si>
  <si>
    <t>English</t>
  </si>
  <si>
    <t>Hindi</t>
  </si>
  <si>
    <t>Urdu</t>
  </si>
  <si>
    <t>Reporting Area</t>
  </si>
  <si>
    <t>Forest Area</t>
  </si>
  <si>
    <t>Area under Non-agricultural use</t>
  </si>
  <si>
    <t>Barren &amp; unculturable land</t>
  </si>
  <si>
    <t>Permanent pastures &amp; other grazing land</t>
  </si>
  <si>
    <t>Fallow land other than current fallow</t>
  </si>
  <si>
    <t>Current fallow</t>
  </si>
  <si>
    <t>Net area sown</t>
  </si>
  <si>
    <t>Marginal</t>
  </si>
  <si>
    <t>Small</t>
  </si>
  <si>
    <t>Semi-medium</t>
  </si>
  <si>
    <t>Medium</t>
  </si>
  <si>
    <t>Large</t>
  </si>
  <si>
    <t>S   I   Z   E    -    C   L   A   S   S</t>
  </si>
  <si>
    <t>(Area in hectare)</t>
  </si>
  <si>
    <t xml:space="preserve">Note : </t>
  </si>
  <si>
    <t xml:space="preserve">Foodgrains : </t>
  </si>
  <si>
    <t>1.</t>
  </si>
  <si>
    <t>2.</t>
  </si>
  <si>
    <t>3.</t>
  </si>
  <si>
    <t>4.</t>
  </si>
  <si>
    <t>5.</t>
  </si>
  <si>
    <t>6.</t>
  </si>
  <si>
    <t>7.</t>
  </si>
  <si>
    <t>8.</t>
  </si>
  <si>
    <t>Crops</t>
  </si>
  <si>
    <t>Rice</t>
  </si>
  <si>
    <t>Aus</t>
  </si>
  <si>
    <t>Aman</t>
  </si>
  <si>
    <t>Boro</t>
  </si>
  <si>
    <t>Wheat</t>
  </si>
  <si>
    <t>Barley</t>
  </si>
  <si>
    <t>Maize</t>
  </si>
  <si>
    <t>Other Cereals</t>
  </si>
  <si>
    <t>Total Cereals</t>
  </si>
  <si>
    <t>Tur</t>
  </si>
  <si>
    <t>Other Pulses</t>
  </si>
  <si>
    <t>Total Pulses</t>
  </si>
  <si>
    <t>Total Foodgrains</t>
  </si>
  <si>
    <t>Other Oil seeds</t>
  </si>
  <si>
    <t>Total Oil seeds</t>
  </si>
  <si>
    <t>Jute</t>
  </si>
  <si>
    <t>Mesta</t>
  </si>
  <si>
    <t>Sugarcane</t>
  </si>
  <si>
    <t>Potato</t>
  </si>
  <si>
    <t>Tobacco</t>
  </si>
  <si>
    <t>Tea</t>
  </si>
  <si>
    <t>Chillies (dry)</t>
  </si>
  <si>
    <t>Ginger</t>
  </si>
  <si>
    <t>Total Miscellaneous crops</t>
  </si>
  <si>
    <t>(Thousand hectares)</t>
  </si>
  <si>
    <t>Sources :</t>
  </si>
  <si>
    <t>Geographical Location</t>
  </si>
  <si>
    <t>Monthly Rainfall</t>
  </si>
  <si>
    <t>Population by religion</t>
  </si>
  <si>
    <t>Achievement of Universal Immunization Programme</t>
  </si>
  <si>
    <t xml:space="preserve">2009-10 </t>
  </si>
  <si>
    <t>Note : Area in hectare, Production in Thousand MT, Yield rate in Kg / hect</t>
  </si>
  <si>
    <t>1) Principal Agricultural Office, Purulia</t>
  </si>
  <si>
    <t>3) Each Gram Panchayat &amp; Panchayat Samity, Purulia</t>
  </si>
  <si>
    <t>Length of Roads maintained by P.W.D., Zilla Parishad &amp; Panchayat</t>
  </si>
  <si>
    <t>Distribution of Population over different categories of workers and non-workers</t>
  </si>
  <si>
    <t>Scheduled Caste and Scheduled Tribe Population by sex</t>
  </si>
  <si>
    <t>Teachers in different type of General Educational Institutions</t>
  </si>
  <si>
    <t>Cinema Houses</t>
  </si>
  <si>
    <t>Newspapers and Periodicals published</t>
  </si>
  <si>
    <t>HDTW - High Capacity Deep Tubewell</t>
  </si>
  <si>
    <t>MDTW-  Middle Capacity Deep Tubewell</t>
  </si>
  <si>
    <t>LDTW - Low Capacity Deep Tubewell</t>
  </si>
  <si>
    <t xml:space="preserve">STW -    </t>
  </si>
  <si>
    <t xml:space="preserve">ODW -   </t>
  </si>
  <si>
    <t xml:space="preserve">DTW -    </t>
  </si>
  <si>
    <t xml:space="preserve">RLI -       </t>
  </si>
  <si>
    <t>Expenditure (' 000 Rs.)</t>
  </si>
  <si>
    <t>Assistance to needy fishermen
 ( ' 000 Rs.)</t>
  </si>
  <si>
    <t>Approx. annual production (qtl.)</t>
  </si>
  <si>
    <t>Source : Lead Bank Officer, Purulia</t>
  </si>
  <si>
    <t>Area and Production of Fruits and Vegetables</t>
  </si>
  <si>
    <t>All Group Combined Index</t>
  </si>
  <si>
    <t>Progress of Commercial Banking</t>
  </si>
  <si>
    <t xml:space="preserve">Branch Manager, LIC, Purulia, </t>
  </si>
  <si>
    <t>Jhalda &amp; Raghunathpur</t>
  </si>
  <si>
    <t>(Thousand K.W.H.)</t>
  </si>
  <si>
    <t>(Thousand rupees)</t>
  </si>
  <si>
    <t>Sum assured (Rs. in Crore)</t>
  </si>
  <si>
    <t>10</t>
  </si>
  <si>
    <t>12</t>
  </si>
  <si>
    <t>16</t>
  </si>
  <si>
    <t>19</t>
  </si>
  <si>
    <t>20</t>
  </si>
  <si>
    <t>22</t>
  </si>
  <si>
    <t>23</t>
  </si>
  <si>
    <t>24</t>
  </si>
  <si>
    <t>25</t>
  </si>
  <si>
    <t>Wholesale trade, except of motor vehicles and motorcycles</t>
  </si>
  <si>
    <t xml:space="preserve">Deputy Director of Small Savings, Purulia </t>
  </si>
  <si>
    <t xml:space="preserve">B.D.O.s, Purulia </t>
  </si>
  <si>
    <t xml:space="preserve">A.D.O.s, Purulia </t>
  </si>
  <si>
    <t xml:space="preserve">Dist. Agri. Marketing Office  </t>
  </si>
  <si>
    <t>Source : Directorate of Agriculture Marketing, Govt. of W.B.</t>
  </si>
  <si>
    <t>P.C. to 
total 
Popu-
lation of 
the Block</t>
  </si>
  <si>
    <t>2) Asstt. Engr.(Agri. Irrigation), Purulia</t>
  </si>
  <si>
    <t>Mandays employed 
(in thousand)</t>
  </si>
  <si>
    <t>Average No. of Workers 
employed per day</t>
  </si>
  <si>
    <t>Turmeric(Deshi)</t>
  </si>
  <si>
    <t>1) Exe. Engr., P.W.D.( Roads), Purulia</t>
  </si>
  <si>
    <t>2) Exe. Engr., Zilla Parishad, Purulia</t>
  </si>
  <si>
    <t>2010-11</t>
  </si>
  <si>
    <t>2009-10</t>
  </si>
  <si>
    <t>30.11.2010</t>
  </si>
  <si>
    <t>30.11.2011</t>
  </si>
  <si>
    <t>Police Stations and Out-posts</t>
  </si>
  <si>
    <t>* As on 30th June</t>
  </si>
  <si>
    <t>Receipt and Expenditure of Zilla Parishad</t>
  </si>
  <si>
    <t>During the year</t>
  </si>
  <si>
    <t>Upto the year</t>
  </si>
  <si>
    <t>Population by religion in the Blocks</t>
  </si>
  <si>
    <t>District Head Quarters</t>
  </si>
  <si>
    <t>Premium Income (Rs in Thousand)</t>
  </si>
  <si>
    <t>Amount of loan 
(Rs.in Thousand)</t>
  </si>
  <si>
    <t>Commercial and Gramin Banks in the Blocks</t>
  </si>
  <si>
    <t>2) B.A.E.&amp; S., Govt. of W.B.</t>
  </si>
  <si>
    <t>Upto</t>
  </si>
  <si>
    <t>(Thousand tonnes)</t>
  </si>
  <si>
    <t xml:space="preserve">Arsha    </t>
  </si>
  <si>
    <t xml:space="preserve">Arsha   </t>
  </si>
  <si>
    <t>(Kilogram per hectare)</t>
  </si>
  <si>
    <t>Table 5.3(b)</t>
  </si>
  <si>
    <r>
      <t xml:space="preserve">Sources </t>
    </r>
    <r>
      <rPr>
        <b/>
        <sz val="9"/>
        <rFont val="Arial"/>
        <family val="2"/>
      </rPr>
      <t>:</t>
    </r>
    <r>
      <rPr>
        <sz val="9"/>
        <rFont val="Arial"/>
        <family val="2"/>
      </rPr>
      <t xml:space="preserve"> </t>
    </r>
  </si>
  <si>
    <t>District</t>
  </si>
  <si>
    <t>West Bengal</t>
  </si>
  <si>
    <t>Area (Thousand hectares)</t>
  </si>
  <si>
    <t>Mango</t>
  </si>
  <si>
    <t>Banana</t>
  </si>
  <si>
    <t>Pineapple</t>
  </si>
  <si>
    <t>Papaya</t>
  </si>
  <si>
    <t>Guava</t>
  </si>
  <si>
    <t>Jackfruit</t>
  </si>
  <si>
    <t>Litchi</t>
  </si>
  <si>
    <t>Mandarin Orange</t>
  </si>
  <si>
    <t>Other Citrus</t>
  </si>
  <si>
    <t>Sapota</t>
  </si>
  <si>
    <t>B.</t>
  </si>
  <si>
    <t>Tomato</t>
  </si>
  <si>
    <t>Cabbage</t>
  </si>
  <si>
    <t xml:space="preserve">Source : </t>
  </si>
  <si>
    <t>Joypur</t>
  </si>
  <si>
    <t>Cauliflower</t>
  </si>
  <si>
    <t>Peas</t>
  </si>
  <si>
    <t>Brinjal</t>
  </si>
  <si>
    <t>Onion</t>
  </si>
  <si>
    <t>Cucurbits</t>
  </si>
  <si>
    <t>Ladies Finger</t>
  </si>
  <si>
    <t>Radish</t>
  </si>
  <si>
    <t>3) Tea Board</t>
  </si>
  <si>
    <t>Production (Thousand tonnes)</t>
  </si>
  <si>
    <t>Production</t>
  </si>
  <si>
    <t>Item</t>
  </si>
  <si>
    <t>Reserved forest</t>
  </si>
  <si>
    <t>Protected forest</t>
  </si>
  <si>
    <t>Unclassed state forest</t>
  </si>
  <si>
    <t>Khas forest</t>
  </si>
  <si>
    <t xml:space="preserve">Mulberry </t>
  </si>
  <si>
    <t xml:space="preserve">Tasar </t>
  </si>
  <si>
    <t xml:space="preserve">Eri </t>
  </si>
  <si>
    <t xml:space="preserve">           P.C.= Percentage to respective total population</t>
  </si>
  <si>
    <t xml:space="preserve">           PC to TW = Percentage to respective total workers</t>
  </si>
  <si>
    <t>Fibres : *</t>
  </si>
  <si>
    <t>Forest owned by civil authorities</t>
  </si>
  <si>
    <t>Forest owned by private individuals</t>
  </si>
  <si>
    <t>Forest owned by corporate bodies</t>
  </si>
  <si>
    <t xml:space="preserve">Timber </t>
  </si>
  <si>
    <t>Fuel</t>
  </si>
  <si>
    <t>Pulpwood</t>
  </si>
  <si>
    <t>Pole</t>
  </si>
  <si>
    <t>Revenue</t>
  </si>
  <si>
    <t>Expenditure</t>
  </si>
  <si>
    <t>Rs.in thousand</t>
  </si>
  <si>
    <t>Tank</t>
  </si>
  <si>
    <t>HDTW</t>
  </si>
  <si>
    <t>MDTW</t>
  </si>
  <si>
    <t>LDTW</t>
  </si>
  <si>
    <t>STW</t>
  </si>
  <si>
    <t>RLI</t>
  </si>
  <si>
    <t>ODW</t>
  </si>
  <si>
    <t>Km.</t>
  </si>
  <si>
    <t>Area irrigated by</t>
  </si>
  <si>
    <t>Shallow Tubewell</t>
  </si>
  <si>
    <t xml:space="preserve"> Low capacity Deep Tubewell</t>
  </si>
  <si>
    <t xml:space="preserve"> Shallow Tubewell</t>
  </si>
  <si>
    <t xml:space="preserve"> River Lift Irrigation</t>
  </si>
  <si>
    <t xml:space="preserve"> Middle capacity Deep Tubewell</t>
  </si>
  <si>
    <t>(b) Junior Madrasahs</t>
  </si>
  <si>
    <t>(b) High Madrasahs</t>
  </si>
  <si>
    <t>Capacity (MT)</t>
  </si>
  <si>
    <t>DISTRICT STATISTICAL HANDBOOK</t>
  </si>
  <si>
    <t>PREFACE</t>
  </si>
  <si>
    <t>Dated, Kolkata</t>
  </si>
  <si>
    <t>Bureau of Applied Economics &amp; Statistics</t>
  </si>
  <si>
    <t xml:space="preserve">   Government of West Bengal</t>
  </si>
  <si>
    <t>No.of Cultivators benefitted</t>
  </si>
  <si>
    <t>TABLE 15.2</t>
  </si>
  <si>
    <t xml:space="preserve">          </t>
  </si>
  <si>
    <t>Cattle :</t>
  </si>
  <si>
    <t xml:space="preserve">* Closed </t>
  </si>
  <si>
    <t xml:space="preserve">Raghunathpur </t>
  </si>
  <si>
    <t>Kashipur &amp; Adra</t>
  </si>
  <si>
    <t>Santaldih (P)</t>
  </si>
  <si>
    <t>Manbazar, Kenda(P) &amp; 
Puncha(P)</t>
  </si>
  <si>
    <t>Kotshila &amp; Jhalda(P)</t>
  </si>
  <si>
    <t>Purulia Muffassil(P),Purulia Town(P)</t>
  </si>
  <si>
    <t>Kenda(P)  ,Purulia Town(P),Arsha(P) &amp; 
Purulia Muffassil(P)</t>
  </si>
  <si>
    <t/>
  </si>
  <si>
    <t>1048^</t>
  </si>
  <si>
    <t>^ As on 30th September</t>
  </si>
  <si>
    <t>243 (R)</t>
  </si>
  <si>
    <t>161*</t>
  </si>
  <si>
    <t>* Figure only for Pranibandhu &amp; Co-operatives</t>
  </si>
  <si>
    <t>Source : P.W.D.(Roads) Directorate (HQ), Govt. of  W.B.</t>
  </si>
  <si>
    <t>5)</t>
  </si>
  <si>
    <t>P.W.D(Roads) Directorate (HQ), Govt. of W.B.</t>
  </si>
  <si>
    <t xml:space="preserve">Source : Economic Census,  2005 &amp; 2013 </t>
  </si>
  <si>
    <t>Source : Economic Census,  2005 &amp; 2013</t>
  </si>
  <si>
    <t>15</t>
  </si>
  <si>
    <t>17</t>
  </si>
  <si>
    <t>27</t>
  </si>
  <si>
    <t>33</t>
  </si>
  <si>
    <t>Selected Characteristics of Factories by industry group  in the district of Purulia for the year 2011-12</t>
  </si>
  <si>
    <t>Manufacture of leather and related products</t>
  </si>
  <si>
    <t>Manufacture of paper and paper products</t>
  </si>
  <si>
    <t>Manufacture of electrical equipment</t>
  </si>
  <si>
    <t>Tapas Kumar Debnath</t>
  </si>
  <si>
    <t>I. LOCATION, RAINFALL &amp; CLIMATE (4 Tables)</t>
  </si>
  <si>
    <t>II. AREA AND POPULATION (16 Tables)</t>
  </si>
  <si>
    <t>III. PUBLIC HEALTH (5 Tables)</t>
  </si>
  <si>
    <t>IV. EDUCATION AND CULTURE (14 Tables)</t>
  </si>
  <si>
    <t>VI. LIVE-STOCK (2 Tables)</t>
  </si>
  <si>
    <t>VII. CO-OPERATIVE, BANKING &amp; INSURANCE (3 Tables)</t>
  </si>
  <si>
    <t>IX. EMPLOYMENT AND LABOUR (4 Tables)</t>
  </si>
  <si>
    <t>X. EMPLOYMENT EXCHANGE AND SOCIAL SERVICE (3 Tables)</t>
  </si>
  <si>
    <t>XI. PRICE (5 Tables)</t>
  </si>
  <si>
    <t>XII. TRANSPORT AND COMMUNICATION (7 Tables)</t>
  </si>
  <si>
    <t>XIII. JUDICIAL AND POLICE (3 Tables)</t>
  </si>
  <si>
    <t>XIV. LOCAL-BODIES (2 Tables)</t>
  </si>
  <si>
    <t>XV. FINANCE (2 Tables)</t>
  </si>
  <si>
    <t>V. AGRICULTURE &amp; ALLIED SECTORS (16 Tables)</t>
  </si>
  <si>
    <t>VIII. INDUSTRY (6 Tables)</t>
  </si>
  <si>
    <t>BLOCK LEVEL STATISTICS (11 Tables)</t>
  </si>
  <si>
    <t>114(P)</t>
  </si>
  <si>
    <t>7460(P)</t>
  </si>
  <si>
    <t>31.12.2014</t>
  </si>
  <si>
    <t>Total Revenue Receipt</t>
  </si>
  <si>
    <t>Surfaced Road</t>
  </si>
  <si>
    <t>Unsurfaced Road</t>
  </si>
  <si>
    <t>Max</t>
  </si>
  <si>
    <t>Min</t>
  </si>
  <si>
    <t>CC : Conventional Contraceptive</t>
  </si>
  <si>
    <t>OP : Oral Pill</t>
  </si>
  <si>
    <t>MTP : Medical Termination of Pregnancy</t>
  </si>
  <si>
    <t>Visual</t>
  </si>
  <si>
    <t>Speech</t>
  </si>
  <si>
    <t>Hearing</t>
  </si>
  <si>
    <t>Locomotor</t>
  </si>
  <si>
    <t>Population served per Bank office*</t>
  </si>
  <si>
    <t>* As per Census 2011 Population</t>
  </si>
  <si>
    <t>(Percent)</t>
  </si>
  <si>
    <t>1918 (R)</t>
  </si>
  <si>
    <t>As on 31.01.2014</t>
  </si>
  <si>
    <t>30.11.2009</t>
  </si>
  <si>
    <t>The 17th June, 2016</t>
  </si>
</sst>
</file>

<file path=xl/styles.xml><?xml version="1.0" encoding="utf-8"?>
<styleSheet xmlns="http://schemas.openxmlformats.org/spreadsheetml/2006/main">
  <numFmts count="7">
    <numFmt numFmtId="43" formatCode="_(* #,##0.00_);_(* \(#,##0.00\);_(* &quot;-&quot;??_);_(@_)"/>
    <numFmt numFmtId="164" formatCode="0.0"/>
    <numFmt numFmtId="165" formatCode="0.000"/>
    <numFmt numFmtId="166" formatCode="0.00;[Red]0.00"/>
    <numFmt numFmtId="167" formatCode="0;[Red]0"/>
    <numFmt numFmtId="168" formatCode="0.000;[Red]0.000"/>
    <numFmt numFmtId="169" formatCode="_(* #,##0.000_);_(* \(#,##0.000\);_(* &quot;-&quot;??_);_(@_)"/>
  </numFmts>
  <fonts count="112">
    <font>
      <sz val="10"/>
      <name val="Arial"/>
    </font>
    <font>
      <sz val="10"/>
      <name val="Arial"/>
      <family val="2"/>
    </font>
    <font>
      <b/>
      <sz val="10"/>
      <name val="Arial"/>
      <family val="2"/>
    </font>
    <font>
      <sz val="10"/>
      <name val="Arial"/>
      <family val="2"/>
    </font>
    <font>
      <u/>
      <sz val="10"/>
      <color indexed="12"/>
      <name val="Arial"/>
      <family val="2"/>
    </font>
    <font>
      <b/>
      <sz val="10"/>
      <name val="Arial Narrow"/>
      <family val="2"/>
    </font>
    <font>
      <sz val="10"/>
      <name val="Arial Narrow"/>
      <family val="2"/>
    </font>
    <font>
      <sz val="8"/>
      <name val="Arial Narrow"/>
      <family val="2"/>
    </font>
    <font>
      <sz val="9"/>
      <name val="Arial"/>
      <family val="2"/>
    </font>
    <font>
      <sz val="10"/>
      <color indexed="10"/>
      <name val="Arial"/>
      <family val="2"/>
    </font>
    <font>
      <sz val="10"/>
      <color indexed="50"/>
      <name val="Arial"/>
      <family val="2"/>
    </font>
    <font>
      <sz val="10"/>
      <color indexed="12"/>
      <name val="Arial"/>
      <family val="2"/>
    </font>
    <font>
      <sz val="10"/>
      <color indexed="57"/>
      <name val="Arial"/>
      <family val="2"/>
    </font>
    <font>
      <sz val="10"/>
      <color indexed="46"/>
      <name val="Arial"/>
      <family val="2"/>
    </font>
    <font>
      <sz val="10"/>
      <color indexed="62"/>
      <name val="Arial"/>
      <family val="2"/>
    </font>
    <font>
      <sz val="10"/>
      <color indexed="61"/>
      <name val="Arial"/>
      <family val="2"/>
    </font>
    <font>
      <b/>
      <sz val="10"/>
      <color indexed="60"/>
      <name val="Arial"/>
      <family val="2"/>
    </font>
    <font>
      <b/>
      <sz val="10"/>
      <color indexed="14"/>
      <name val="Arial"/>
      <family val="2"/>
    </font>
    <font>
      <sz val="10"/>
      <color indexed="60"/>
      <name val="Arial"/>
      <family val="2"/>
    </font>
    <font>
      <b/>
      <sz val="10"/>
      <color indexed="10"/>
      <name val="Arial"/>
      <family val="2"/>
    </font>
    <font>
      <sz val="10"/>
      <color indexed="14"/>
      <name val="Arial"/>
      <family val="2"/>
    </font>
    <font>
      <b/>
      <sz val="10"/>
      <color indexed="18"/>
      <name val="Arial"/>
      <family val="2"/>
    </font>
    <font>
      <b/>
      <sz val="9"/>
      <color indexed="18"/>
      <name val="Arial"/>
      <family val="2"/>
    </font>
    <font>
      <b/>
      <sz val="10"/>
      <color indexed="53"/>
      <name val="Arial"/>
      <family val="2"/>
    </font>
    <font>
      <sz val="10"/>
      <color indexed="53"/>
      <name val="Arial"/>
      <family val="2"/>
    </font>
    <font>
      <b/>
      <sz val="10"/>
      <color indexed="17"/>
      <name val="Arial"/>
      <family val="2"/>
    </font>
    <font>
      <sz val="10"/>
      <color indexed="17"/>
      <name val="Arial"/>
      <family val="2"/>
    </font>
    <font>
      <sz val="9"/>
      <color indexed="12"/>
      <name val="Arial"/>
      <family val="2"/>
    </font>
    <font>
      <sz val="10"/>
      <color indexed="60"/>
      <name val="Arial"/>
      <family val="2"/>
    </font>
    <font>
      <sz val="10"/>
      <color indexed="48"/>
      <name val="Arial"/>
      <family val="2"/>
    </font>
    <font>
      <sz val="10"/>
      <color indexed="60"/>
      <name val="Arial Narrow"/>
      <family val="2"/>
    </font>
    <font>
      <b/>
      <i/>
      <sz val="14"/>
      <color indexed="62"/>
      <name val="Lucida Handwriting"/>
      <family val="4"/>
    </font>
    <font>
      <b/>
      <sz val="14"/>
      <name val="Arial"/>
      <family val="2"/>
    </font>
    <font>
      <sz val="18"/>
      <color indexed="53"/>
      <name val="Times New Roman"/>
      <family val="1"/>
    </font>
    <font>
      <sz val="12"/>
      <color indexed="17"/>
      <name val="Times New Roman"/>
      <family val="1"/>
    </font>
    <font>
      <sz val="9"/>
      <color indexed="57"/>
      <name val="Arial"/>
      <family val="2"/>
    </font>
    <font>
      <b/>
      <u/>
      <sz val="12"/>
      <color indexed="62"/>
      <name val="Arial"/>
      <family val="2"/>
    </font>
    <font>
      <b/>
      <sz val="28"/>
      <color indexed="17"/>
      <name val="Arial Narrow"/>
      <family val="2"/>
    </font>
    <font>
      <b/>
      <sz val="28"/>
      <color indexed="60"/>
      <name val="Arial"/>
      <family val="2"/>
    </font>
    <font>
      <b/>
      <sz val="36"/>
      <color indexed="10"/>
      <name val="Arial"/>
      <family val="2"/>
    </font>
    <font>
      <b/>
      <u/>
      <sz val="26"/>
      <color indexed="17"/>
      <name val="Monotype Corsiva"/>
      <family val="4"/>
    </font>
    <font>
      <b/>
      <u/>
      <sz val="20"/>
      <color indexed="17"/>
      <name val="Arial"/>
      <family val="2"/>
    </font>
    <font>
      <sz val="14"/>
      <color indexed="20"/>
      <name val="Monotype Corsiva"/>
      <family val="4"/>
    </font>
    <font>
      <sz val="10"/>
      <color indexed="20"/>
      <name val="Arial"/>
      <family val="2"/>
    </font>
    <font>
      <sz val="10"/>
      <color indexed="17"/>
      <name val="Times New Roman"/>
      <family val="1"/>
    </font>
    <font>
      <sz val="10"/>
      <name val="Arial"/>
      <family val="2"/>
    </font>
    <font>
      <b/>
      <sz val="13"/>
      <color indexed="62"/>
      <name val="Times New Roman"/>
      <family val="1"/>
    </font>
    <font>
      <b/>
      <u/>
      <sz val="20"/>
      <name val="Times New Roman"/>
      <family val="1"/>
    </font>
    <font>
      <b/>
      <u/>
      <sz val="12"/>
      <name val="Times New Roman"/>
      <family val="1"/>
    </font>
    <font>
      <b/>
      <i/>
      <sz val="10"/>
      <color indexed="62"/>
      <name val="Lucida Handwriting"/>
      <family val="4"/>
    </font>
    <font>
      <b/>
      <sz val="13"/>
      <name val="Times New Roman"/>
      <family val="1"/>
    </font>
    <font>
      <b/>
      <sz val="10"/>
      <color indexed="16"/>
      <name val="Arial"/>
      <family val="2"/>
    </font>
    <font>
      <sz val="10"/>
      <color indexed="16"/>
      <name val="Arial"/>
      <family val="2"/>
    </font>
    <font>
      <sz val="9"/>
      <name val="Arial Narrow"/>
      <family val="2"/>
    </font>
    <font>
      <sz val="8"/>
      <name val="Arial"/>
      <family val="2"/>
    </font>
    <font>
      <sz val="10"/>
      <color indexed="20"/>
      <name val="Arial"/>
      <family val="2"/>
    </font>
    <font>
      <sz val="22"/>
      <color indexed="10"/>
      <name val="Book Antiqua"/>
      <family val="1"/>
    </font>
    <font>
      <b/>
      <sz val="13"/>
      <color indexed="18"/>
      <name val="Times New Roman"/>
      <family val="1"/>
    </font>
    <font>
      <sz val="10"/>
      <color indexed="18"/>
      <name val="Arial"/>
      <family val="2"/>
    </font>
    <font>
      <sz val="10"/>
      <color indexed="18"/>
      <name val="Arial"/>
      <family val="2"/>
    </font>
    <font>
      <b/>
      <sz val="13"/>
      <color indexed="60"/>
      <name val="Times New Roman"/>
      <family val="1"/>
    </font>
    <font>
      <sz val="9"/>
      <color indexed="18"/>
      <name val="Arial"/>
      <family val="2"/>
    </font>
    <font>
      <sz val="9"/>
      <color indexed="60"/>
      <name val="Arial"/>
      <family val="2"/>
    </font>
    <font>
      <b/>
      <sz val="10"/>
      <color indexed="18"/>
      <name val="Arial"/>
      <family val="2"/>
    </font>
    <font>
      <sz val="10"/>
      <color indexed="17"/>
      <name val="Arial"/>
      <family val="2"/>
    </font>
    <font>
      <sz val="11"/>
      <color indexed="60"/>
      <name val="Arial"/>
      <family val="2"/>
    </font>
    <font>
      <sz val="9"/>
      <color indexed="60"/>
      <name val="Arial"/>
      <family val="2"/>
    </font>
    <font>
      <sz val="10"/>
      <color indexed="10"/>
      <name val="Arial"/>
      <family val="2"/>
    </font>
    <font>
      <b/>
      <sz val="11"/>
      <color indexed="18"/>
      <name val="Arial"/>
      <family val="2"/>
    </font>
    <font>
      <u/>
      <sz val="10"/>
      <color indexed="60"/>
      <name val="Arial"/>
      <family val="2"/>
    </font>
    <font>
      <sz val="14"/>
      <color indexed="20"/>
      <name val="Times New Roman"/>
      <family val="1"/>
    </font>
    <font>
      <sz val="10"/>
      <name val="Times New Roman"/>
      <family val="1"/>
    </font>
    <font>
      <sz val="9"/>
      <name val="Arial"/>
      <family val="2"/>
    </font>
    <font>
      <sz val="9"/>
      <color indexed="46"/>
      <name val="Arial"/>
      <family val="2"/>
    </font>
    <font>
      <b/>
      <sz val="9"/>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9"/>
      <color indexed="14"/>
      <name val="Arial"/>
      <family val="2"/>
    </font>
    <font>
      <b/>
      <sz val="9"/>
      <color indexed="16"/>
      <name val="Arial"/>
      <family val="2"/>
    </font>
    <font>
      <sz val="9"/>
      <color indexed="20"/>
      <name val="Arial"/>
      <family val="2"/>
    </font>
    <font>
      <sz val="9"/>
      <color indexed="13"/>
      <name val="Arial"/>
      <family val="2"/>
    </font>
    <font>
      <sz val="9"/>
      <color indexed="56"/>
      <name val="Arial"/>
      <family val="2"/>
    </font>
    <font>
      <i/>
      <u/>
      <sz val="9"/>
      <name val="Arial"/>
      <family val="2"/>
    </font>
    <font>
      <sz val="9"/>
      <color indexed="21"/>
      <name val="Arial"/>
      <family val="2"/>
    </font>
    <font>
      <sz val="16"/>
      <color indexed="53"/>
      <name val="Times New Roman"/>
      <family val="1"/>
    </font>
    <font>
      <sz val="12"/>
      <color indexed="53"/>
      <name val="Times New Roman"/>
      <family val="1"/>
    </font>
    <font>
      <b/>
      <sz val="18"/>
      <color indexed="53"/>
      <name val="Times New Roman"/>
      <family val="1"/>
    </font>
    <font>
      <sz val="9"/>
      <color indexed="48"/>
      <name val="Arial"/>
      <family val="2"/>
    </font>
    <font>
      <sz val="12"/>
      <name val="Arial"/>
      <family val="2"/>
    </font>
    <font>
      <sz val="12"/>
      <color indexed="14"/>
      <name val="Times New Roman"/>
      <family val="1"/>
    </font>
    <font>
      <vertAlign val="superscript"/>
      <sz val="10"/>
      <color indexed="60"/>
      <name val="Arial"/>
      <family val="2"/>
    </font>
    <font>
      <vertAlign val="superscript"/>
      <sz val="9"/>
      <name val="Arial"/>
      <family val="2"/>
    </font>
    <font>
      <sz val="10"/>
      <name val="Arial"/>
      <family val="2"/>
    </font>
    <font>
      <sz val="13"/>
      <name val="Times New Roman"/>
      <family val="1"/>
    </font>
    <font>
      <b/>
      <u/>
      <sz val="10"/>
      <name val="Arial"/>
      <family val="2"/>
    </font>
    <font>
      <sz val="10"/>
      <color indexed="8"/>
      <name val="Arial"/>
      <family val="2"/>
    </font>
    <font>
      <vertAlign val="superscript"/>
      <sz val="9"/>
      <color indexed="18"/>
      <name val="Arial"/>
      <family val="2"/>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9"/>
        <bgColor indexed="64"/>
      </patternFill>
    </fill>
  </fills>
  <borders count="25">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s>
  <cellStyleXfs count="44">
    <xf numFmtId="0" fontId="0" fillId="0" borderId="0"/>
    <xf numFmtId="0" fontId="75" fillId="2" borderId="0" applyNumberFormat="0" applyBorder="0" applyAlignment="0" applyProtection="0"/>
    <xf numFmtId="0" fontId="75" fillId="3" borderId="0" applyNumberFormat="0" applyBorder="0" applyAlignment="0" applyProtection="0"/>
    <xf numFmtId="0" fontId="75" fillId="4" borderId="0" applyNumberFormat="0" applyBorder="0" applyAlignment="0" applyProtection="0"/>
    <xf numFmtId="0" fontId="75" fillId="5" borderId="0" applyNumberFormat="0" applyBorder="0" applyAlignment="0" applyProtection="0"/>
    <xf numFmtId="0" fontId="75" fillId="6" borderId="0" applyNumberFormat="0" applyBorder="0" applyAlignment="0" applyProtection="0"/>
    <xf numFmtId="0" fontId="75" fillId="7" borderId="0" applyNumberFormat="0" applyBorder="0" applyAlignment="0" applyProtection="0"/>
    <xf numFmtId="0" fontId="75" fillId="8" borderId="0" applyNumberFormat="0" applyBorder="0" applyAlignment="0" applyProtection="0"/>
    <xf numFmtId="0" fontId="75" fillId="9" borderId="0" applyNumberFormat="0" applyBorder="0" applyAlignment="0" applyProtection="0"/>
    <xf numFmtId="0" fontId="75" fillId="10" borderId="0" applyNumberFormat="0" applyBorder="0" applyAlignment="0" applyProtection="0"/>
    <xf numFmtId="0" fontId="75" fillId="5" borderId="0" applyNumberFormat="0" applyBorder="0" applyAlignment="0" applyProtection="0"/>
    <xf numFmtId="0" fontId="75" fillId="8" borderId="0" applyNumberFormat="0" applyBorder="0" applyAlignment="0" applyProtection="0"/>
    <xf numFmtId="0" fontId="75" fillId="11" borderId="0" applyNumberFormat="0" applyBorder="0" applyAlignment="0" applyProtection="0"/>
    <xf numFmtId="0" fontId="76" fillId="12" borderId="0" applyNumberFormat="0" applyBorder="0" applyAlignment="0" applyProtection="0"/>
    <xf numFmtId="0" fontId="76" fillId="9" borderId="0" applyNumberFormat="0" applyBorder="0" applyAlignment="0" applyProtection="0"/>
    <xf numFmtId="0" fontId="76" fillId="10" borderId="0" applyNumberFormat="0" applyBorder="0" applyAlignment="0" applyProtection="0"/>
    <xf numFmtId="0" fontId="76" fillId="13" borderId="0" applyNumberFormat="0" applyBorder="0" applyAlignment="0" applyProtection="0"/>
    <xf numFmtId="0" fontId="76" fillId="14" borderId="0" applyNumberFormat="0" applyBorder="0" applyAlignment="0" applyProtection="0"/>
    <xf numFmtId="0" fontId="76" fillId="15" borderId="0" applyNumberFormat="0" applyBorder="0" applyAlignment="0" applyProtection="0"/>
    <xf numFmtId="0" fontId="76" fillId="16" borderId="0" applyNumberFormat="0" applyBorder="0" applyAlignment="0" applyProtection="0"/>
    <xf numFmtId="0" fontId="76" fillId="17" borderId="0" applyNumberFormat="0" applyBorder="0" applyAlignment="0" applyProtection="0"/>
    <xf numFmtId="0" fontId="76" fillId="18" borderId="0" applyNumberFormat="0" applyBorder="0" applyAlignment="0" applyProtection="0"/>
    <xf numFmtId="0" fontId="76" fillId="13" borderId="0" applyNumberFormat="0" applyBorder="0" applyAlignment="0" applyProtection="0"/>
    <xf numFmtId="0" fontId="76" fillId="14" borderId="0" applyNumberFormat="0" applyBorder="0" applyAlignment="0" applyProtection="0"/>
    <xf numFmtId="0" fontId="76" fillId="19" borderId="0" applyNumberFormat="0" applyBorder="0" applyAlignment="0" applyProtection="0"/>
    <xf numFmtId="0" fontId="77" fillId="3" borderId="0" applyNumberFormat="0" applyBorder="0" applyAlignment="0" applyProtection="0"/>
    <xf numFmtId="0" fontId="78" fillId="20" borderId="1" applyNumberFormat="0" applyAlignment="0" applyProtection="0"/>
    <xf numFmtId="0" fontId="79" fillId="21" borderId="2" applyNumberFormat="0" applyAlignment="0" applyProtection="0"/>
    <xf numFmtId="0" fontId="80" fillId="0" borderId="0" applyNumberFormat="0" applyFill="0" applyBorder="0" applyAlignment="0" applyProtection="0"/>
    <xf numFmtId="0" fontId="81" fillId="4" borderId="0" applyNumberFormat="0" applyBorder="0" applyAlignment="0" applyProtection="0"/>
    <xf numFmtId="0" fontId="82" fillId="0" borderId="3" applyNumberFormat="0" applyFill="0" applyAlignment="0" applyProtection="0"/>
    <xf numFmtId="0" fontId="83" fillId="0" borderId="4" applyNumberFormat="0" applyFill="0" applyAlignment="0" applyProtection="0"/>
    <xf numFmtId="0" fontId="84" fillId="0" borderId="5" applyNumberFormat="0" applyFill="0" applyAlignment="0" applyProtection="0"/>
    <xf numFmtId="0" fontId="84" fillId="0" borderId="0" applyNumberFormat="0" applyFill="0" applyBorder="0" applyAlignment="0" applyProtection="0"/>
    <xf numFmtId="0" fontId="4" fillId="0" borderId="0" applyNumberFormat="0" applyFill="0" applyBorder="0" applyAlignment="0" applyProtection="0">
      <alignment vertical="top"/>
      <protection locked="0"/>
    </xf>
    <xf numFmtId="0" fontId="85" fillId="7" borderId="1" applyNumberFormat="0" applyAlignment="0" applyProtection="0"/>
    <xf numFmtId="0" fontId="86" fillId="0" borderId="6" applyNumberFormat="0" applyFill="0" applyAlignment="0" applyProtection="0"/>
    <xf numFmtId="0" fontId="87" fillId="22" borderId="0" applyNumberFormat="0" applyBorder="0" applyAlignment="0" applyProtection="0"/>
    <xf numFmtId="0" fontId="1" fillId="23" borderId="7" applyNumberFormat="0" applyFont="0" applyAlignment="0" applyProtection="0"/>
    <xf numFmtId="0" fontId="88" fillId="20" borderId="8" applyNumberFormat="0" applyAlignment="0" applyProtection="0"/>
    <xf numFmtId="0" fontId="89" fillId="0" borderId="0" applyNumberFormat="0" applyFill="0" applyBorder="0" applyAlignment="0" applyProtection="0"/>
    <xf numFmtId="0" fontId="90" fillId="0" borderId="9" applyNumberFormat="0" applyFill="0" applyAlignment="0" applyProtection="0"/>
    <xf numFmtId="0" fontId="91" fillId="0" borderId="0" applyNumberFormat="0" applyFill="0" applyBorder="0" applyAlignment="0" applyProtection="0"/>
    <xf numFmtId="43" fontId="1" fillId="0" borderId="0" applyFont="0" applyFill="0" applyBorder="0" applyAlignment="0" applyProtection="0"/>
  </cellStyleXfs>
  <cellXfs count="1904">
    <xf numFmtId="0" fontId="0" fillId="0" borderId="0" xfId="0"/>
    <xf numFmtId="0" fontId="0" fillId="0" borderId="0" xfId="0" applyAlignment="1">
      <alignment horizontal="center"/>
    </xf>
    <xf numFmtId="0" fontId="0" fillId="0" borderId="0" xfId="0" applyAlignment="1"/>
    <xf numFmtId="0" fontId="0" fillId="0" borderId="10" xfId="0" applyBorder="1"/>
    <xf numFmtId="0" fontId="2" fillId="0" borderId="0" xfId="0" applyFont="1"/>
    <xf numFmtId="0" fontId="3" fillId="0" borderId="0" xfId="0" applyFont="1"/>
    <xf numFmtId="0" fontId="0" fillId="0" borderId="0" xfId="0" applyBorder="1"/>
    <xf numFmtId="0" fontId="6" fillId="0" borderId="0" xfId="0" applyFont="1"/>
    <xf numFmtId="0" fontId="6" fillId="0" borderId="10" xfId="0" applyFont="1" applyBorder="1"/>
    <xf numFmtId="0" fontId="6" fillId="0" borderId="0" xfId="0" applyFont="1" applyBorder="1"/>
    <xf numFmtId="0" fontId="6" fillId="0" borderId="0" xfId="0" applyFont="1" applyAlignment="1">
      <alignment horizontal="center" vertical="center"/>
    </xf>
    <xf numFmtId="0" fontId="0" fillId="0" borderId="0" xfId="0" applyFill="1" applyBorder="1" applyAlignment="1">
      <alignment horizontal="right"/>
    </xf>
    <xf numFmtId="0" fontId="0" fillId="0" borderId="0" xfId="0" quotePrefix="1"/>
    <xf numFmtId="0" fontId="3" fillId="0" borderId="10" xfId="0" applyFont="1" applyBorder="1"/>
    <xf numFmtId="0" fontId="0" fillId="0" borderId="0" xfId="0" applyAlignment="1">
      <alignment vertical="top" wrapText="1"/>
    </xf>
    <xf numFmtId="0" fontId="0" fillId="0" borderId="0" xfId="0" quotePrefix="1" applyBorder="1" applyAlignment="1">
      <alignment horizontal="center"/>
    </xf>
    <xf numFmtId="0" fontId="0" fillId="0" borderId="0" xfId="0" applyBorder="1" applyAlignment="1">
      <alignment horizontal="left"/>
    </xf>
    <xf numFmtId="0" fontId="2" fillId="0" borderId="0" xfId="0" applyFont="1" applyBorder="1" applyAlignment="1">
      <alignment horizontal="left" vertical="top" wrapText="1"/>
    </xf>
    <xf numFmtId="0" fontId="2" fillId="0" borderId="0" xfId="0" applyFont="1" applyBorder="1" applyAlignment="1">
      <alignment horizontal="center" vertical="top" wrapText="1"/>
    </xf>
    <xf numFmtId="0" fontId="0" fillId="0" borderId="0" xfId="0" applyAlignment="1">
      <alignment vertical="top"/>
    </xf>
    <xf numFmtId="0" fontId="6" fillId="0" borderId="0" xfId="0" applyFont="1" applyAlignment="1">
      <alignment horizontal="right"/>
    </xf>
    <xf numFmtId="0" fontId="2" fillId="0" borderId="0" xfId="0" applyFont="1" applyBorder="1" applyAlignment="1">
      <alignment horizontal="center" vertical="top"/>
    </xf>
    <xf numFmtId="0" fontId="0" fillId="0" borderId="10" xfId="0" applyBorder="1" applyAlignment="1">
      <alignment horizontal="center" vertical="center"/>
    </xf>
    <xf numFmtId="0" fontId="2" fillId="0" borderId="0" xfId="0" applyFont="1" applyBorder="1" applyAlignment="1">
      <alignment horizontal="center" vertical="center"/>
    </xf>
    <xf numFmtId="0" fontId="2" fillId="0" borderId="0" xfId="0" applyFont="1" applyAlignment="1">
      <alignment horizontal="center" vertical="center"/>
    </xf>
    <xf numFmtId="0" fontId="0" fillId="0" borderId="0" xfId="0" quotePrefix="1" applyBorder="1"/>
    <xf numFmtId="0" fontId="2" fillId="0" borderId="10" xfId="0" applyFont="1" applyBorder="1" applyAlignment="1">
      <alignment horizontal="center" vertical="top" wrapText="1"/>
    </xf>
    <xf numFmtId="0" fontId="3" fillId="0" borderId="0" xfId="0" quotePrefix="1" applyFont="1"/>
    <xf numFmtId="0" fontId="3" fillId="0" borderId="0" xfId="0" applyFont="1" applyBorder="1"/>
    <xf numFmtId="0" fontId="3" fillId="0" borderId="0" xfId="0" applyFont="1" applyBorder="1" applyAlignment="1">
      <alignment horizontal="left" vertical="center"/>
    </xf>
    <xf numFmtId="0" fontId="2" fillId="0" borderId="10" xfId="0" applyFont="1" applyBorder="1" applyAlignment="1">
      <alignment horizontal="center" vertical="center"/>
    </xf>
    <xf numFmtId="0" fontId="0" fillId="0" borderId="0" xfId="0" applyBorder="1" applyAlignment="1">
      <alignment horizontal="center" vertical="center"/>
    </xf>
    <xf numFmtId="0" fontId="2" fillId="0" borderId="0" xfId="0" applyFont="1" applyAlignment="1">
      <alignment horizontal="center" vertical="top"/>
    </xf>
    <xf numFmtId="0" fontId="8" fillId="0" borderId="0" xfId="0" applyFont="1" applyBorder="1"/>
    <xf numFmtId="0" fontId="0" fillId="0" borderId="11" xfId="0" applyBorder="1" applyAlignment="1">
      <alignment horizontal="center" vertical="center"/>
    </xf>
    <xf numFmtId="0" fontId="0" fillId="0" borderId="12" xfId="0" applyBorder="1" applyAlignment="1" applyProtection="1">
      <alignment horizontal="center" vertical="center"/>
      <protection locked="0"/>
    </xf>
    <xf numFmtId="0" fontId="0" fillId="0" borderId="10" xfId="0" applyBorder="1" applyAlignment="1" applyProtection="1">
      <alignment horizontal="center" vertical="center"/>
      <protection locked="0"/>
    </xf>
    <xf numFmtId="0" fontId="3" fillId="0" borderId="0" xfId="0" applyFont="1" applyProtection="1">
      <protection locked="0"/>
    </xf>
    <xf numFmtId="1" fontId="3" fillId="0" borderId="0" xfId="0" applyNumberFormat="1" applyFont="1"/>
    <xf numFmtId="0" fontId="0" fillId="0" borderId="0" xfId="0" applyProtection="1"/>
    <xf numFmtId="0" fontId="6" fillId="0" borderId="0" xfId="0" applyFont="1" applyBorder="1" applyAlignment="1" applyProtection="1">
      <alignment horizontal="center"/>
      <protection locked="0"/>
    </xf>
    <xf numFmtId="2" fontId="0" fillId="0" borderId="12" xfId="0" applyNumberFormat="1" applyBorder="1" applyAlignment="1" applyProtection="1">
      <alignment horizontal="center" vertical="center"/>
      <protection locked="0"/>
    </xf>
    <xf numFmtId="2" fontId="0" fillId="0" borderId="13" xfId="0" applyNumberFormat="1" applyBorder="1" applyAlignment="1" applyProtection="1">
      <alignment horizontal="center" vertical="center"/>
      <protection locked="0"/>
    </xf>
    <xf numFmtId="0" fontId="0" fillId="0" borderId="14" xfId="0" applyBorder="1" applyAlignment="1">
      <alignment horizontal="center" vertical="center"/>
    </xf>
    <xf numFmtId="0" fontId="0" fillId="0" borderId="12" xfId="0" applyBorder="1" applyAlignment="1">
      <alignment horizontal="center"/>
    </xf>
    <xf numFmtId="0" fontId="0" fillId="0" borderId="13" xfId="0" applyBorder="1" applyAlignment="1">
      <alignment horizontal="center"/>
    </xf>
    <xf numFmtId="0" fontId="0" fillId="0" borderId="0" xfId="0" applyBorder="1" applyAlignment="1" applyProtection="1">
      <alignment horizontal="center" vertical="center"/>
      <protection locked="0"/>
    </xf>
    <xf numFmtId="0" fontId="0" fillId="0" borderId="0" xfId="0" applyAlignment="1">
      <alignment wrapText="1"/>
    </xf>
    <xf numFmtId="0" fontId="0" fillId="0" borderId="15" xfId="0" applyBorder="1" applyAlignment="1">
      <alignment horizontal="center" vertical="center"/>
    </xf>
    <xf numFmtId="0" fontId="0" fillId="0" borderId="0" xfId="0" applyAlignment="1">
      <alignment vertical="center"/>
    </xf>
    <xf numFmtId="0" fontId="0" fillId="0" borderId="16" xfId="0" applyBorder="1" applyAlignment="1">
      <alignment horizontal="center" vertical="center"/>
    </xf>
    <xf numFmtId="0" fontId="0" fillId="0" borderId="16" xfId="0" applyBorder="1" applyAlignment="1" applyProtection="1">
      <alignment horizontal="center" vertical="center"/>
      <protection locked="0"/>
    </xf>
    <xf numFmtId="0" fontId="9" fillId="0" borderId="10" xfId="0" applyFont="1" applyBorder="1"/>
    <xf numFmtId="0" fontId="10" fillId="0" borderId="0" xfId="0" applyFont="1"/>
    <xf numFmtId="0" fontId="6" fillId="0" borderId="0" xfId="0" applyFont="1" applyFill="1"/>
    <xf numFmtId="2" fontId="0" fillId="0" borderId="0" xfId="0" applyNumberFormat="1" applyBorder="1" applyAlignment="1">
      <alignment horizontal="center" vertical="center"/>
    </xf>
    <xf numFmtId="0" fontId="20" fillId="0" borderId="0" xfId="0" applyFont="1"/>
    <xf numFmtId="0" fontId="15" fillId="0" borderId="0" xfId="0" applyFont="1"/>
    <xf numFmtId="0" fontId="11" fillId="0" borderId="12" xfId="0" applyFont="1" applyBorder="1"/>
    <xf numFmtId="0" fontId="11" fillId="0" borderId="13" xfId="0" applyFont="1" applyBorder="1"/>
    <xf numFmtId="0" fontId="10" fillId="0" borderId="0" xfId="0" applyFont="1" applyBorder="1"/>
    <xf numFmtId="0" fontId="18" fillId="0" borderId="17" xfId="0" applyFont="1" applyBorder="1" applyAlignment="1">
      <alignment horizontal="center" vertical="center"/>
    </xf>
    <xf numFmtId="0" fontId="13" fillId="0" borderId="0" xfId="0" applyFont="1"/>
    <xf numFmtId="0" fontId="12" fillId="0" borderId="0" xfId="0" applyFont="1" applyBorder="1"/>
    <xf numFmtId="1" fontId="10" fillId="0" borderId="0" xfId="0" applyNumberFormat="1" applyFont="1"/>
    <xf numFmtId="0" fontId="26" fillId="0" borderId="12" xfId="0" applyFont="1" applyBorder="1" applyAlignment="1">
      <alignment horizontal="center" vertical="center"/>
    </xf>
    <xf numFmtId="0" fontId="32" fillId="0" borderId="0" xfId="0" applyFont="1"/>
    <xf numFmtId="0" fontId="32" fillId="0" borderId="0" xfId="0" quotePrefix="1" applyFont="1"/>
    <xf numFmtId="0" fontId="24" fillId="0" borderId="0" xfId="0" applyFont="1" applyBorder="1" applyAlignment="1">
      <alignment horizontal="center"/>
    </xf>
    <xf numFmtId="0" fontId="26" fillId="0" borderId="0" xfId="34" applyFont="1" applyBorder="1" applyAlignment="1" applyProtection="1">
      <alignment horizontal="left"/>
    </xf>
    <xf numFmtId="0" fontId="11" fillId="0" borderId="16" xfId="0" applyFont="1" applyBorder="1"/>
    <xf numFmtId="0" fontId="12" fillId="0" borderId="0" xfId="0" applyFont="1" applyAlignment="1">
      <alignment horizontal="right"/>
    </xf>
    <xf numFmtId="0" fontId="12" fillId="0" borderId="0" xfId="0" applyFont="1"/>
    <xf numFmtId="0" fontId="12" fillId="0" borderId="0" xfId="0" applyFont="1" applyBorder="1" applyAlignment="1">
      <alignment horizontal="right"/>
    </xf>
    <xf numFmtId="0" fontId="16" fillId="0" borderId="11" xfId="0" applyFont="1" applyBorder="1" applyAlignment="1">
      <alignment horizontal="center" vertical="center"/>
    </xf>
    <xf numFmtId="0" fontId="0" fillId="0" borderId="0" xfId="0" applyAlignment="1">
      <alignment horizontal="left"/>
    </xf>
    <xf numFmtId="0" fontId="18" fillId="0" borderId="11" xfId="0" applyFont="1" applyFill="1" applyBorder="1" applyAlignment="1">
      <alignment horizontal="center" vertical="center"/>
    </xf>
    <xf numFmtId="0" fontId="35" fillId="0" borderId="0" xfId="0" applyFont="1" applyBorder="1"/>
    <xf numFmtId="0" fontId="33" fillId="0" borderId="0" xfId="0" applyFont="1" applyAlignment="1">
      <alignment horizontal="center"/>
    </xf>
    <xf numFmtId="0" fontId="34" fillId="0" borderId="0" xfId="0" applyFont="1" applyAlignment="1">
      <alignment horizontal="center"/>
    </xf>
    <xf numFmtId="0" fontId="41" fillId="0" borderId="0" xfId="0" applyFont="1" applyAlignment="1">
      <alignment horizontal="center" vertical="top"/>
    </xf>
    <xf numFmtId="0" fontId="42" fillId="0" borderId="0" xfId="0" applyFont="1" applyAlignment="1">
      <alignment vertical="top"/>
    </xf>
    <xf numFmtId="0" fontId="43" fillId="0" borderId="0" xfId="0" applyFont="1" applyAlignment="1"/>
    <xf numFmtId="0" fontId="42" fillId="0" borderId="0" xfId="0" applyFont="1" applyAlignment="1"/>
    <xf numFmtId="0" fontId="44" fillId="0" borderId="0" xfId="0" applyFont="1" applyAlignment="1">
      <alignment horizontal="center"/>
    </xf>
    <xf numFmtId="0" fontId="44" fillId="0" borderId="0" xfId="0" applyFont="1"/>
    <xf numFmtId="0" fontId="0" fillId="0" borderId="13" xfId="0" applyBorder="1" applyAlignment="1" applyProtection="1">
      <alignment horizontal="center" vertical="center"/>
      <protection locked="0"/>
    </xf>
    <xf numFmtId="0" fontId="18" fillId="0" borderId="12" xfId="0" applyFont="1" applyBorder="1" applyAlignment="1">
      <alignment horizontal="center" vertical="center"/>
    </xf>
    <xf numFmtId="0" fontId="18" fillId="0" borderId="13" xfId="0" applyFont="1" applyBorder="1" applyAlignment="1">
      <alignment horizontal="center" vertical="center"/>
    </xf>
    <xf numFmtId="0" fontId="0" fillId="0" borderId="13" xfId="0" applyBorder="1" applyAlignment="1">
      <alignment horizontal="center" vertical="center"/>
    </xf>
    <xf numFmtId="0" fontId="17" fillId="0" borderId="18" xfId="0" applyFont="1" applyBorder="1" applyAlignment="1">
      <alignment horizontal="center" vertical="center"/>
    </xf>
    <xf numFmtId="0" fontId="16" fillId="0" borderId="13" xfId="0" applyFont="1" applyBorder="1" applyAlignment="1">
      <alignment horizontal="center" vertical="center"/>
    </xf>
    <xf numFmtId="0" fontId="0" fillId="0" borderId="18" xfId="0" applyBorder="1" applyAlignment="1" applyProtection="1">
      <alignment horizontal="center" vertical="center"/>
      <protection locked="0"/>
    </xf>
    <xf numFmtId="0" fontId="16" fillId="0" borderId="17" xfId="0" applyFont="1" applyBorder="1" applyAlignment="1">
      <alignment horizontal="center" vertical="center"/>
    </xf>
    <xf numFmtId="0" fontId="0" fillId="0" borderId="19" xfId="0" applyBorder="1" applyAlignment="1">
      <alignment horizontal="center" vertical="center"/>
    </xf>
    <xf numFmtId="0" fontId="12" fillId="0" borderId="0" xfId="0" applyFont="1" applyBorder="1" applyAlignment="1">
      <alignment horizontal="center" vertical="center"/>
    </xf>
    <xf numFmtId="0" fontId="18" fillId="0" borderId="16" xfId="0" applyFont="1" applyBorder="1" applyAlignment="1">
      <alignment horizontal="center" vertical="center"/>
    </xf>
    <xf numFmtId="0" fontId="18" fillId="0" borderId="15" xfId="0" applyFont="1" applyBorder="1" applyAlignment="1">
      <alignment horizontal="center" vertical="center"/>
    </xf>
    <xf numFmtId="2" fontId="0" fillId="0" borderId="0" xfId="0" applyNumberFormat="1" applyBorder="1" applyAlignment="1" applyProtection="1">
      <alignment horizontal="center" vertical="center"/>
      <protection locked="0"/>
    </xf>
    <xf numFmtId="0" fontId="0" fillId="0" borderId="12" xfId="0" applyBorder="1" applyAlignment="1">
      <alignment horizontal="center" vertical="center"/>
    </xf>
    <xf numFmtId="0" fontId="0" fillId="0" borderId="20" xfId="0" applyBorder="1" applyAlignment="1">
      <alignment horizontal="center" vertical="center"/>
    </xf>
    <xf numFmtId="0" fontId="0" fillId="0" borderId="18" xfId="0" applyBorder="1" applyAlignment="1">
      <alignment horizontal="center" vertical="center"/>
    </xf>
    <xf numFmtId="0" fontId="2" fillId="0" borderId="13" xfId="0" applyFont="1" applyBorder="1" applyAlignment="1">
      <alignment horizontal="center" vertical="center"/>
    </xf>
    <xf numFmtId="0" fontId="11" fillId="0" borderId="19" xfId="0" applyFont="1" applyBorder="1" applyAlignment="1">
      <alignment vertical="center"/>
    </xf>
    <xf numFmtId="0" fontId="0" fillId="0" borderId="12" xfId="0" applyFill="1" applyBorder="1" applyAlignment="1">
      <alignment horizontal="center" vertical="center"/>
    </xf>
    <xf numFmtId="0" fontId="0" fillId="0" borderId="16" xfId="0" applyFill="1" applyBorder="1" applyAlignment="1">
      <alignment horizontal="center" vertical="center"/>
    </xf>
    <xf numFmtId="0" fontId="0" fillId="0" borderId="0" xfId="0" applyFill="1" applyBorder="1" applyAlignment="1">
      <alignment horizontal="center" vertical="center"/>
    </xf>
    <xf numFmtId="0" fontId="0" fillId="0" borderId="0" xfId="0" applyAlignment="1">
      <alignment horizontal="center" vertical="center"/>
    </xf>
    <xf numFmtId="0" fontId="0" fillId="0" borderId="15" xfId="0" applyBorder="1" applyAlignment="1" applyProtection="1">
      <alignment horizontal="center" vertical="center"/>
      <protection locked="0"/>
    </xf>
    <xf numFmtId="0" fontId="11" fillId="0" borderId="0" xfId="0" applyFont="1" applyBorder="1" applyAlignment="1">
      <alignment vertical="center"/>
    </xf>
    <xf numFmtId="0" fontId="11" fillId="0" borderId="16" xfId="0" applyFont="1" applyBorder="1" applyAlignment="1">
      <alignment vertical="center"/>
    </xf>
    <xf numFmtId="0" fontId="0" fillId="0" borderId="0" xfId="0" applyBorder="1" applyAlignment="1">
      <alignment vertical="center"/>
    </xf>
    <xf numFmtId="0" fontId="45" fillId="0" borderId="0" xfId="0" applyFont="1"/>
    <xf numFmtId="0" fontId="45" fillId="0" borderId="0" xfId="0" applyFont="1" applyProtection="1">
      <protection locked="0"/>
    </xf>
    <xf numFmtId="2" fontId="0" fillId="0" borderId="19" xfId="0" applyNumberFormat="1" applyBorder="1" applyAlignment="1" applyProtection="1">
      <alignment horizontal="center" vertical="center"/>
      <protection locked="0"/>
    </xf>
    <xf numFmtId="2" fontId="18" fillId="0" borderId="12" xfId="0" applyNumberFormat="1" applyFont="1" applyBorder="1" applyAlignment="1">
      <alignment horizontal="center" vertical="center"/>
    </xf>
    <xf numFmtId="0" fontId="0" fillId="0" borderId="12" xfId="0" applyBorder="1" applyAlignment="1">
      <alignment horizontal="right" vertical="center"/>
    </xf>
    <xf numFmtId="0" fontId="0" fillId="0" borderId="16" xfId="0" applyBorder="1" applyAlignment="1">
      <alignment horizontal="right" vertical="center"/>
    </xf>
    <xf numFmtId="0" fontId="0" fillId="0" borderId="19" xfId="0" quotePrefix="1" applyBorder="1" applyAlignment="1">
      <alignment horizontal="center" vertical="center"/>
    </xf>
    <xf numFmtId="0" fontId="0" fillId="0" borderId="19" xfId="0" applyBorder="1" applyAlignment="1" applyProtection="1">
      <alignment horizontal="center" vertical="center"/>
    </xf>
    <xf numFmtId="0" fontId="0" fillId="0" borderId="12" xfId="0" applyBorder="1" applyAlignment="1" applyProtection="1">
      <alignment horizontal="center" vertical="center"/>
    </xf>
    <xf numFmtId="0" fontId="0" fillId="0" borderId="0" xfId="0" applyAlignment="1" applyProtection="1">
      <alignment horizontal="center" vertical="center"/>
    </xf>
    <xf numFmtId="0" fontId="0" fillId="0" borderId="16" xfId="0" applyBorder="1" applyAlignment="1" applyProtection="1">
      <alignment horizontal="center" vertical="center"/>
    </xf>
    <xf numFmtId="0" fontId="3" fillId="0" borderId="0" xfId="0" applyFont="1" applyBorder="1" applyAlignment="1">
      <alignment horizontal="center" vertical="center"/>
    </xf>
    <xf numFmtId="0" fontId="3" fillId="0" borderId="16" xfId="0" applyFont="1" applyBorder="1" applyAlignment="1">
      <alignment horizontal="center" vertical="center"/>
    </xf>
    <xf numFmtId="0" fontId="3" fillId="0" borderId="19" xfId="0" applyFont="1" applyBorder="1" applyAlignment="1">
      <alignment horizontal="center" vertical="center"/>
    </xf>
    <xf numFmtId="0" fontId="3" fillId="0" borderId="12" xfId="0" applyFont="1" applyBorder="1" applyAlignment="1">
      <alignment horizontal="center" vertical="center"/>
    </xf>
    <xf numFmtId="0" fontId="3" fillId="0" borderId="15" xfId="0" applyFont="1" applyBorder="1" applyAlignment="1">
      <alignment horizontal="center" vertical="center"/>
    </xf>
    <xf numFmtId="0" fontId="3" fillId="0" borderId="13" xfId="0" applyFont="1" applyBorder="1" applyAlignment="1">
      <alignment horizontal="center" vertical="center"/>
    </xf>
    <xf numFmtId="0" fontId="3" fillId="0" borderId="10" xfId="0" applyFont="1" applyBorder="1" applyAlignment="1">
      <alignment horizontal="center" vertical="center"/>
    </xf>
    <xf numFmtId="0" fontId="11" fillId="0" borderId="12" xfId="0" applyFont="1" applyBorder="1" applyAlignment="1">
      <alignment vertical="center"/>
    </xf>
    <xf numFmtId="0" fontId="3" fillId="0" borderId="0" xfId="0" applyFont="1" applyAlignment="1">
      <alignment horizontal="center" vertical="center"/>
    </xf>
    <xf numFmtId="2" fontId="3" fillId="0" borderId="12" xfId="0" applyNumberFormat="1" applyFont="1" applyBorder="1" applyAlignment="1">
      <alignment horizontal="center" vertical="center"/>
    </xf>
    <xf numFmtId="1" fontId="3" fillId="0" borderId="16" xfId="0" applyNumberFormat="1" applyFont="1" applyBorder="1" applyAlignment="1">
      <alignment horizontal="center" vertical="center"/>
    </xf>
    <xf numFmtId="1" fontId="3" fillId="0" borderId="0" xfId="0" applyNumberFormat="1" applyFont="1" applyAlignment="1">
      <alignment horizontal="center" vertical="center"/>
    </xf>
    <xf numFmtId="0" fontId="11" fillId="0" borderId="13" xfId="0" applyFont="1" applyBorder="1" applyAlignment="1">
      <alignment vertical="center"/>
    </xf>
    <xf numFmtId="1" fontId="3" fillId="0" borderId="10" xfId="0" applyNumberFormat="1" applyFont="1" applyBorder="1" applyAlignment="1">
      <alignment horizontal="center" vertical="center"/>
    </xf>
    <xf numFmtId="0" fontId="3" fillId="0" borderId="0" xfId="0" applyFont="1" applyAlignment="1">
      <alignment vertical="top"/>
    </xf>
    <xf numFmtId="0" fontId="3" fillId="0" borderId="0" xfId="0" applyFont="1" applyAlignment="1" applyProtection="1">
      <alignment horizontal="center" vertical="center"/>
      <protection locked="0"/>
    </xf>
    <xf numFmtId="1" fontId="3" fillId="0" borderId="19" xfId="0" applyNumberFormat="1" applyFont="1" applyBorder="1" applyAlignment="1" applyProtection="1">
      <alignment horizontal="center" vertical="center"/>
      <protection locked="0"/>
    </xf>
    <xf numFmtId="0" fontId="3" fillId="0" borderId="16" xfId="0" applyFont="1" applyBorder="1" applyAlignment="1" applyProtection="1">
      <alignment horizontal="center" vertical="center"/>
      <protection locked="0"/>
    </xf>
    <xf numFmtId="0" fontId="3" fillId="0" borderId="19" xfId="0" applyFont="1" applyBorder="1" applyAlignment="1" applyProtection="1">
      <alignment horizontal="center" vertical="center"/>
      <protection locked="0"/>
    </xf>
    <xf numFmtId="0" fontId="3" fillId="0" borderId="10" xfId="0" applyFont="1" applyBorder="1" applyAlignment="1" applyProtection="1">
      <alignment horizontal="center" vertical="center"/>
      <protection locked="0"/>
    </xf>
    <xf numFmtId="0" fontId="3" fillId="0" borderId="14" xfId="0" applyFont="1" applyBorder="1" applyAlignment="1" applyProtection="1">
      <alignment horizontal="center" vertical="center"/>
      <protection locked="0"/>
    </xf>
    <xf numFmtId="0" fontId="3" fillId="0" borderId="15" xfId="0" applyFont="1" applyBorder="1" applyAlignment="1" applyProtection="1">
      <alignment horizontal="center" vertical="center"/>
      <protection locked="0"/>
    </xf>
    <xf numFmtId="0" fontId="2" fillId="0" borderId="12" xfId="0" applyFont="1" applyBorder="1" applyAlignment="1" applyProtection="1">
      <alignment horizontal="center" vertical="center"/>
      <protection locked="0"/>
    </xf>
    <xf numFmtId="0" fontId="0" fillId="0" borderId="12" xfId="0" applyFill="1" applyBorder="1" applyAlignment="1" applyProtection="1">
      <alignment horizontal="center" vertical="center"/>
      <protection locked="0"/>
    </xf>
    <xf numFmtId="2" fontId="0" fillId="0" borderId="12" xfId="0" applyNumberFormat="1" applyFill="1" applyBorder="1" applyAlignment="1" applyProtection="1">
      <alignment horizontal="center" vertical="center"/>
      <protection locked="0"/>
    </xf>
    <xf numFmtId="2" fontId="0" fillId="0" borderId="13" xfId="0" applyNumberFormat="1" applyFill="1" applyBorder="1" applyAlignment="1" applyProtection="1">
      <alignment horizontal="center" vertical="center"/>
      <protection locked="0"/>
    </xf>
    <xf numFmtId="0" fontId="0" fillId="0" borderId="13" xfId="0" applyFill="1" applyBorder="1" applyAlignment="1" applyProtection="1">
      <alignment horizontal="center" vertical="center"/>
      <protection locked="0"/>
    </xf>
    <xf numFmtId="0" fontId="18" fillId="0" borderId="18" xfId="0" applyFont="1" applyBorder="1" applyAlignment="1">
      <alignment horizontal="center" vertical="center"/>
    </xf>
    <xf numFmtId="2" fontId="0" fillId="0" borderId="13" xfId="0" applyNumberFormat="1" applyBorder="1" applyAlignment="1">
      <alignment horizontal="center" vertical="center"/>
    </xf>
    <xf numFmtId="0" fontId="0" fillId="0" borderId="13" xfId="0" applyFill="1" applyBorder="1" applyAlignment="1">
      <alignment horizontal="center" vertical="center"/>
    </xf>
    <xf numFmtId="0" fontId="0" fillId="0" borderId="10" xfId="0" applyFill="1" applyBorder="1" applyAlignment="1">
      <alignment horizontal="center" vertical="center"/>
    </xf>
    <xf numFmtId="0" fontId="12" fillId="0" borderId="0" xfId="0" applyFont="1" applyBorder="1" applyAlignment="1">
      <alignment horizontal="right" vertical="top"/>
    </xf>
    <xf numFmtId="164" fontId="0" fillId="0" borderId="13" xfId="0" applyNumberFormat="1" applyFill="1" applyBorder="1" applyAlignment="1">
      <alignment horizontal="center" vertical="center"/>
    </xf>
    <xf numFmtId="0" fontId="0" fillId="0" borderId="18" xfId="0" applyFill="1" applyBorder="1" applyAlignment="1" applyProtection="1">
      <alignment horizontal="center" vertical="center"/>
      <protection locked="0"/>
    </xf>
    <xf numFmtId="0" fontId="0" fillId="0" borderId="18" xfId="0" applyFill="1" applyBorder="1" applyAlignment="1">
      <alignment horizontal="center" vertical="center"/>
    </xf>
    <xf numFmtId="0" fontId="0" fillId="0" borderId="10" xfId="0" applyBorder="1" applyAlignment="1">
      <alignment vertical="center"/>
    </xf>
    <xf numFmtId="0" fontId="12" fillId="0" borderId="0" xfId="0" applyFont="1" applyAlignment="1">
      <alignment vertical="center"/>
    </xf>
    <xf numFmtId="0" fontId="0" fillId="0" borderId="21" xfId="0" applyBorder="1" applyAlignment="1" applyProtection="1">
      <alignment horizontal="center" vertical="center"/>
      <protection locked="0"/>
    </xf>
    <xf numFmtId="165" fontId="0" fillId="0" borderId="0" xfId="0" applyNumberFormat="1" applyBorder="1" applyAlignment="1">
      <alignment horizontal="center" vertical="center"/>
    </xf>
    <xf numFmtId="165" fontId="0" fillId="0" borderId="12" xfId="0" applyNumberFormat="1" applyBorder="1" applyAlignment="1">
      <alignment horizontal="center" vertical="center"/>
    </xf>
    <xf numFmtId="0" fontId="18" fillId="0" borderId="21" xfId="0" applyFont="1" applyBorder="1" applyAlignment="1">
      <alignment horizontal="center" vertical="center"/>
    </xf>
    <xf numFmtId="0" fontId="2" fillId="0" borderId="12" xfId="0" applyFont="1" applyBorder="1" applyAlignment="1">
      <alignment horizontal="center" vertical="center"/>
    </xf>
    <xf numFmtId="0" fontId="12" fillId="0" borderId="0" xfId="0" applyFont="1" applyBorder="1" applyAlignment="1">
      <alignment horizontal="right" vertical="center"/>
    </xf>
    <xf numFmtId="0" fontId="16" fillId="0" borderId="15" xfId="0" applyFont="1" applyBorder="1" applyAlignment="1">
      <alignment horizontal="center" vertical="center"/>
    </xf>
    <xf numFmtId="2" fontId="0" fillId="0" borderId="19" xfId="0" applyNumberFormat="1" applyBorder="1" applyAlignment="1">
      <alignment horizontal="center" vertical="center"/>
    </xf>
    <xf numFmtId="2" fontId="0" fillId="0" borderId="12" xfId="0" applyNumberFormat="1" applyBorder="1" applyAlignment="1">
      <alignment horizontal="center" vertical="center"/>
    </xf>
    <xf numFmtId="2" fontId="0" fillId="0" borderId="18" xfId="0" applyNumberFormat="1" applyBorder="1" applyAlignment="1">
      <alignment horizontal="center" vertical="center"/>
    </xf>
    <xf numFmtId="0" fontId="9" fillId="0" borderId="10" xfId="0" applyFont="1" applyBorder="1" applyAlignment="1">
      <alignment horizontal="right" vertical="center"/>
    </xf>
    <xf numFmtId="0" fontId="6" fillId="0" borderId="0" xfId="0" applyFont="1" applyAlignment="1">
      <alignment vertical="center"/>
    </xf>
    <xf numFmtId="0" fontId="6" fillId="0" borderId="10" xfId="0" applyFont="1" applyBorder="1" applyAlignment="1">
      <alignment vertical="center"/>
    </xf>
    <xf numFmtId="164" fontId="6" fillId="0" borderId="0" xfId="0" applyNumberFormat="1" applyFont="1" applyBorder="1" applyAlignment="1">
      <alignment vertical="center"/>
    </xf>
    <xf numFmtId="0" fontId="6" fillId="0" borderId="0" xfId="0" applyFont="1" applyBorder="1" applyAlignment="1" applyProtection="1">
      <alignment vertical="center"/>
      <protection locked="0"/>
    </xf>
    <xf numFmtId="164" fontId="7" fillId="0" borderId="0" xfId="0" applyNumberFormat="1" applyFont="1" applyBorder="1" applyAlignment="1">
      <alignment vertical="center"/>
    </xf>
    <xf numFmtId="0" fontId="6" fillId="0" borderId="0" xfId="0" applyFont="1" applyBorder="1" applyAlignment="1">
      <alignment vertical="center"/>
    </xf>
    <xf numFmtId="0" fontId="12" fillId="0" borderId="0" xfId="0" applyFont="1" applyAlignment="1">
      <alignment horizontal="right" vertical="center"/>
    </xf>
    <xf numFmtId="0" fontId="0" fillId="0" borderId="0" xfId="0" applyAlignment="1" applyProtection="1">
      <alignment vertical="center"/>
      <protection locked="0"/>
    </xf>
    <xf numFmtId="0" fontId="9" fillId="0" borderId="10" xfId="0" applyFont="1" applyBorder="1" applyAlignment="1">
      <alignment vertical="center"/>
    </xf>
    <xf numFmtId="0" fontId="14" fillId="0" borderId="0" xfId="0" applyFont="1" applyBorder="1" applyAlignment="1">
      <alignment vertical="center"/>
    </xf>
    <xf numFmtId="0" fontId="16" fillId="0" borderId="12" xfId="0" applyFont="1" applyBorder="1" applyAlignment="1">
      <alignment horizontal="center" vertical="center"/>
    </xf>
    <xf numFmtId="0" fontId="6" fillId="0" borderId="0" xfId="0" applyFont="1" applyAlignment="1" applyProtection="1">
      <alignment vertical="center"/>
      <protection locked="0"/>
    </xf>
    <xf numFmtId="2" fontId="3" fillId="0" borderId="12" xfId="0" applyNumberFormat="1" applyFont="1" applyBorder="1" applyAlignment="1" applyProtection="1">
      <alignment horizontal="center" vertical="center"/>
      <protection locked="0"/>
    </xf>
    <xf numFmtId="0" fontId="12" fillId="0" borderId="0" xfId="0" applyFont="1" applyAlignment="1">
      <alignment horizontal="left" vertical="center" wrapText="1"/>
    </xf>
    <xf numFmtId="0" fontId="11" fillId="0" borderId="14" xfId="0" applyFont="1" applyFill="1" applyBorder="1" applyAlignment="1">
      <alignment horizontal="center" vertical="center"/>
    </xf>
    <xf numFmtId="2" fontId="0" fillId="0" borderId="16" xfId="0" applyNumberFormat="1" applyFill="1" applyBorder="1" applyAlignment="1" applyProtection="1">
      <alignment horizontal="center" vertical="center"/>
      <protection locked="0"/>
    </xf>
    <xf numFmtId="0" fontId="2" fillId="0" borderId="19" xfId="0" applyFont="1" applyBorder="1" applyAlignment="1">
      <alignment vertical="center"/>
    </xf>
    <xf numFmtId="0" fontId="15" fillId="0" borderId="0" xfId="0" applyFont="1" applyAlignment="1">
      <alignment vertical="center"/>
    </xf>
    <xf numFmtId="0" fontId="3" fillId="0" borderId="0" xfId="0" applyFont="1" applyAlignment="1">
      <alignment wrapText="1"/>
    </xf>
    <xf numFmtId="0" fontId="11" fillId="0" borderId="16" xfId="0" applyFont="1" applyBorder="1" applyAlignment="1">
      <alignment horizontal="left" vertical="center"/>
    </xf>
    <xf numFmtId="1" fontId="0" fillId="0" borderId="12" xfId="0" applyNumberFormat="1" applyBorder="1" applyAlignment="1">
      <alignment horizontal="center" vertical="center"/>
    </xf>
    <xf numFmtId="1" fontId="0" fillId="0" borderId="0" xfId="0" applyNumberFormat="1" applyBorder="1" applyAlignment="1">
      <alignment horizontal="center" vertical="center"/>
    </xf>
    <xf numFmtId="1" fontId="0" fillId="0" borderId="13" xfId="0" applyNumberFormat="1" applyBorder="1" applyAlignment="1">
      <alignment horizontal="center" vertical="center"/>
    </xf>
    <xf numFmtId="0" fontId="2" fillId="0" borderId="0" xfId="0" applyFont="1" applyBorder="1" applyAlignment="1">
      <alignment horizontal="center" vertical="center" wrapText="1"/>
    </xf>
    <xf numFmtId="0" fontId="35" fillId="0" borderId="0" xfId="0" applyFont="1" applyAlignment="1">
      <alignment horizontal="right" vertical="center"/>
    </xf>
    <xf numFmtId="0" fontId="26" fillId="0" borderId="0" xfId="0" applyFont="1" applyAlignment="1">
      <alignment horizontal="right" vertical="center"/>
    </xf>
    <xf numFmtId="0" fontId="2" fillId="0" borderId="10" xfId="0" applyFont="1" applyBorder="1" applyAlignment="1">
      <alignment horizontal="center" vertical="center" wrapText="1"/>
    </xf>
    <xf numFmtId="0" fontId="3" fillId="0" borderId="0" xfId="0" applyFont="1" applyAlignment="1">
      <alignment horizontal="right" vertical="center"/>
    </xf>
    <xf numFmtId="0" fontId="26" fillId="0" borderId="0" xfId="0" applyFont="1" applyAlignment="1">
      <alignment vertical="center"/>
    </xf>
    <xf numFmtId="0" fontId="15" fillId="0" borderId="0" xfId="0" applyFont="1" applyAlignment="1">
      <alignment horizontal="left" vertical="center"/>
    </xf>
    <xf numFmtId="164" fontId="0" fillId="0" borderId="0" xfId="0" applyNumberFormat="1" applyFill="1" applyBorder="1" applyAlignment="1">
      <alignment horizontal="center" vertical="center"/>
    </xf>
    <xf numFmtId="1" fontId="16" fillId="0" borderId="17" xfId="0" applyNumberFormat="1" applyFont="1" applyBorder="1" applyAlignment="1">
      <alignment horizontal="center" vertical="center"/>
    </xf>
    <xf numFmtId="0" fontId="16" fillId="0" borderId="11" xfId="0" applyFont="1" applyFill="1" applyBorder="1" applyAlignment="1">
      <alignment horizontal="center" vertical="center"/>
    </xf>
    <xf numFmtId="0" fontId="10" fillId="0" borderId="0" xfId="0" applyFont="1" applyAlignment="1">
      <alignment vertical="center"/>
    </xf>
    <xf numFmtId="0" fontId="0" fillId="0" borderId="0" xfId="0" applyBorder="1" applyAlignment="1">
      <alignment horizontal="left" vertical="center"/>
    </xf>
    <xf numFmtId="0" fontId="8" fillId="0" borderId="0" xfId="0" applyFont="1" applyBorder="1" applyAlignment="1">
      <alignment vertical="center"/>
    </xf>
    <xf numFmtId="0" fontId="15" fillId="0" borderId="0" xfId="0" applyFont="1" applyFill="1" applyBorder="1" applyAlignment="1">
      <alignment vertical="center"/>
    </xf>
    <xf numFmtId="0" fontId="32" fillId="0" borderId="0" xfId="0" quotePrefix="1" applyFont="1" applyAlignment="1">
      <alignment horizontal="left"/>
    </xf>
    <xf numFmtId="0" fontId="18" fillId="0" borderId="11" xfId="0" applyFont="1" applyBorder="1" applyAlignment="1">
      <alignment horizontal="center" vertical="center" wrapText="1"/>
    </xf>
    <xf numFmtId="0" fontId="3" fillId="0" borderId="0" xfId="0" applyFont="1" applyAlignment="1">
      <alignment vertical="center"/>
    </xf>
    <xf numFmtId="0" fontId="3" fillId="0" borderId="0" xfId="0" applyFont="1" applyAlignment="1"/>
    <xf numFmtId="0" fontId="19" fillId="0" borderId="0" xfId="0" applyFont="1" applyBorder="1" applyAlignment="1">
      <alignment horizontal="center" vertical="center"/>
    </xf>
    <xf numFmtId="2" fontId="0" fillId="0" borderId="14" xfId="0" applyNumberFormat="1" applyBorder="1" applyAlignment="1">
      <alignment horizontal="center" vertical="center"/>
    </xf>
    <xf numFmtId="2" fontId="0" fillId="0" borderId="10" xfId="0" applyNumberFormat="1" applyBorder="1" applyAlignment="1">
      <alignment horizontal="center" vertical="center"/>
    </xf>
    <xf numFmtId="0" fontId="46" fillId="0" borderId="10" xfId="0" applyFont="1" applyBorder="1" applyAlignment="1">
      <alignment horizontal="center" vertical="top" wrapText="1"/>
    </xf>
    <xf numFmtId="0" fontId="46" fillId="0" borderId="0" xfId="0" applyFont="1" applyBorder="1" applyAlignment="1">
      <alignment horizontal="center" vertical="top" wrapText="1"/>
    </xf>
    <xf numFmtId="0" fontId="50" fillId="0" borderId="10" xfId="0" applyFont="1" applyBorder="1" applyAlignment="1">
      <alignment horizontal="center" vertical="center" wrapText="1"/>
    </xf>
    <xf numFmtId="0" fontId="52" fillId="0" borderId="18" xfId="0" applyFont="1" applyBorder="1" applyAlignment="1">
      <alignment horizontal="center" vertical="center"/>
    </xf>
    <xf numFmtId="0" fontId="3" fillId="0" borderId="12" xfId="0" applyFont="1" applyBorder="1" applyAlignment="1">
      <alignment horizontal="center"/>
    </xf>
    <xf numFmtId="2" fontId="0" fillId="0" borderId="0" xfId="0" applyNumberFormat="1" applyFill="1" applyBorder="1" applyAlignment="1" applyProtection="1">
      <alignment horizontal="center" vertical="center"/>
      <protection locked="0"/>
    </xf>
    <xf numFmtId="164" fontId="0" fillId="0" borderId="12" xfId="0" applyNumberFormat="1" applyFill="1" applyBorder="1" applyAlignment="1">
      <alignment horizontal="center" vertical="center"/>
    </xf>
    <xf numFmtId="164" fontId="18" fillId="0" borderId="12" xfId="0" applyNumberFormat="1" applyFont="1" applyFill="1" applyBorder="1" applyAlignment="1">
      <alignment horizontal="center" vertical="center"/>
    </xf>
    <xf numFmtId="0" fontId="11" fillId="0" borderId="19" xfId="0" applyFont="1" applyFill="1" applyBorder="1" applyAlignment="1">
      <alignment horizontal="center" vertical="center"/>
    </xf>
    <xf numFmtId="0" fontId="26" fillId="0" borderId="0" xfId="0" applyFont="1" applyFill="1" applyBorder="1" applyAlignment="1">
      <alignment vertical="center"/>
    </xf>
    <xf numFmtId="0" fontId="3" fillId="0" borderId="0" xfId="0" applyFont="1" applyBorder="1" applyAlignment="1">
      <alignment vertical="center"/>
    </xf>
    <xf numFmtId="2" fontId="0" fillId="0" borderId="19" xfId="0" applyNumberFormat="1" applyFill="1" applyBorder="1" applyAlignment="1" applyProtection="1">
      <alignment horizontal="center" vertical="center"/>
      <protection locked="0"/>
    </xf>
    <xf numFmtId="2" fontId="18" fillId="0" borderId="13" xfId="0" applyNumberFormat="1" applyFont="1" applyBorder="1" applyAlignment="1">
      <alignment horizontal="center" vertical="center"/>
    </xf>
    <xf numFmtId="0" fontId="0" fillId="0" borderId="15" xfId="0" applyBorder="1" applyAlignment="1" applyProtection="1">
      <alignment horizontal="center" vertical="center"/>
    </xf>
    <xf numFmtId="0" fontId="3" fillId="0" borderId="12" xfId="0" applyFont="1" applyBorder="1" applyAlignment="1" applyProtection="1">
      <alignment horizontal="center" vertical="center"/>
      <protection locked="0"/>
    </xf>
    <xf numFmtId="0" fontId="3" fillId="0" borderId="13" xfId="0" applyFont="1" applyBorder="1" applyAlignment="1" applyProtection="1">
      <alignment horizontal="center" vertical="center"/>
      <protection locked="0"/>
    </xf>
    <xf numFmtId="0" fontId="0" fillId="0" borderId="19" xfId="0" applyFill="1" applyBorder="1" applyAlignment="1">
      <alignment horizontal="center" vertical="center"/>
    </xf>
    <xf numFmtId="0" fontId="0" fillId="0" borderId="20" xfId="0" applyFill="1" applyBorder="1" applyAlignment="1" applyProtection="1">
      <alignment horizontal="center" vertical="center"/>
      <protection locked="0"/>
    </xf>
    <xf numFmtId="0" fontId="0" fillId="0" borderId="19" xfId="0" applyFill="1" applyBorder="1" applyAlignment="1" applyProtection="1">
      <alignment horizontal="center" vertical="center"/>
      <protection locked="0"/>
    </xf>
    <xf numFmtId="0" fontId="0" fillId="0" borderId="14" xfId="0" applyFill="1" applyBorder="1" applyAlignment="1">
      <alignment horizontal="center" vertical="center"/>
    </xf>
    <xf numFmtId="0" fontId="0" fillId="0" borderId="21" xfId="0" applyFill="1" applyBorder="1" applyAlignment="1">
      <alignment horizontal="center" vertical="center"/>
    </xf>
    <xf numFmtId="0" fontId="0" fillId="0" borderId="15" xfId="0" applyFill="1" applyBorder="1" applyAlignment="1">
      <alignment horizontal="center" vertical="center"/>
    </xf>
    <xf numFmtId="0" fontId="0" fillId="0" borderId="22" xfId="0" applyFill="1" applyBorder="1" applyAlignment="1">
      <alignment horizontal="center" vertical="center"/>
    </xf>
    <xf numFmtId="0" fontId="53" fillId="0" borderId="0" xfId="0" applyFont="1" applyProtection="1">
      <protection locked="0"/>
    </xf>
    <xf numFmtId="3" fontId="54" fillId="0" borderId="0" xfId="0" applyNumberFormat="1" applyFont="1" applyAlignment="1">
      <alignment vertical="center"/>
    </xf>
    <xf numFmtId="2" fontId="0" fillId="0" borderId="0" xfId="0" applyNumberFormat="1"/>
    <xf numFmtId="39" fontId="0" fillId="0" borderId="0" xfId="0" applyNumberFormat="1"/>
    <xf numFmtId="0" fontId="18" fillId="0" borderId="0" xfId="0" applyFont="1" applyAlignment="1">
      <alignment horizontal="center" vertical="center"/>
    </xf>
    <xf numFmtId="0" fontId="18" fillId="0" borderId="19" xfId="0" applyFont="1" applyBorder="1" applyAlignment="1">
      <alignment horizontal="center" vertical="center"/>
    </xf>
    <xf numFmtId="0" fontId="0" fillId="0" borderId="0" xfId="0" applyAlignment="1">
      <alignment vertical="center" wrapText="1"/>
    </xf>
    <xf numFmtId="0" fontId="0" fillId="0" borderId="0" xfId="0" applyAlignment="1">
      <alignment horizontal="center" vertical="center" wrapText="1"/>
    </xf>
    <xf numFmtId="0" fontId="52" fillId="0" borderId="0" xfId="0" applyFont="1" applyAlignment="1">
      <alignment horizontal="left" vertical="center" wrapText="1"/>
    </xf>
    <xf numFmtId="0" fontId="18" fillId="0" borderId="11" xfId="0" applyFont="1" applyBorder="1" applyAlignment="1">
      <alignment horizontal="center" vertical="center" shrinkToFit="1"/>
    </xf>
    <xf numFmtId="0" fontId="18" fillId="0" borderId="17" xfId="0" applyFont="1" applyBorder="1" applyAlignment="1">
      <alignment horizontal="center" vertical="center" shrinkToFit="1"/>
    </xf>
    <xf numFmtId="2" fontId="18" fillId="0" borderId="19" xfId="0" applyNumberFormat="1" applyFont="1" applyBorder="1" applyAlignment="1">
      <alignment horizontal="center" vertical="center"/>
    </xf>
    <xf numFmtId="0" fontId="0" fillId="0" borderId="18" xfId="0" applyBorder="1" applyAlignment="1">
      <alignment horizontal="center"/>
    </xf>
    <xf numFmtId="0" fontId="11" fillId="0" borderId="12" xfId="0" applyFont="1" applyBorder="1" applyAlignment="1">
      <alignment vertical="center" shrinkToFit="1"/>
    </xf>
    <xf numFmtId="0" fontId="11" fillId="0" borderId="13" xfId="0" applyFont="1" applyBorder="1" applyAlignment="1">
      <alignment vertical="center" shrinkToFit="1"/>
    </xf>
    <xf numFmtId="0" fontId="21" fillId="0" borderId="0" xfId="0" applyFont="1" applyBorder="1" applyAlignment="1">
      <alignment horizontal="center" vertical="center"/>
    </xf>
    <xf numFmtId="0" fontId="58" fillId="0" borderId="0" xfId="0" applyFont="1"/>
    <xf numFmtId="0" fontId="21" fillId="0" borderId="0" xfId="0" applyFont="1" applyAlignment="1">
      <alignment horizontal="center" vertical="center"/>
    </xf>
    <xf numFmtId="0" fontId="58" fillId="0" borderId="0" xfId="0" applyFont="1" applyAlignment="1">
      <alignment vertical="center"/>
    </xf>
    <xf numFmtId="0" fontId="21" fillId="0" borderId="12" xfId="0" applyFont="1" applyBorder="1" applyAlignment="1">
      <alignment horizontal="left" vertical="center" wrapText="1"/>
    </xf>
    <xf numFmtId="0" fontId="21" fillId="0" borderId="18" xfId="0" applyFont="1" applyBorder="1" applyAlignment="1">
      <alignment horizontal="center" vertical="center"/>
    </xf>
    <xf numFmtId="0" fontId="21" fillId="0" borderId="22" xfId="0" applyFont="1" applyBorder="1" applyAlignment="1">
      <alignment horizontal="center" vertical="center"/>
    </xf>
    <xf numFmtId="0" fontId="21" fillId="0" borderId="12" xfId="0" applyFont="1" applyBorder="1" applyAlignment="1">
      <alignment horizontal="center" vertical="center"/>
    </xf>
    <xf numFmtId="0" fontId="59" fillId="0" borderId="0" xfId="0" applyFont="1" applyAlignment="1">
      <alignment vertical="center"/>
    </xf>
    <xf numFmtId="0" fontId="52" fillId="0" borderId="11" xfId="0" quotePrefix="1" applyFont="1" applyBorder="1" applyAlignment="1">
      <alignment horizontal="center" vertical="center"/>
    </xf>
    <xf numFmtId="0" fontId="25" fillId="0" borderId="18" xfId="0" applyFont="1" applyBorder="1" applyAlignment="1">
      <alignment horizontal="center" vertical="center"/>
    </xf>
    <xf numFmtId="0" fontId="52" fillId="0" borderId="0" xfId="0" applyFont="1" applyAlignment="1">
      <alignment horizontal="right"/>
    </xf>
    <xf numFmtId="0" fontId="52" fillId="0" borderId="0" xfId="0" applyFont="1"/>
    <xf numFmtId="0" fontId="59" fillId="0" borderId="12" xfId="0" applyFont="1" applyBorder="1" applyAlignment="1">
      <alignment horizontal="center" vertical="center"/>
    </xf>
    <xf numFmtId="0" fontId="59" fillId="0" borderId="13" xfId="0" applyFont="1" applyBorder="1" applyAlignment="1">
      <alignment horizontal="center" vertical="center"/>
    </xf>
    <xf numFmtId="0" fontId="18" fillId="0" borderId="23" xfId="0" applyFont="1" applyBorder="1" applyAlignment="1">
      <alignment horizontal="center" vertical="center" wrapText="1"/>
    </xf>
    <xf numFmtId="0" fontId="18" fillId="0" borderId="24" xfId="0" quotePrefix="1" applyFont="1" applyBorder="1" applyAlignment="1">
      <alignment horizontal="center" vertical="center" wrapText="1"/>
    </xf>
    <xf numFmtId="0" fontId="18" fillId="0" borderId="24" xfId="0" applyFont="1" applyBorder="1" applyAlignment="1">
      <alignment horizontal="center" vertical="center" wrapText="1"/>
    </xf>
    <xf numFmtId="0" fontId="18" fillId="0" borderId="20" xfId="0" applyFont="1" applyBorder="1" applyAlignment="1">
      <alignment horizontal="center" vertical="center" wrapText="1"/>
    </xf>
    <xf numFmtId="0" fontId="18" fillId="0" borderId="22" xfId="0" applyFont="1" applyBorder="1" applyAlignment="1">
      <alignment horizontal="center" vertical="center" wrapText="1"/>
    </xf>
    <xf numFmtId="0" fontId="18" fillId="0" borderId="21" xfId="0" applyFont="1" applyBorder="1" applyAlignment="1">
      <alignment horizontal="center" vertical="center" wrapText="1"/>
    </xf>
    <xf numFmtId="0" fontId="18" fillId="0" borderId="0" xfId="0" applyFont="1" applyBorder="1" applyAlignment="1">
      <alignment horizontal="center" vertical="center" wrapText="1"/>
    </xf>
    <xf numFmtId="0" fontId="18" fillId="0" borderId="10" xfId="0" applyFont="1" applyBorder="1" applyAlignment="1">
      <alignment horizontal="center" vertical="center" wrapText="1"/>
    </xf>
    <xf numFmtId="0" fontId="18" fillId="0" borderId="13" xfId="0" applyFont="1" applyBorder="1" applyAlignment="1">
      <alignment horizontal="center" vertical="center" wrapText="1"/>
    </xf>
    <xf numFmtId="0" fontId="18" fillId="0" borderId="24" xfId="0" quotePrefix="1" applyFont="1" applyBorder="1" applyAlignment="1">
      <alignment horizontal="center" vertical="center"/>
    </xf>
    <xf numFmtId="0" fontId="18" fillId="0" borderId="23" xfId="0" quotePrefix="1" applyFont="1" applyBorder="1" applyAlignment="1">
      <alignment horizontal="center" vertical="center"/>
    </xf>
    <xf numFmtId="0" fontId="18" fillId="0" borderId="17" xfId="0" quotePrefix="1" applyFont="1" applyBorder="1" applyAlignment="1">
      <alignment horizontal="center" vertical="center"/>
    </xf>
    <xf numFmtId="0" fontId="0" fillId="0" borderId="14" xfId="0" applyBorder="1" applyAlignment="1" applyProtection="1">
      <alignment horizontal="center" vertical="center"/>
    </xf>
    <xf numFmtId="0" fontId="0" fillId="0" borderId="13" xfId="0" applyBorder="1" applyAlignment="1" applyProtection="1">
      <alignment horizontal="center" vertical="center"/>
    </xf>
    <xf numFmtId="0" fontId="0" fillId="0" borderId="0" xfId="0" applyBorder="1" applyAlignment="1" applyProtection="1">
      <alignment horizontal="center" vertical="center"/>
    </xf>
    <xf numFmtId="0" fontId="0" fillId="0" borderId="10" xfId="0" applyBorder="1" applyAlignment="1" applyProtection="1">
      <alignment horizontal="center" vertical="center"/>
    </xf>
    <xf numFmtId="0" fontId="9" fillId="0" borderId="0" xfId="0" applyFont="1" applyBorder="1" applyAlignment="1">
      <alignment horizontal="center" vertical="center"/>
    </xf>
    <xf numFmtId="0" fontId="18" fillId="0" borderId="18" xfId="0" applyFont="1" applyBorder="1" applyAlignment="1">
      <alignment horizontal="center" vertical="center" wrapText="1"/>
    </xf>
    <xf numFmtId="0" fontId="18" fillId="0" borderId="0" xfId="0" applyFont="1" applyBorder="1" applyAlignment="1">
      <alignment horizontal="right"/>
    </xf>
    <xf numFmtId="0" fontId="55" fillId="0" borderId="11" xfId="0" quotePrefix="1" applyFont="1" applyBorder="1" applyAlignment="1">
      <alignment horizontal="center" vertical="center"/>
    </xf>
    <xf numFmtId="0" fontId="55" fillId="0" borderId="24" xfId="0" quotePrefix="1" applyFont="1" applyBorder="1" applyAlignment="1">
      <alignment horizontal="center" vertical="center"/>
    </xf>
    <xf numFmtId="0" fontId="55" fillId="0" borderId="17" xfId="0" quotePrefix="1" applyFont="1" applyBorder="1" applyAlignment="1">
      <alignment horizontal="center" vertical="center"/>
    </xf>
    <xf numFmtId="0" fontId="30" fillId="0" borderId="0" xfId="0" applyFont="1" applyAlignment="1">
      <alignment vertical="center"/>
    </xf>
    <xf numFmtId="0" fontId="18" fillId="0" borderId="0" xfId="0" applyFont="1" applyAlignment="1">
      <alignment horizontal="right" vertical="center"/>
    </xf>
    <xf numFmtId="0" fontId="18" fillId="0" borderId="20" xfId="0" applyFont="1" applyBorder="1" applyAlignment="1">
      <alignment horizontal="center" vertical="center"/>
    </xf>
    <xf numFmtId="0" fontId="18" fillId="0" borderId="11" xfId="0" quotePrefix="1" applyFont="1" applyBorder="1" applyAlignment="1">
      <alignment horizontal="center" vertical="center"/>
    </xf>
    <xf numFmtId="0" fontId="2" fillId="0" borderId="19" xfId="0" applyFont="1" applyBorder="1" applyAlignment="1">
      <alignment horizontal="center" vertical="center"/>
    </xf>
    <xf numFmtId="164" fontId="3" fillId="0" borderId="12" xfId="0" applyNumberFormat="1" applyFont="1" applyBorder="1" applyAlignment="1">
      <alignment horizontal="center" vertical="center"/>
    </xf>
    <xf numFmtId="0" fontId="18" fillId="0" borderId="12" xfId="0" applyFont="1" applyBorder="1" applyAlignment="1">
      <alignment horizontal="center" vertical="center" wrapText="1"/>
    </xf>
    <xf numFmtId="0" fontId="18" fillId="0" borderId="0" xfId="0" applyFont="1" applyBorder="1" applyAlignment="1">
      <alignment horizontal="center" vertical="center"/>
    </xf>
    <xf numFmtId="0" fontId="18" fillId="0" borderId="22" xfId="0" applyFont="1" applyBorder="1" applyAlignment="1">
      <alignment horizontal="center" vertical="center"/>
    </xf>
    <xf numFmtId="0" fontId="18" fillId="0" borderId="11" xfId="0" quotePrefix="1" applyFont="1" applyBorder="1" applyAlignment="1">
      <alignment horizontal="center" vertical="center" wrapText="1"/>
    </xf>
    <xf numFmtId="0" fontId="18" fillId="0" borderId="11" xfId="0" applyFont="1" applyBorder="1" applyAlignment="1">
      <alignment horizontal="center" vertical="center"/>
    </xf>
    <xf numFmtId="0" fontId="21" fillId="0" borderId="18" xfId="0" applyFont="1" applyBorder="1" applyAlignment="1" applyProtection="1">
      <alignment horizontal="center" vertical="center"/>
      <protection locked="0"/>
    </xf>
    <xf numFmtId="0" fontId="21" fillId="0" borderId="16" xfId="0" applyFont="1" applyBorder="1" applyAlignment="1" applyProtection="1">
      <alignment horizontal="center" vertical="center"/>
      <protection locked="0"/>
    </xf>
    <xf numFmtId="0" fontId="59" fillId="0" borderId="20" xfId="0" applyFont="1" applyBorder="1" applyAlignment="1">
      <alignment horizontal="center" vertical="center"/>
    </xf>
    <xf numFmtId="0" fontId="59" fillId="0" borderId="18" xfId="0" applyFont="1" applyBorder="1" applyAlignment="1">
      <alignment horizontal="center" vertical="center"/>
    </xf>
    <xf numFmtId="0" fontId="18" fillId="0" borderId="0" xfId="0" applyFont="1"/>
    <xf numFmtId="0" fontId="3" fillId="0" borderId="12" xfId="0" applyFont="1" applyBorder="1" applyAlignment="1" applyProtection="1">
      <alignment horizontal="center" vertical="center"/>
    </xf>
    <xf numFmtId="0" fontId="3" fillId="0" borderId="13" xfId="0" applyFont="1" applyBorder="1" applyAlignment="1" applyProtection="1">
      <alignment horizontal="center" vertical="center"/>
    </xf>
    <xf numFmtId="0" fontId="3" fillId="0" borderId="0" xfId="0" applyFont="1" applyBorder="1" applyAlignment="1" applyProtection="1">
      <alignment horizontal="center" vertical="center"/>
      <protection locked="0"/>
    </xf>
    <xf numFmtId="0" fontId="18" fillId="0" borderId="0" xfId="0" applyFont="1" applyAlignment="1" applyProtection="1">
      <alignment vertical="center"/>
      <protection locked="0"/>
    </xf>
    <xf numFmtId="0" fontId="18" fillId="0" borderId="10" xfId="0" applyFont="1" applyBorder="1" applyAlignment="1">
      <alignment horizontal="center" vertical="center"/>
    </xf>
    <xf numFmtId="2" fontId="0" fillId="0" borderId="15" xfId="0" applyNumberFormat="1" applyFill="1" applyBorder="1" applyAlignment="1" applyProtection="1">
      <alignment horizontal="center" vertical="center"/>
      <protection locked="0"/>
    </xf>
    <xf numFmtId="0" fontId="21" fillId="0" borderId="0" xfId="0" applyFont="1" applyBorder="1" applyAlignment="1">
      <alignment horizontal="left" vertical="center"/>
    </xf>
    <xf numFmtId="0" fontId="21" fillId="0" borderId="16" xfId="0" applyFont="1" applyBorder="1" applyAlignment="1">
      <alignment horizontal="left" vertical="center"/>
    </xf>
    <xf numFmtId="0" fontId="18" fillId="0" borderId="14" xfId="0" applyFont="1" applyBorder="1" applyAlignment="1">
      <alignment horizontal="center" vertical="center"/>
    </xf>
    <xf numFmtId="0" fontId="18" fillId="0" borderId="10" xfId="0" applyFont="1" applyBorder="1" applyAlignment="1">
      <alignment horizontal="right" vertical="center"/>
    </xf>
    <xf numFmtId="0" fontId="28" fillId="0" borderId="0" xfId="0" applyFont="1"/>
    <xf numFmtId="0" fontId="18" fillId="0" borderId="23" xfId="0" applyFont="1" applyBorder="1" applyAlignment="1">
      <alignment horizontal="center" vertical="center"/>
    </xf>
    <xf numFmtId="0" fontId="18" fillId="0" borderId="0" xfId="0" applyFont="1" applyBorder="1" applyAlignment="1">
      <alignment horizontal="right" vertical="center"/>
    </xf>
    <xf numFmtId="0" fontId="21" fillId="0" borderId="11" xfId="0" applyFont="1" applyBorder="1" applyAlignment="1">
      <alignment horizontal="center" vertical="center"/>
    </xf>
    <xf numFmtId="0" fontId="18" fillId="0" borderId="10" xfId="0" applyFont="1" applyBorder="1" applyAlignment="1">
      <alignment horizontal="right"/>
    </xf>
    <xf numFmtId="0" fontId="18" fillId="0" borderId="0" xfId="0" applyFont="1" applyBorder="1"/>
    <xf numFmtId="0" fontId="18" fillId="0" borderId="24" xfId="0" applyFont="1" applyBorder="1" applyAlignment="1">
      <alignment horizontal="center" vertical="center"/>
    </xf>
    <xf numFmtId="0" fontId="59" fillId="0" borderId="19" xfId="0" applyFont="1" applyBorder="1" applyAlignment="1">
      <alignment vertical="center"/>
    </xf>
    <xf numFmtId="0" fontId="18" fillId="0" borderId="21" xfId="0" quotePrefix="1" applyFont="1" applyBorder="1" applyAlignment="1">
      <alignment horizontal="center" vertical="center"/>
    </xf>
    <xf numFmtId="0" fontId="18" fillId="0" borderId="11" xfId="0" quotePrefix="1" applyFont="1" applyFill="1" applyBorder="1" applyAlignment="1">
      <alignment horizontal="center" vertical="center"/>
    </xf>
    <xf numFmtId="0" fontId="18" fillId="0" borderId="24" xfId="0" quotePrefix="1" applyFont="1" applyFill="1" applyBorder="1" applyAlignment="1">
      <alignment horizontal="center" vertical="center"/>
    </xf>
    <xf numFmtId="0" fontId="18" fillId="0" borderId="17" xfId="0" quotePrefix="1" applyFont="1" applyFill="1" applyBorder="1" applyAlignment="1">
      <alignment horizontal="center" vertical="center"/>
    </xf>
    <xf numFmtId="0" fontId="18" fillId="0" borderId="20" xfId="0" quotePrefix="1" applyFont="1" applyBorder="1" applyAlignment="1">
      <alignment horizontal="center" vertical="center"/>
    </xf>
    <xf numFmtId="0" fontId="18" fillId="0" borderId="22" xfId="0" quotePrefix="1" applyFont="1" applyBorder="1" applyAlignment="1">
      <alignment horizontal="center" vertical="center"/>
    </xf>
    <xf numFmtId="0" fontId="18" fillId="0" borderId="0" xfId="0" applyFont="1" applyAlignment="1">
      <alignment vertical="center"/>
    </xf>
    <xf numFmtId="0" fontId="18" fillId="0" borderId="23" xfId="0" quotePrefix="1" applyFont="1" applyFill="1" applyBorder="1" applyAlignment="1">
      <alignment horizontal="center" vertical="center"/>
    </xf>
    <xf numFmtId="0" fontId="59" fillId="0" borderId="19" xfId="0" applyFont="1" applyBorder="1" applyAlignment="1">
      <alignment horizontal="center" vertical="center"/>
    </xf>
    <xf numFmtId="0" fontId="59" fillId="0" borderId="19" xfId="0" applyFont="1" applyFill="1" applyBorder="1" applyAlignment="1">
      <alignment horizontal="center" vertical="center"/>
    </xf>
    <xf numFmtId="0" fontId="59" fillId="0" borderId="14" xfId="0" applyFont="1" applyFill="1" applyBorder="1" applyAlignment="1">
      <alignment horizontal="center" vertical="center"/>
    </xf>
    <xf numFmtId="0" fontId="59" fillId="0" borderId="0" xfId="0" applyFont="1" applyBorder="1" applyAlignment="1">
      <alignment horizontal="center" vertical="center"/>
    </xf>
    <xf numFmtId="0" fontId="59" fillId="0" borderId="14" xfId="0" applyFont="1" applyBorder="1" applyAlignment="1">
      <alignment horizontal="center" vertical="center"/>
    </xf>
    <xf numFmtId="0" fontId="59" fillId="0" borderId="12" xfId="0" applyFont="1" applyBorder="1" applyAlignment="1">
      <alignment vertical="center"/>
    </xf>
    <xf numFmtId="0" fontId="18" fillId="0" borderId="0" xfId="0" applyFont="1" applyAlignment="1">
      <alignment horizontal="right"/>
    </xf>
    <xf numFmtId="0" fontId="28" fillId="0" borderId="0" xfId="0" applyFont="1" applyAlignment="1">
      <alignment horizontal="right"/>
    </xf>
    <xf numFmtId="0" fontId="59" fillId="0" borderId="12" xfId="0" applyFont="1" applyBorder="1" applyAlignment="1">
      <alignment horizontal="center" vertical="center" wrapText="1"/>
    </xf>
    <xf numFmtId="0" fontId="18" fillId="0" borderId="18" xfId="0" quotePrefix="1" applyFont="1" applyBorder="1" applyAlignment="1">
      <alignment horizontal="center" vertical="center"/>
    </xf>
    <xf numFmtId="0" fontId="59" fillId="0" borderId="12" xfId="0" applyFont="1" applyFill="1" applyBorder="1" applyAlignment="1">
      <alignment horizontal="center" vertical="center"/>
    </xf>
    <xf numFmtId="0" fontId="59" fillId="0" borderId="13" xfId="0" applyFont="1" applyFill="1" applyBorder="1" applyAlignment="1">
      <alignment horizontal="center" vertical="center"/>
    </xf>
    <xf numFmtId="0" fontId="59" fillId="0" borderId="12" xfId="0" applyFont="1" applyBorder="1" applyAlignment="1" applyProtection="1">
      <alignment vertical="center"/>
      <protection locked="0"/>
    </xf>
    <xf numFmtId="0" fontId="18" fillId="0" borderId="16" xfId="0" applyFont="1" applyFill="1" applyBorder="1" applyAlignment="1">
      <alignment horizontal="center" vertical="center"/>
    </xf>
    <xf numFmtId="0" fontId="18" fillId="0" borderId="13" xfId="0" applyFont="1" applyBorder="1" applyAlignment="1">
      <alignment vertical="center"/>
    </xf>
    <xf numFmtId="0" fontId="18" fillId="0" borderId="22" xfId="0" quotePrefix="1" applyFont="1" applyFill="1" applyBorder="1" applyAlignment="1">
      <alignment horizontal="center" vertical="center"/>
    </xf>
    <xf numFmtId="0" fontId="18" fillId="0" borderId="18" xfId="0" quotePrefix="1" applyFont="1" applyFill="1" applyBorder="1" applyAlignment="1">
      <alignment horizontal="center" vertical="center"/>
    </xf>
    <xf numFmtId="0" fontId="62" fillId="0" borderId="0" xfId="0" applyFont="1" applyAlignment="1">
      <alignment vertical="center"/>
    </xf>
    <xf numFmtId="2" fontId="18" fillId="0" borderId="15" xfId="0" applyNumberFormat="1" applyFont="1" applyBorder="1" applyAlignment="1">
      <alignment horizontal="center" vertical="center"/>
    </xf>
    <xf numFmtId="0" fontId="18" fillId="0" borderId="0" xfId="0" applyFont="1" applyAlignment="1">
      <alignment horizontal="left" vertical="top"/>
    </xf>
    <xf numFmtId="0" fontId="59" fillId="0" borderId="19" xfId="0" quotePrefix="1" applyFont="1" applyBorder="1" applyAlignment="1">
      <alignment horizontal="center" vertical="center"/>
    </xf>
    <xf numFmtId="0" fontId="18" fillId="0" borderId="0" xfId="0" applyFont="1" applyAlignment="1">
      <alignment horizontal="left" vertical="center"/>
    </xf>
    <xf numFmtId="0" fontId="21" fillId="0" borderId="19" xfId="0" applyFont="1" applyBorder="1" applyAlignment="1">
      <alignment horizontal="center" vertical="center"/>
    </xf>
    <xf numFmtId="0" fontId="21" fillId="0" borderId="16" xfId="0" applyFont="1" applyBorder="1" applyAlignment="1">
      <alignment horizontal="center" vertical="center"/>
    </xf>
    <xf numFmtId="0" fontId="58" fillId="0" borderId="12" xfId="0" applyFont="1" applyBorder="1" applyAlignment="1">
      <alignment horizontal="center" vertical="center"/>
    </xf>
    <xf numFmtId="1" fontId="0" fillId="0" borderId="14" xfId="0" applyNumberFormat="1" applyBorder="1" applyAlignment="1">
      <alignment horizontal="center" vertical="center"/>
    </xf>
    <xf numFmtId="1" fontId="0" fillId="0" borderId="15" xfId="0" applyNumberFormat="1" applyBorder="1" applyAlignment="1">
      <alignment horizontal="center" vertical="center"/>
    </xf>
    <xf numFmtId="0" fontId="28" fillId="0" borderId="0" xfId="0" applyFont="1" applyAlignment="1">
      <alignment vertical="center"/>
    </xf>
    <xf numFmtId="0" fontId="66" fillId="0" borderId="0" xfId="0" applyFont="1" applyAlignment="1">
      <alignment horizontal="right" vertical="center"/>
    </xf>
    <xf numFmtId="0" fontId="66" fillId="0" borderId="0" xfId="0" applyFont="1" applyAlignment="1">
      <alignment horizontal="left" vertical="center"/>
    </xf>
    <xf numFmtId="0" fontId="18" fillId="0" borderId="0" xfId="0" applyFont="1" applyBorder="1" applyAlignment="1">
      <alignment horizontal="left" vertical="center"/>
    </xf>
    <xf numFmtId="0" fontId="18" fillId="0" borderId="0" xfId="0" applyFont="1" applyAlignment="1"/>
    <xf numFmtId="0" fontId="18" fillId="0" borderId="0" xfId="0" applyFont="1" applyBorder="1" applyAlignment="1">
      <alignment horizontal="right" vertical="center" wrapText="1"/>
    </xf>
    <xf numFmtId="0" fontId="21" fillId="0" borderId="11" xfId="0" applyFont="1" applyBorder="1" applyAlignment="1">
      <alignment vertical="center"/>
    </xf>
    <xf numFmtId="0" fontId="28" fillId="0" borderId="22" xfId="0" applyFont="1" applyBorder="1" applyAlignment="1">
      <alignment vertical="center"/>
    </xf>
    <xf numFmtId="0" fontId="28" fillId="0" borderId="10" xfId="0" applyFont="1" applyBorder="1" applyAlignment="1">
      <alignment horizontal="right" vertical="center"/>
    </xf>
    <xf numFmtId="0" fontId="18" fillId="0" borderId="0" xfId="0" applyFont="1" applyAlignment="1">
      <alignment horizontal="center" vertical="center" wrapText="1"/>
    </xf>
    <xf numFmtId="0" fontId="28" fillId="0" borderId="0" xfId="0" applyFont="1" applyFill="1" applyBorder="1" applyAlignment="1">
      <alignment horizontal="right"/>
    </xf>
    <xf numFmtId="0" fontId="18" fillId="0" borderId="0" xfId="0" applyFont="1" applyFill="1" applyBorder="1" applyAlignment="1">
      <alignment horizontal="right"/>
    </xf>
    <xf numFmtId="0" fontId="28" fillId="0" borderId="0" xfId="0" applyFont="1" applyBorder="1" applyAlignment="1">
      <alignment vertical="top"/>
    </xf>
    <xf numFmtId="0" fontId="28" fillId="0" borderId="0" xfId="0" applyFont="1" applyBorder="1" applyAlignment="1"/>
    <xf numFmtId="0" fontId="62" fillId="0" borderId="0" xfId="0" applyFont="1" applyBorder="1" applyAlignment="1">
      <alignment horizontal="left"/>
    </xf>
    <xf numFmtId="0" fontId="62" fillId="0" borderId="0" xfId="0" applyFont="1" applyAlignment="1">
      <alignment horizontal="left"/>
    </xf>
    <xf numFmtId="165" fontId="0" fillId="0" borderId="13" xfId="0" applyNumberFormat="1" applyBorder="1" applyAlignment="1">
      <alignment horizontal="center" vertical="center"/>
    </xf>
    <xf numFmtId="0" fontId="18" fillId="0" borderId="18" xfId="0" applyFont="1" applyFill="1" applyBorder="1" applyAlignment="1">
      <alignment horizontal="center" vertical="center"/>
    </xf>
    <xf numFmtId="0" fontId="59" fillId="0" borderId="18" xfId="0" applyFont="1" applyFill="1" applyBorder="1" applyAlignment="1">
      <alignment horizontal="center" vertical="center"/>
    </xf>
    <xf numFmtId="0" fontId="18" fillId="0" borderId="18" xfId="0" applyFont="1" applyBorder="1" applyAlignment="1" applyProtection="1">
      <alignment horizontal="center" vertical="center" wrapText="1"/>
    </xf>
    <xf numFmtId="0" fontId="18" fillId="0" borderId="0" xfId="0" applyFont="1" applyBorder="1" applyAlignment="1" applyProtection="1">
      <alignment horizontal="center" vertical="center" wrapText="1"/>
    </xf>
    <xf numFmtId="0" fontId="18" fillId="0" borderId="20" xfId="0" applyFont="1" applyBorder="1" applyAlignment="1" applyProtection="1">
      <alignment horizontal="center" vertical="center" wrapText="1"/>
    </xf>
    <xf numFmtId="0" fontId="18" fillId="0" borderId="19" xfId="0" applyFont="1" applyBorder="1" applyAlignment="1" applyProtection="1">
      <alignment horizontal="center" vertical="center" wrapText="1"/>
    </xf>
    <xf numFmtId="0" fontId="18" fillId="0" borderId="0" xfId="0" applyFont="1" applyAlignment="1" applyProtection="1">
      <alignment horizontal="center" vertical="center" wrapText="1"/>
    </xf>
    <xf numFmtId="0" fontId="18" fillId="0" borderId="11" xfId="0" quotePrefix="1" applyFont="1" applyBorder="1" applyAlignment="1" applyProtection="1">
      <alignment horizontal="center" vertical="center" wrapText="1"/>
    </xf>
    <xf numFmtId="0" fontId="18" fillId="0" borderId="23" xfId="0" quotePrefix="1" applyFont="1" applyBorder="1" applyAlignment="1" applyProtection="1">
      <alignment horizontal="center" vertical="center" wrapText="1"/>
    </xf>
    <xf numFmtId="0" fontId="18" fillId="0" borderId="24" xfId="0" quotePrefix="1" applyFont="1" applyBorder="1" applyAlignment="1" applyProtection="1">
      <alignment horizontal="center" vertical="center" wrapText="1"/>
    </xf>
    <xf numFmtId="0" fontId="18" fillId="0" borderId="24" xfId="0" quotePrefix="1" applyFont="1" applyFill="1" applyBorder="1" applyAlignment="1" applyProtection="1">
      <alignment horizontal="center" vertical="center" wrapText="1"/>
    </xf>
    <xf numFmtId="0" fontId="18" fillId="0" borderId="11" xfId="0" quotePrefix="1" applyFont="1" applyFill="1" applyBorder="1" applyAlignment="1" applyProtection="1">
      <alignment horizontal="center" vertical="center" wrapText="1"/>
    </xf>
    <xf numFmtId="0" fontId="18" fillId="0" borderId="23" xfId="0" quotePrefix="1" applyFont="1" applyFill="1" applyBorder="1" applyAlignment="1" applyProtection="1">
      <alignment horizontal="center" vertical="center" wrapText="1"/>
    </xf>
    <xf numFmtId="0" fontId="18" fillId="0" borderId="0" xfId="0" applyFont="1" applyProtection="1"/>
    <xf numFmtId="0" fontId="18" fillId="0" borderId="0" xfId="0" applyFont="1" applyAlignment="1" applyProtection="1">
      <alignment horizontal="right"/>
    </xf>
    <xf numFmtId="0" fontId="28" fillId="0" borderId="0" xfId="0" applyFont="1" applyProtection="1"/>
    <xf numFmtId="0" fontId="59" fillId="0" borderId="19" xfId="0" applyFont="1" applyBorder="1" applyAlignment="1" applyProtection="1">
      <alignment horizontal="center" vertical="center"/>
    </xf>
    <xf numFmtId="0" fontId="59" fillId="0" borderId="14" xfId="0" applyFont="1" applyBorder="1" applyAlignment="1" applyProtection="1">
      <alignment horizontal="center" vertical="center"/>
    </xf>
    <xf numFmtId="0" fontId="28" fillId="0" borderId="0" xfId="0" applyFont="1" applyBorder="1"/>
    <xf numFmtId="0" fontId="28" fillId="0" borderId="0" xfId="0" applyFont="1" applyBorder="1" applyAlignment="1">
      <alignment horizontal="right"/>
    </xf>
    <xf numFmtId="0" fontId="59" fillId="0" borderId="16" xfId="0" applyFont="1" applyBorder="1" applyAlignment="1">
      <alignment horizontal="left" vertical="center"/>
    </xf>
    <xf numFmtId="0" fontId="59" fillId="0" borderId="24" xfId="0" applyFont="1" applyBorder="1"/>
    <xf numFmtId="0" fontId="18" fillId="0" borderId="16" xfId="0" applyFont="1" applyBorder="1" applyAlignment="1">
      <alignment horizontal="center" vertical="top" wrapText="1"/>
    </xf>
    <xf numFmtId="0" fontId="18" fillId="0" borderId="21" xfId="0" quotePrefix="1" applyFont="1" applyFill="1" applyBorder="1" applyAlignment="1">
      <alignment horizontal="center" vertical="center"/>
    </xf>
    <xf numFmtId="0" fontId="59" fillId="0" borderId="12" xfId="0" applyFont="1" applyBorder="1" applyAlignment="1">
      <alignment horizontal="left" vertical="center" wrapText="1"/>
    </xf>
    <xf numFmtId="0" fontId="59" fillId="0" borderId="13" xfId="0" applyFont="1" applyBorder="1" applyAlignment="1">
      <alignment vertical="center"/>
    </xf>
    <xf numFmtId="0" fontId="18" fillId="0" borderId="0" xfId="0" applyFont="1" applyBorder="1" applyAlignment="1"/>
    <xf numFmtId="0" fontId="62" fillId="0" borderId="0" xfId="0" applyFont="1" applyAlignment="1"/>
    <xf numFmtId="0" fontId="59" fillId="0" borderId="14" xfId="0" applyFont="1" applyBorder="1" applyAlignment="1">
      <alignment vertical="center"/>
    </xf>
    <xf numFmtId="2" fontId="59" fillId="0" borderId="19" xfId="0" applyNumberFormat="1" applyFont="1" applyBorder="1" applyAlignment="1">
      <alignment horizontal="center" vertical="center"/>
    </xf>
    <xf numFmtId="2" fontId="59" fillId="0" borderId="12" xfId="0" applyNumberFormat="1" applyFont="1" applyBorder="1" applyAlignment="1">
      <alignment horizontal="center" vertical="center"/>
    </xf>
    <xf numFmtId="0" fontId="28" fillId="0" borderId="0" xfId="0" applyFont="1" applyAlignment="1">
      <alignment horizontal="right" vertical="center"/>
    </xf>
    <xf numFmtId="0" fontId="14" fillId="0" borderId="0" xfId="0" applyFont="1" applyBorder="1" applyAlignment="1">
      <alignment horizontal="left" vertical="center" wrapText="1"/>
    </xf>
    <xf numFmtId="0" fontId="67" fillId="0" borderId="0" xfId="0" applyFont="1" applyFill="1"/>
    <xf numFmtId="0" fontId="59" fillId="0" borderId="12" xfId="0" applyFont="1" applyBorder="1" applyAlignment="1">
      <alignment horizontal="left" vertical="center"/>
    </xf>
    <xf numFmtId="0" fontId="59" fillId="0" borderId="13" xfId="0" applyFont="1" applyBorder="1" applyAlignment="1">
      <alignment horizontal="left" vertical="center"/>
    </xf>
    <xf numFmtId="0" fontId="28" fillId="0" borderId="0" xfId="0" applyFont="1" applyBorder="1" applyAlignment="1">
      <alignment horizontal="right" vertical="center"/>
    </xf>
    <xf numFmtId="0" fontId="59" fillId="0" borderId="19" xfId="0" applyFont="1" applyBorder="1" applyAlignment="1" applyProtection="1">
      <alignment horizontal="center" vertical="center"/>
      <protection locked="0"/>
    </xf>
    <xf numFmtId="0" fontId="59" fillId="0" borderId="14" xfId="0" applyFont="1" applyBorder="1" applyAlignment="1" applyProtection="1">
      <alignment horizontal="center" vertical="center"/>
      <protection locked="0"/>
    </xf>
    <xf numFmtId="0" fontId="18" fillId="0" borderId="10" xfId="0" applyFont="1" applyBorder="1" applyAlignment="1">
      <alignment horizontal="right" vertical="top" wrapText="1"/>
    </xf>
    <xf numFmtId="0" fontId="59" fillId="0" borderId="13" xfId="0" applyFont="1" applyBorder="1" applyAlignment="1">
      <alignment horizontal="center" vertical="center" wrapText="1"/>
    </xf>
    <xf numFmtId="0" fontId="18" fillId="0" borderId="0" xfId="0" applyFont="1" applyBorder="1" applyAlignment="1">
      <alignment horizontal="right" vertical="top" wrapText="1"/>
    </xf>
    <xf numFmtId="0" fontId="28" fillId="0" borderId="10" xfId="0" applyFont="1" applyBorder="1" applyAlignment="1">
      <alignment vertical="center"/>
    </xf>
    <xf numFmtId="0" fontId="28" fillId="0" borderId="10" xfId="0" applyFont="1" applyBorder="1" applyAlignment="1">
      <alignment horizontal="right"/>
    </xf>
    <xf numFmtId="0" fontId="59" fillId="0" borderId="24" xfId="0" applyFont="1" applyBorder="1" applyAlignment="1">
      <alignment horizontal="center" vertical="center"/>
    </xf>
    <xf numFmtId="0" fontId="14" fillId="0" borderId="12" xfId="0" applyFont="1" applyBorder="1" applyAlignment="1">
      <alignment horizontal="center" vertical="center"/>
    </xf>
    <xf numFmtId="0" fontId="14" fillId="0" borderId="0" xfId="0" applyFont="1" applyAlignment="1">
      <alignment vertical="center"/>
    </xf>
    <xf numFmtId="0" fontId="14" fillId="0" borderId="13" xfId="0" applyFont="1" applyBorder="1" applyAlignment="1">
      <alignment horizontal="center" vertical="center"/>
    </xf>
    <xf numFmtId="0" fontId="14" fillId="0" borderId="10" xfId="0" applyFont="1" applyBorder="1" applyAlignment="1">
      <alignment vertical="center"/>
    </xf>
    <xf numFmtId="0" fontId="59" fillId="0" borderId="13" xfId="0" applyFont="1" applyBorder="1" applyAlignment="1" applyProtection="1">
      <alignment vertical="center"/>
      <protection locked="0"/>
    </xf>
    <xf numFmtId="0" fontId="26" fillId="0" borderId="10" xfId="0" applyFont="1" applyFill="1" applyBorder="1" applyAlignment="1">
      <alignment horizontal="center" vertical="center"/>
    </xf>
    <xf numFmtId="0" fontId="26" fillId="0" borderId="15" xfId="0" applyFont="1" applyFill="1" applyBorder="1" applyAlignment="1">
      <alignment horizontal="center" vertical="center"/>
    </xf>
    <xf numFmtId="0" fontId="26" fillId="0" borderId="22" xfId="0" applyFont="1" applyFill="1" applyBorder="1" applyAlignment="1">
      <alignment horizontal="center" vertical="center"/>
    </xf>
    <xf numFmtId="0" fontId="30" fillId="0" borderId="0" xfId="0" applyFont="1" applyBorder="1" applyAlignment="1">
      <alignment vertical="center"/>
    </xf>
    <xf numFmtId="0" fontId="28" fillId="0" borderId="0" xfId="0" applyFont="1" applyAlignment="1"/>
    <xf numFmtId="0" fontId="61" fillId="0" borderId="19" xfId="0" applyFont="1" applyBorder="1" applyAlignment="1">
      <alignment horizontal="center" vertical="center"/>
    </xf>
    <xf numFmtId="1" fontId="3" fillId="0" borderId="20" xfId="0" applyNumberFormat="1" applyFont="1" applyBorder="1" applyAlignment="1">
      <alignment horizontal="center" vertical="center"/>
    </xf>
    <xf numFmtId="0" fontId="3" fillId="0" borderId="21" xfId="0" applyFont="1" applyBorder="1" applyAlignment="1">
      <alignment horizontal="center" vertical="center"/>
    </xf>
    <xf numFmtId="1" fontId="3" fillId="0" borderId="19" xfId="0" applyNumberFormat="1" applyFont="1" applyBorder="1" applyAlignment="1">
      <alignment horizontal="center" vertical="center"/>
    </xf>
    <xf numFmtId="1" fontId="3" fillId="0" borderId="14" xfId="0" applyNumberFormat="1" applyFont="1" applyBorder="1" applyAlignment="1">
      <alignment horizontal="center" vertical="center"/>
    </xf>
    <xf numFmtId="1" fontId="18" fillId="0" borderId="11" xfId="0" quotePrefix="1" applyNumberFormat="1" applyFont="1" applyBorder="1" applyAlignment="1">
      <alignment horizontal="center" vertical="center"/>
    </xf>
    <xf numFmtId="0" fontId="18" fillId="0" borderId="0" xfId="0" applyFont="1" applyAlignment="1">
      <alignment horizontal="center"/>
    </xf>
    <xf numFmtId="0" fontId="18" fillId="0" borderId="18" xfId="0" applyFont="1" applyBorder="1" applyAlignment="1">
      <alignment vertical="center"/>
    </xf>
    <xf numFmtId="0" fontId="59" fillId="0" borderId="10" xfId="0" applyFont="1" applyBorder="1" applyAlignment="1">
      <alignment horizontal="center" vertical="center"/>
    </xf>
    <xf numFmtId="0" fontId="2" fillId="0" borderId="16" xfId="0" applyFont="1" applyBorder="1" applyAlignment="1">
      <alignment horizontal="center" vertical="center"/>
    </xf>
    <xf numFmtId="0" fontId="3" fillId="0" borderId="12" xfId="0" applyFont="1" applyBorder="1" applyAlignment="1">
      <alignment horizontal="left" vertical="center"/>
    </xf>
    <xf numFmtId="0" fontId="3" fillId="0" borderId="12" xfId="0" applyFont="1" applyBorder="1" applyAlignment="1">
      <alignment horizontal="left" vertical="center" wrapText="1"/>
    </xf>
    <xf numFmtId="0" fontId="18" fillId="0" borderId="24" xfId="0" applyFont="1" applyBorder="1" applyAlignment="1">
      <alignment horizontal="center" vertical="center" shrinkToFit="1"/>
    </xf>
    <xf numFmtId="0" fontId="18" fillId="0" borderId="23" xfId="0" applyFont="1" applyBorder="1" applyAlignment="1">
      <alignment horizontal="center" vertical="center" shrinkToFit="1"/>
    </xf>
    <xf numFmtId="0" fontId="59" fillId="0" borderId="0" xfId="0" applyFont="1" applyAlignment="1">
      <alignment horizontal="center" vertical="center"/>
    </xf>
    <xf numFmtId="0" fontId="59" fillId="0" borderId="0" xfId="0" applyFont="1" applyAlignment="1">
      <alignment horizontal="center" vertical="center" shrinkToFit="1"/>
    </xf>
    <xf numFmtId="0" fontId="0" fillId="0" borderId="0" xfId="0" applyFill="1"/>
    <xf numFmtId="0" fontId="3" fillId="0" borderId="12" xfId="0" applyFont="1" applyBorder="1" applyAlignment="1">
      <alignment vertical="center"/>
    </xf>
    <xf numFmtId="0" fontId="18" fillId="0" borderId="10" xfId="0" applyFont="1" applyBorder="1"/>
    <xf numFmtId="0" fontId="18" fillId="0" borderId="10" xfId="0" quotePrefix="1" applyFont="1" applyFill="1" applyBorder="1" applyAlignment="1">
      <alignment horizontal="center" vertical="center"/>
    </xf>
    <xf numFmtId="0" fontId="68" fillId="0" borderId="20" xfId="0" applyFont="1" applyBorder="1" applyAlignment="1">
      <alignment horizontal="center" vertical="center" wrapText="1"/>
    </xf>
    <xf numFmtId="0" fontId="68" fillId="0" borderId="11" xfId="0" applyFont="1" applyBorder="1" applyAlignment="1">
      <alignment horizontal="center" vertical="center" wrapText="1"/>
    </xf>
    <xf numFmtId="0" fontId="68" fillId="0" borderId="18" xfId="0" applyFont="1" applyBorder="1" applyAlignment="1">
      <alignment horizontal="center" vertical="center" wrapText="1"/>
    </xf>
    <xf numFmtId="0" fontId="28" fillId="0" borderId="18" xfId="0" applyFont="1" applyBorder="1"/>
    <xf numFmtId="0" fontId="28" fillId="0" borderId="12" xfId="0" applyFont="1" applyBorder="1" applyAlignment="1">
      <alignment horizontal="center"/>
    </xf>
    <xf numFmtId="0" fontId="28" fillId="0" borderId="0" xfId="0" quotePrefix="1" applyFont="1" applyBorder="1" applyAlignment="1">
      <alignment horizontal="center"/>
    </xf>
    <xf numFmtId="0" fontId="28" fillId="0" borderId="0" xfId="0" applyFont="1" applyBorder="1" applyAlignment="1">
      <alignment horizontal="center"/>
    </xf>
    <xf numFmtId="0" fontId="69" fillId="0" borderId="0" xfId="0" applyFont="1" applyBorder="1" applyAlignment="1">
      <alignment horizontal="center"/>
    </xf>
    <xf numFmtId="0" fontId="28" fillId="0" borderId="13" xfId="0" applyFont="1" applyBorder="1" applyAlignment="1">
      <alignment horizontal="center"/>
    </xf>
    <xf numFmtId="0" fontId="28" fillId="0" borderId="10" xfId="0" applyFont="1" applyBorder="1" applyAlignment="1">
      <alignment horizontal="center"/>
    </xf>
    <xf numFmtId="0" fontId="18" fillId="0" borderId="18" xfId="0" applyFont="1" applyBorder="1" applyAlignment="1">
      <alignment horizontal="center"/>
    </xf>
    <xf numFmtId="0" fontId="18" fillId="0" borderId="21" xfId="0" applyFont="1" applyBorder="1" applyAlignment="1">
      <alignment horizontal="left"/>
    </xf>
    <xf numFmtId="0" fontId="18" fillId="0" borderId="12" xfId="0" applyFont="1" applyBorder="1" applyAlignment="1">
      <alignment horizontal="center"/>
    </xf>
    <xf numFmtId="0" fontId="18" fillId="0" borderId="16" xfId="0" applyFont="1" applyBorder="1" applyAlignment="1">
      <alignment horizontal="center"/>
    </xf>
    <xf numFmtId="0" fontId="18" fillId="0" borderId="13" xfId="0" applyFont="1" applyFill="1" applyBorder="1" applyAlignment="1">
      <alignment horizontal="center"/>
    </xf>
    <xf numFmtId="0" fontId="18" fillId="0" borderId="15" xfId="0" applyFont="1" applyBorder="1" applyAlignment="1">
      <alignment horizontal="center"/>
    </xf>
    <xf numFmtId="0" fontId="64" fillId="0" borderId="12" xfId="0" applyFont="1" applyBorder="1" applyAlignment="1">
      <alignment horizontal="center" vertical="center"/>
    </xf>
    <xf numFmtId="0" fontId="18" fillId="0" borderId="17" xfId="0" quotePrefix="1" applyFont="1" applyBorder="1" applyAlignment="1">
      <alignment horizontal="center" vertical="center" wrapText="1"/>
    </xf>
    <xf numFmtId="0" fontId="3" fillId="0" borderId="19" xfId="0" applyFont="1" applyBorder="1" applyAlignment="1" applyProtection="1">
      <alignment horizontal="center" vertical="center"/>
    </xf>
    <xf numFmtId="0" fontId="3" fillId="0" borderId="14" xfId="0" applyFont="1" applyBorder="1" applyAlignment="1" applyProtection="1">
      <alignment horizontal="center" vertical="center"/>
    </xf>
    <xf numFmtId="164" fontId="18" fillId="0" borderId="13" xfId="0" applyNumberFormat="1" applyFont="1" applyFill="1" applyBorder="1" applyAlignment="1">
      <alignment horizontal="center" vertical="center"/>
    </xf>
    <xf numFmtId="0" fontId="58" fillId="0" borderId="19" xfId="0" quotePrefix="1" applyFont="1" applyBorder="1" applyAlignment="1">
      <alignment horizontal="center" vertical="center"/>
    </xf>
    <xf numFmtId="0" fontId="63" fillId="0" borderId="16" xfId="0" applyFont="1" applyBorder="1" applyAlignment="1">
      <alignment horizontal="center" vertical="center"/>
    </xf>
    <xf numFmtId="0" fontId="58" fillId="0" borderId="19" xfId="0" applyFont="1" applyBorder="1" applyAlignment="1">
      <alignment horizontal="center" vertical="center"/>
    </xf>
    <xf numFmtId="0" fontId="24" fillId="0" borderId="19" xfId="0" applyFont="1" applyBorder="1" applyAlignment="1">
      <alignment horizontal="center" vertical="center"/>
    </xf>
    <xf numFmtId="0" fontId="58" fillId="0" borderId="14" xfId="0" applyFont="1" applyBorder="1" applyAlignment="1">
      <alignment vertical="center"/>
    </xf>
    <xf numFmtId="0" fontId="63" fillId="0" borderId="15" xfId="0" applyFont="1" applyBorder="1" applyAlignment="1">
      <alignment horizontal="center" vertical="center"/>
    </xf>
    <xf numFmtId="0" fontId="21" fillId="0" borderId="16" xfId="0" applyFont="1" applyBorder="1" applyAlignment="1">
      <alignment vertical="center"/>
    </xf>
    <xf numFmtId="0" fontId="63" fillId="0" borderId="16" xfId="0" applyFont="1" applyBorder="1" applyAlignment="1">
      <alignment vertical="center"/>
    </xf>
    <xf numFmtId="0" fontId="59" fillId="0" borderId="16" xfId="0" applyFont="1" applyBorder="1" applyAlignment="1">
      <alignment vertical="center"/>
    </xf>
    <xf numFmtId="0" fontId="63" fillId="0" borderId="15" xfId="0" applyFont="1" applyBorder="1" applyAlignment="1">
      <alignment vertical="center"/>
    </xf>
    <xf numFmtId="0" fontId="63" fillId="0" borderId="12" xfId="0" applyFont="1" applyBorder="1" applyAlignment="1">
      <alignment horizontal="center" vertical="center"/>
    </xf>
    <xf numFmtId="0" fontId="63" fillId="0" borderId="13" xfId="0" applyFont="1" applyBorder="1" applyAlignment="1">
      <alignment horizontal="center" vertical="center"/>
    </xf>
    <xf numFmtId="0" fontId="59" fillId="0" borderId="12" xfId="0" applyFont="1" applyBorder="1" applyAlignment="1" applyProtection="1">
      <alignment horizontal="center" vertical="center"/>
    </xf>
    <xf numFmtId="0" fontId="59" fillId="0" borderId="13" xfId="0" applyFont="1" applyBorder="1" applyAlignment="1" applyProtection="1">
      <alignment horizontal="center" vertical="center"/>
    </xf>
    <xf numFmtId="0" fontId="18" fillId="0" borderId="23" xfId="0" quotePrefix="1" applyFont="1" applyBorder="1" applyAlignment="1">
      <alignment horizontal="center" vertical="center" wrapText="1"/>
    </xf>
    <xf numFmtId="165" fontId="3" fillId="0" borderId="16" xfId="0" applyNumberFormat="1" applyFont="1" applyBorder="1" applyAlignment="1">
      <alignment horizontal="center" vertical="center"/>
    </xf>
    <xf numFmtId="0" fontId="52" fillId="0" borderId="20" xfId="0" applyFont="1" applyBorder="1" applyAlignment="1">
      <alignment horizontal="center" vertical="center"/>
    </xf>
    <xf numFmtId="0" fontId="28" fillId="0" borderId="11" xfId="0" quotePrefix="1" applyFont="1" applyBorder="1" applyAlignment="1">
      <alignment horizontal="center" vertical="center"/>
    </xf>
    <xf numFmtId="0" fontId="28" fillId="0" borderId="11" xfId="0" quotePrefix="1" applyFont="1" applyFill="1" applyBorder="1" applyAlignment="1">
      <alignment horizontal="center" vertical="center"/>
    </xf>
    <xf numFmtId="0" fontId="3" fillId="0" borderId="18" xfId="0" applyFont="1" applyBorder="1" applyAlignment="1">
      <alignment horizontal="center" vertical="center"/>
    </xf>
    <xf numFmtId="0" fontId="3" fillId="0" borderId="16" xfId="0" applyFont="1" applyBorder="1" applyAlignment="1">
      <alignment horizontal="center"/>
    </xf>
    <xf numFmtId="0" fontId="3" fillId="0" borderId="10" xfId="0" applyFont="1" applyBorder="1" applyAlignment="1">
      <alignment horizontal="center"/>
    </xf>
    <xf numFmtId="0" fontId="16" fillId="0" borderId="22" xfId="0" applyFont="1" applyBorder="1" applyAlignment="1">
      <alignment horizontal="center" vertical="center"/>
    </xf>
    <xf numFmtId="0" fontId="16" fillId="0" borderId="0" xfId="0" applyFont="1" applyBorder="1" applyAlignment="1">
      <alignment horizontal="center" vertical="center"/>
    </xf>
    <xf numFmtId="165" fontId="3" fillId="0" borderId="18" xfId="0" applyNumberFormat="1" applyFont="1" applyBorder="1" applyAlignment="1">
      <alignment horizontal="center" vertical="center"/>
    </xf>
    <xf numFmtId="165" fontId="3" fillId="0" borderId="12" xfId="0" applyNumberFormat="1" applyFont="1" applyBorder="1" applyAlignment="1">
      <alignment horizontal="center" vertical="center"/>
    </xf>
    <xf numFmtId="0" fontId="2" fillId="0" borderId="23" xfId="0" applyFont="1" applyBorder="1" applyAlignment="1">
      <alignment horizontal="center" vertical="center"/>
    </xf>
    <xf numFmtId="0" fontId="2" fillId="0" borderId="17" xfId="0" applyFont="1" applyBorder="1" applyAlignment="1">
      <alignment horizontal="center" vertical="center"/>
    </xf>
    <xf numFmtId="0" fontId="18" fillId="0" borderId="10" xfId="0" applyFont="1" applyBorder="1" applyAlignment="1">
      <alignment horizontal="left" vertical="center"/>
    </xf>
    <xf numFmtId="164" fontId="3" fillId="0" borderId="0" xfId="0" applyNumberFormat="1" applyFont="1" applyBorder="1" applyAlignment="1" applyProtection="1">
      <alignment horizontal="center" vertical="center"/>
      <protection locked="0"/>
    </xf>
    <xf numFmtId="164" fontId="3" fillId="0" borderId="0" xfId="0" quotePrefix="1" applyNumberFormat="1" applyFont="1" applyBorder="1" applyAlignment="1" applyProtection="1">
      <alignment horizontal="center" vertical="center"/>
      <protection locked="0"/>
    </xf>
    <xf numFmtId="164" fontId="3" fillId="0" borderId="19" xfId="0" applyNumberFormat="1" applyFont="1" applyBorder="1" applyAlignment="1" applyProtection="1">
      <alignment horizontal="center" vertical="center"/>
      <protection locked="0"/>
    </xf>
    <xf numFmtId="164" fontId="3" fillId="0" borderId="0" xfId="0" quotePrefix="1" applyNumberFormat="1" applyFont="1" applyBorder="1" applyAlignment="1">
      <alignment horizontal="center" vertical="center"/>
    </xf>
    <xf numFmtId="164" fontId="3" fillId="0" borderId="19" xfId="0" quotePrefix="1" applyNumberFormat="1" applyFont="1" applyBorder="1" applyAlignment="1" applyProtection="1">
      <alignment horizontal="center" vertical="center"/>
      <protection locked="0"/>
    </xf>
    <xf numFmtId="164" fontId="3" fillId="0" borderId="19" xfId="0" quotePrefix="1" applyNumberFormat="1" applyFont="1" applyFill="1" applyBorder="1" applyAlignment="1">
      <alignment horizontal="center" vertical="center"/>
    </xf>
    <xf numFmtId="2" fontId="3" fillId="0" borderId="19" xfId="0" quotePrefix="1" applyNumberFormat="1" applyFont="1" applyFill="1" applyBorder="1" applyAlignment="1">
      <alignment horizontal="center" vertical="center"/>
    </xf>
    <xf numFmtId="164" fontId="3" fillId="0" borderId="19" xfId="0" applyNumberFormat="1" applyFont="1" applyFill="1" applyBorder="1" applyAlignment="1" applyProtection="1">
      <alignment horizontal="center" vertical="center"/>
      <protection locked="0"/>
    </xf>
    <xf numFmtId="0" fontId="2" fillId="0" borderId="16" xfId="0" applyFont="1" applyBorder="1" applyAlignment="1" applyProtection="1">
      <alignment horizontal="center" vertical="center"/>
      <protection locked="0"/>
    </xf>
    <xf numFmtId="0" fontId="0" fillId="0" borderId="22" xfId="0" applyBorder="1" applyAlignment="1">
      <alignment horizontal="left" vertical="center"/>
    </xf>
    <xf numFmtId="0" fontId="0" fillId="0" borderId="0" xfId="0" applyAlignment="1">
      <alignment horizontal="left" vertical="center"/>
    </xf>
    <xf numFmtId="0" fontId="21" fillId="0" borderId="12" xfId="0" applyFont="1" applyBorder="1" applyAlignment="1">
      <alignment vertical="center" wrapText="1"/>
    </xf>
    <xf numFmtId="0" fontId="21" fillId="0" borderId="12" xfId="0" applyFont="1" applyBorder="1" applyAlignment="1">
      <alignment vertical="center" wrapText="1" shrinkToFit="1"/>
    </xf>
    <xf numFmtId="0" fontId="28" fillId="0" borderId="11" xfId="0" applyFont="1" applyBorder="1" applyAlignment="1">
      <alignment horizontal="center" vertical="center"/>
    </xf>
    <xf numFmtId="0" fontId="28" fillId="0" borderId="23" xfId="0" applyFont="1" applyBorder="1" applyAlignment="1">
      <alignment horizontal="center" vertical="center"/>
    </xf>
    <xf numFmtId="0" fontId="28" fillId="0" borderId="11" xfId="0" applyFont="1" applyBorder="1" applyAlignment="1">
      <alignment horizontal="center" vertical="center" wrapText="1"/>
    </xf>
    <xf numFmtId="0" fontId="28" fillId="0" borderId="23" xfId="0" applyFont="1" applyBorder="1" applyAlignment="1">
      <alignment horizontal="center" vertical="center" wrapText="1"/>
    </xf>
    <xf numFmtId="0" fontId="28" fillId="0" borderId="0" xfId="0" applyFont="1" applyBorder="1" applyAlignment="1">
      <alignment horizontal="center" vertical="center" wrapText="1"/>
    </xf>
    <xf numFmtId="0" fontId="28" fillId="0" borderId="18" xfId="0" applyFont="1" applyBorder="1" applyAlignment="1">
      <alignment horizontal="center" vertical="center" wrapText="1"/>
    </xf>
    <xf numFmtId="0" fontId="21" fillId="0" borderId="19" xfId="0" applyFont="1" applyBorder="1" applyAlignment="1">
      <alignment vertical="center" wrapText="1"/>
    </xf>
    <xf numFmtId="2" fontId="2" fillId="0" borderId="12" xfId="0" applyNumberFormat="1" applyFont="1" applyBorder="1" applyAlignment="1">
      <alignment horizontal="center" vertical="center"/>
    </xf>
    <xf numFmtId="0" fontId="3" fillId="0" borderId="12" xfId="0" quotePrefix="1" applyFont="1" applyBorder="1" applyAlignment="1">
      <alignment horizontal="center" vertical="center"/>
    </xf>
    <xf numFmtId="164" fontId="2" fillId="0" borderId="12" xfId="0" applyNumberFormat="1" applyFont="1" applyBorder="1" applyAlignment="1">
      <alignment horizontal="center" vertical="center"/>
    </xf>
    <xf numFmtId="0" fontId="2" fillId="0" borderId="18" xfId="0" applyFont="1" applyBorder="1" applyAlignment="1">
      <alignment horizontal="center" vertical="center"/>
    </xf>
    <xf numFmtId="0" fontId="30" fillId="0" borderId="18" xfId="0" applyFont="1" applyBorder="1" applyAlignment="1">
      <alignment horizontal="center" vertical="center" wrapText="1"/>
    </xf>
    <xf numFmtId="0" fontId="30" fillId="0" borderId="20" xfId="0" applyFont="1" applyBorder="1" applyAlignment="1">
      <alignment horizontal="center" vertical="center" wrapText="1"/>
    </xf>
    <xf numFmtId="0" fontId="59" fillId="0" borderId="12" xfId="0" applyFont="1" applyBorder="1" applyAlignment="1">
      <alignment horizontal="center" vertical="center" shrinkToFit="1"/>
    </xf>
    <xf numFmtId="0" fontId="59" fillId="0" borderId="13" xfId="0" applyFont="1" applyBorder="1" applyAlignment="1">
      <alignment horizontal="center" vertical="center" shrinkToFit="1"/>
    </xf>
    <xf numFmtId="0" fontId="57" fillId="0" borderId="0" xfId="0" applyFont="1" applyAlignment="1">
      <alignment horizontal="center" vertical="center"/>
    </xf>
    <xf numFmtId="0" fontId="59" fillId="0" borderId="12" xfId="0" quotePrefix="1" applyFont="1" applyFill="1" applyBorder="1" applyAlignment="1">
      <alignment horizontal="center" vertical="top"/>
    </xf>
    <xf numFmtId="0" fontId="30" fillId="0" borderId="19" xfId="0" applyFont="1" applyBorder="1" applyAlignment="1">
      <alignment horizontal="center" vertical="center" wrapText="1"/>
    </xf>
    <xf numFmtId="0" fontId="30" fillId="0" borderId="0" xfId="0" applyFont="1" applyBorder="1" applyAlignment="1">
      <alignment horizontal="center" vertical="center" wrapText="1"/>
    </xf>
    <xf numFmtId="0" fontId="18" fillId="0" borderId="0" xfId="0" applyFont="1" applyFill="1" applyBorder="1" applyAlignment="1">
      <alignment horizontal="center" vertical="center"/>
    </xf>
    <xf numFmtId="0" fontId="28" fillId="0" borderId="0" xfId="0" applyFont="1" applyBorder="1" applyAlignment="1">
      <alignment horizontal="center" vertical="center"/>
    </xf>
    <xf numFmtId="2" fontId="0" fillId="0" borderId="19" xfId="0" applyNumberFormat="1" applyFill="1" applyBorder="1" applyAlignment="1">
      <alignment horizontal="center" vertical="center"/>
    </xf>
    <xf numFmtId="0" fontId="8" fillId="0" borderId="22" xfId="0" applyFont="1" applyBorder="1" applyAlignment="1">
      <alignment horizontal="right" vertical="center"/>
    </xf>
    <xf numFmtId="0" fontId="0" fillId="0" borderId="0" xfId="0" applyBorder="1" applyAlignment="1"/>
    <xf numFmtId="0" fontId="8" fillId="0" borderId="0" xfId="0" applyFont="1" applyBorder="1" applyAlignment="1">
      <alignment horizontal="right"/>
    </xf>
    <xf numFmtId="0" fontId="8" fillId="0" borderId="0" xfId="0" applyFont="1" applyBorder="1" applyAlignment="1">
      <alignment horizontal="right" vertical="center"/>
    </xf>
    <xf numFmtId="0" fontId="8" fillId="0" borderId="0" xfId="0" applyFont="1"/>
    <xf numFmtId="0" fontId="72" fillId="0" borderId="0" xfId="0" applyFont="1" applyAlignment="1">
      <alignment horizontal="right"/>
    </xf>
    <xf numFmtId="0" fontId="8" fillId="0" borderId="0" xfId="0" applyFont="1" applyAlignment="1">
      <alignment horizontal="right"/>
    </xf>
    <xf numFmtId="0" fontId="8" fillId="0" borderId="0" xfId="0" quotePrefix="1" applyFont="1" applyAlignment="1">
      <alignment horizontal="right"/>
    </xf>
    <xf numFmtId="0" fontId="8" fillId="0" borderId="0" xfId="0" applyFont="1" applyAlignment="1">
      <alignment horizontal="center"/>
    </xf>
    <xf numFmtId="0" fontId="8" fillId="0" borderId="0" xfId="0" applyFont="1" applyAlignment="1">
      <alignment horizontal="right" vertical="center"/>
    </xf>
    <xf numFmtId="0" fontId="8" fillId="0" borderId="0" xfId="0" applyFont="1" applyFill="1" applyAlignment="1">
      <alignment vertical="center"/>
    </xf>
    <xf numFmtId="0" fontId="8" fillId="0" borderId="0" xfId="0" applyFont="1" applyFill="1" applyAlignment="1">
      <alignment horizontal="left" vertical="center"/>
    </xf>
    <xf numFmtId="0" fontId="8" fillId="0" borderId="0" xfId="0" applyFont="1" applyBorder="1" applyAlignment="1" applyProtection="1">
      <alignment horizontal="right" vertical="center"/>
      <protection locked="0"/>
    </xf>
    <xf numFmtId="0" fontId="8" fillId="0" borderId="0" xfId="0" applyFont="1" applyAlignment="1" applyProtection="1">
      <alignment horizontal="right"/>
      <protection locked="0"/>
    </xf>
    <xf numFmtId="0" fontId="8" fillId="0" borderId="0" xfId="0" applyFont="1" applyAlignment="1" applyProtection="1">
      <alignment vertical="center"/>
      <protection locked="0"/>
    </xf>
    <xf numFmtId="0" fontId="72" fillId="0" borderId="0" xfId="0" applyFont="1" applyBorder="1" applyAlignment="1" applyProtection="1">
      <alignment horizontal="right" vertical="center"/>
      <protection locked="0"/>
    </xf>
    <xf numFmtId="0" fontId="8" fillId="0" borderId="0" xfId="0" applyFont="1" applyBorder="1" applyAlignment="1" applyProtection="1">
      <alignment vertical="center"/>
      <protection locked="0"/>
    </xf>
    <xf numFmtId="0" fontId="8" fillId="0" borderId="0" xfId="0" applyFont="1" applyProtection="1">
      <protection locked="0"/>
    </xf>
    <xf numFmtId="0" fontId="62" fillId="0" borderId="0" xfId="0" applyFont="1" applyAlignment="1" applyProtection="1">
      <alignment horizontal="right" vertical="center"/>
      <protection locked="0"/>
    </xf>
    <xf numFmtId="0" fontId="62" fillId="0" borderId="0" xfId="0" applyFont="1" applyAlignment="1" applyProtection="1">
      <alignment vertical="center"/>
      <protection locked="0"/>
    </xf>
    <xf numFmtId="0" fontId="8" fillId="0" borderId="0" xfId="0" applyFont="1" applyAlignment="1" applyProtection="1">
      <alignment horizontal="right" vertical="center"/>
      <protection locked="0"/>
    </xf>
    <xf numFmtId="0" fontId="73" fillId="0" borderId="0" xfId="0" applyFont="1"/>
    <xf numFmtId="0" fontId="62" fillId="0" borderId="22" xfId="0" applyFont="1" applyBorder="1" applyAlignment="1" applyProtection="1">
      <alignment horizontal="right" vertical="center"/>
      <protection locked="0"/>
    </xf>
    <xf numFmtId="0" fontId="62" fillId="0" borderId="0" xfId="0" applyFont="1" applyAlignment="1">
      <alignment horizontal="right"/>
    </xf>
    <xf numFmtId="0" fontId="62" fillId="0" borderId="0" xfId="0" applyFont="1"/>
    <xf numFmtId="0" fontId="74" fillId="0" borderId="0" xfId="0" applyFont="1"/>
    <xf numFmtId="0" fontId="62" fillId="0" borderId="0" xfId="0" applyFont="1" applyAlignment="1">
      <alignment horizontal="right" vertical="center"/>
    </xf>
    <xf numFmtId="0" fontId="62" fillId="0" borderId="22" xfId="0" applyFont="1" applyBorder="1" applyAlignment="1">
      <alignment horizontal="left" vertical="center"/>
    </xf>
    <xf numFmtId="0" fontId="62" fillId="0" borderId="0" xfId="0" applyFont="1" applyAlignment="1">
      <alignment horizontal="left" vertical="center"/>
    </xf>
    <xf numFmtId="0" fontId="62" fillId="0" borderId="0" xfId="0" applyFont="1" applyBorder="1" applyAlignment="1">
      <alignment horizontal="right" vertical="center"/>
    </xf>
    <xf numFmtId="0" fontId="62" fillId="0" borderId="0" xfId="0" applyFont="1" applyBorder="1" applyAlignment="1">
      <alignment horizontal="right" vertical="top"/>
    </xf>
    <xf numFmtId="0" fontId="62" fillId="0" borderId="0" xfId="0" applyFont="1" applyAlignment="1">
      <alignment horizontal="right" vertical="top"/>
    </xf>
    <xf numFmtId="0" fontId="62" fillId="0" borderId="0" xfId="0" applyFont="1" applyFill="1" applyBorder="1" applyAlignment="1">
      <alignment horizontal="left"/>
    </xf>
    <xf numFmtId="0" fontId="62" fillId="0" borderId="0" xfId="0" applyFont="1" applyAlignment="1">
      <alignment horizontal="left" vertical="top"/>
    </xf>
    <xf numFmtId="0" fontId="62" fillId="0" borderId="0" xfId="0" applyFont="1" applyBorder="1" applyAlignment="1">
      <alignment horizontal="right"/>
    </xf>
    <xf numFmtId="0" fontId="66" fillId="0" borderId="0" xfId="0" applyFont="1" applyBorder="1" applyAlignment="1">
      <alignment horizontal="right" vertical="center"/>
    </xf>
    <xf numFmtId="0" fontId="66" fillId="0" borderId="0" xfId="0" applyFont="1"/>
    <xf numFmtId="0" fontId="62" fillId="0" borderId="0" xfId="0" applyFont="1" applyBorder="1"/>
    <xf numFmtId="0" fontId="62" fillId="0" borderId="0" xfId="0" applyFont="1" applyAlignment="1" applyProtection="1">
      <alignment horizontal="right"/>
    </xf>
    <xf numFmtId="0" fontId="62" fillId="0" borderId="22" xfId="0" applyFont="1" applyBorder="1" applyAlignment="1">
      <alignment horizontal="right" vertical="top"/>
    </xf>
    <xf numFmtId="0" fontId="62" fillId="0" borderId="0" xfId="0" applyFont="1" applyBorder="1" applyAlignment="1"/>
    <xf numFmtId="0" fontId="66" fillId="0" borderId="0" xfId="0" applyFont="1" applyAlignment="1">
      <alignment vertical="center"/>
    </xf>
    <xf numFmtId="0" fontId="66" fillId="0" borderId="0" xfId="0" applyFont="1" applyBorder="1" applyAlignment="1">
      <alignment horizontal="right"/>
    </xf>
    <xf numFmtId="0" fontId="62" fillId="0" borderId="0" xfId="0" applyFont="1" applyBorder="1" applyAlignment="1">
      <alignment horizontal="center" vertical="center"/>
    </xf>
    <xf numFmtId="0" fontId="62" fillId="0" borderId="0" xfId="0" applyFont="1" applyBorder="1" applyAlignment="1">
      <alignment horizontal="left" vertical="center"/>
    </xf>
    <xf numFmtId="0" fontId="66" fillId="0" borderId="0" xfId="0" applyFont="1" applyAlignment="1">
      <alignment horizontal="right"/>
    </xf>
    <xf numFmtId="0" fontId="62" fillId="0" borderId="22" xfId="0" applyFont="1" applyBorder="1" applyAlignment="1">
      <alignment horizontal="right"/>
    </xf>
    <xf numFmtId="0" fontId="62" fillId="0" borderId="0" xfId="0" quotePrefix="1" applyFont="1"/>
    <xf numFmtId="0" fontId="62" fillId="0" borderId="0" xfId="0" quotePrefix="1" applyFont="1" applyBorder="1"/>
    <xf numFmtId="0" fontId="62" fillId="0" borderId="0" xfId="0" applyFont="1" applyAlignment="1">
      <alignment horizontal="center"/>
    </xf>
    <xf numFmtId="0" fontId="66" fillId="0" borderId="22" xfId="0" applyFont="1" applyBorder="1" applyAlignment="1">
      <alignment horizontal="right" vertical="center" wrapText="1"/>
    </xf>
    <xf numFmtId="0" fontId="3" fillId="0" borderId="14" xfId="0" applyFont="1" applyBorder="1" applyAlignment="1">
      <alignment horizontal="center" vertical="center"/>
    </xf>
    <xf numFmtId="0" fontId="3" fillId="0" borderId="22" xfId="0" applyFont="1" applyBorder="1" applyAlignment="1">
      <alignment horizontal="center" vertical="center"/>
    </xf>
    <xf numFmtId="2" fontId="3" fillId="0" borderId="16" xfId="0" applyNumberFormat="1" applyFont="1" applyBorder="1" applyAlignment="1">
      <alignment horizontal="center" vertical="center"/>
    </xf>
    <xf numFmtId="0" fontId="3" fillId="0" borderId="19" xfId="0" applyFont="1" applyBorder="1" applyAlignment="1">
      <alignment vertical="center"/>
    </xf>
    <xf numFmtId="0" fontId="3" fillId="0" borderId="16" xfId="0" applyFont="1" applyBorder="1" applyAlignment="1">
      <alignment vertical="center"/>
    </xf>
    <xf numFmtId="0" fontId="3" fillId="0" borderId="19" xfId="0" quotePrefix="1" applyFont="1" applyBorder="1" applyAlignment="1">
      <alignment horizontal="center" vertical="center"/>
    </xf>
    <xf numFmtId="0" fontId="3" fillId="0" borderId="0" xfId="0" quotePrefix="1" applyFont="1" applyBorder="1" applyAlignment="1">
      <alignment horizontal="center" vertical="center"/>
    </xf>
    <xf numFmtId="0" fontId="3" fillId="0" borderId="16" xfId="0" quotePrefix="1" applyFont="1" applyBorder="1" applyAlignment="1">
      <alignment horizontal="center" vertical="center"/>
    </xf>
    <xf numFmtId="0" fontId="3" fillId="0" borderId="14" xfId="0" applyFont="1" applyBorder="1" applyAlignment="1">
      <alignment vertical="center"/>
    </xf>
    <xf numFmtId="0" fontId="3" fillId="0" borderId="14" xfId="0" quotePrefix="1" applyFont="1" applyBorder="1" applyAlignment="1">
      <alignment horizontal="center" vertical="center"/>
    </xf>
    <xf numFmtId="0" fontId="3" fillId="0" borderId="10" xfId="0" quotePrefix="1" applyFont="1" applyBorder="1" applyAlignment="1">
      <alignment horizontal="center" vertical="center"/>
    </xf>
    <xf numFmtId="0" fontId="3" fillId="0" borderId="15" xfId="0" quotePrefix="1" applyFont="1" applyBorder="1" applyAlignment="1">
      <alignment horizontal="center" vertical="center"/>
    </xf>
    <xf numFmtId="0" fontId="23" fillId="0" borderId="19" xfId="0" applyFont="1" applyBorder="1" applyAlignment="1">
      <alignment horizontal="center" vertical="center"/>
    </xf>
    <xf numFmtId="0" fontId="3" fillId="0" borderId="16" xfId="0" applyFont="1" applyFill="1" applyBorder="1" applyAlignment="1">
      <alignment vertical="center"/>
    </xf>
    <xf numFmtId="0" fontId="21" fillId="0" borderId="12" xfId="0" applyFont="1" applyBorder="1" applyAlignment="1">
      <alignment horizontal="left" vertical="center"/>
    </xf>
    <xf numFmtId="0" fontId="3" fillId="0" borderId="12" xfId="0" applyFont="1" applyFill="1" applyBorder="1" applyAlignment="1">
      <alignment horizontal="center" vertical="center"/>
    </xf>
    <xf numFmtId="0" fontId="3" fillId="0" borderId="16" xfId="0" applyFont="1" applyFill="1" applyBorder="1" applyAlignment="1">
      <alignment horizontal="center" vertical="center"/>
    </xf>
    <xf numFmtId="0" fontId="17" fillId="0" borderId="12" xfId="0" applyFont="1" applyBorder="1" applyAlignment="1">
      <alignment horizontal="left" vertical="center"/>
    </xf>
    <xf numFmtId="0" fontId="3" fillId="0" borderId="20" xfId="0" applyFont="1" applyBorder="1" applyAlignment="1" applyProtection="1">
      <alignment horizontal="center" vertical="center"/>
      <protection locked="0"/>
    </xf>
    <xf numFmtId="2" fontId="3" fillId="0" borderId="18" xfId="0" applyNumberFormat="1" applyFont="1" applyBorder="1" applyAlignment="1">
      <alignment horizontal="center" vertical="center" wrapText="1"/>
    </xf>
    <xf numFmtId="0" fontId="3" fillId="0" borderId="20" xfId="0" quotePrefix="1" applyFont="1" applyBorder="1" applyAlignment="1" applyProtection="1">
      <alignment horizontal="center" vertical="center"/>
      <protection locked="0"/>
    </xf>
    <xf numFmtId="2" fontId="3" fillId="0" borderId="18" xfId="0" applyNumberFormat="1" applyFont="1" applyBorder="1" applyAlignment="1">
      <alignment horizontal="center" vertical="center"/>
    </xf>
    <xf numFmtId="2" fontId="3" fillId="0" borderId="13" xfId="0" applyNumberFormat="1" applyFont="1" applyBorder="1" applyAlignment="1">
      <alignment horizontal="center" vertical="center" wrapText="1"/>
    </xf>
    <xf numFmtId="0" fontId="3" fillId="0" borderId="14" xfId="0" quotePrefix="1" applyFont="1" applyBorder="1" applyAlignment="1" applyProtection="1">
      <alignment horizontal="center" vertical="center"/>
      <protection locked="0"/>
    </xf>
    <xf numFmtId="2" fontId="3" fillId="0" borderId="13" xfId="0" applyNumberFormat="1" applyFont="1" applyBorder="1" applyAlignment="1">
      <alignment horizontal="center" vertical="center"/>
    </xf>
    <xf numFmtId="0" fontId="3" fillId="0" borderId="14" xfId="0" applyFont="1" applyBorder="1" applyAlignment="1" applyProtection="1">
      <alignment horizontal="center" vertical="center" wrapText="1"/>
      <protection locked="0"/>
    </xf>
    <xf numFmtId="2" fontId="3" fillId="0" borderId="12" xfId="0" applyNumberFormat="1" applyFont="1" applyBorder="1" applyAlignment="1">
      <alignment horizontal="center" vertical="center" wrapText="1"/>
    </xf>
    <xf numFmtId="0" fontId="3" fillId="0" borderId="19" xfId="0" quotePrefix="1" applyFont="1" applyBorder="1" applyAlignment="1" applyProtection="1">
      <alignment horizontal="center" vertical="center"/>
      <protection locked="0"/>
    </xf>
    <xf numFmtId="1" fontId="3" fillId="0" borderId="12" xfId="0" applyNumberFormat="1" applyFont="1" applyBorder="1" applyAlignment="1">
      <alignment horizontal="center" vertical="center"/>
    </xf>
    <xf numFmtId="1" fontId="3" fillId="0" borderId="18" xfId="0" applyNumberFormat="1" applyFont="1" applyBorder="1" applyAlignment="1">
      <alignment horizontal="center" vertical="center"/>
    </xf>
    <xf numFmtId="165" fontId="3" fillId="0" borderId="19" xfId="0" applyNumberFormat="1" applyFont="1" applyBorder="1" applyAlignment="1">
      <alignment horizontal="center" vertical="center"/>
    </xf>
    <xf numFmtId="1" fontId="3" fillId="0" borderId="13" xfId="0" applyNumberFormat="1" applyFont="1" applyBorder="1" applyAlignment="1">
      <alignment horizontal="center" vertical="center"/>
    </xf>
    <xf numFmtId="165" fontId="3" fillId="0" borderId="13" xfId="0" applyNumberFormat="1" applyFont="1" applyBorder="1" applyAlignment="1">
      <alignment horizontal="center" vertical="center"/>
    </xf>
    <xf numFmtId="0" fontId="18" fillId="0" borderId="21" xfId="0" applyFont="1" applyFill="1" applyBorder="1" applyAlignment="1">
      <alignment horizontal="center" vertical="center"/>
    </xf>
    <xf numFmtId="0" fontId="59" fillId="0" borderId="20" xfId="0" applyFont="1" applyFill="1" applyBorder="1" applyAlignment="1">
      <alignment horizontal="center" vertical="center"/>
    </xf>
    <xf numFmtId="2" fontId="0" fillId="0" borderId="14" xfId="0" applyNumberFormat="1" applyBorder="1" applyAlignment="1" applyProtection="1">
      <alignment horizontal="center" vertical="center"/>
      <protection locked="0"/>
    </xf>
    <xf numFmtId="0" fontId="3" fillId="0" borderId="0" xfId="0" applyFont="1" applyFill="1" applyBorder="1" applyAlignment="1">
      <alignment horizontal="center" vertical="center"/>
    </xf>
    <xf numFmtId="0" fontId="0" fillId="0" borderId="12" xfId="0" quotePrefix="1" applyBorder="1" applyAlignment="1">
      <alignment horizontal="center"/>
    </xf>
    <xf numFmtId="2" fontId="18" fillId="0" borderId="18" xfId="0" applyNumberFormat="1" applyFont="1" applyBorder="1" applyAlignment="1">
      <alignment horizontal="center" vertical="center"/>
    </xf>
    <xf numFmtId="165" fontId="0" fillId="0" borderId="16" xfId="0" applyNumberFormat="1" applyBorder="1" applyAlignment="1">
      <alignment horizontal="center" vertical="center"/>
    </xf>
    <xf numFmtId="1" fontId="0" fillId="0" borderId="19" xfId="0" applyNumberFormat="1" applyBorder="1" applyAlignment="1">
      <alignment horizontal="center" vertical="center"/>
    </xf>
    <xf numFmtId="1" fontId="3" fillId="0" borderId="0" xfId="0" applyNumberFormat="1" applyFont="1" applyBorder="1" applyAlignment="1">
      <alignment horizontal="center" vertical="center"/>
    </xf>
    <xf numFmtId="0" fontId="59" fillId="0" borderId="0" xfId="0" applyFont="1" applyBorder="1" applyAlignment="1">
      <alignment horizontal="left" vertical="center"/>
    </xf>
    <xf numFmtId="0" fontId="3" fillId="0" borderId="12" xfId="0" applyFont="1" applyFill="1" applyBorder="1" applyAlignment="1" applyProtection="1">
      <alignment horizontal="center" vertical="center"/>
      <protection locked="0"/>
    </xf>
    <xf numFmtId="1" fontId="0" fillId="0" borderId="16" xfId="0" applyNumberFormat="1" applyBorder="1" applyAlignment="1">
      <alignment horizontal="center" vertical="center"/>
    </xf>
    <xf numFmtId="0" fontId="72" fillId="0" borderId="0" xfId="0" applyFont="1" applyAlignment="1">
      <alignment vertical="top"/>
    </xf>
    <xf numFmtId="0" fontId="62" fillId="0" borderId="0" xfId="0" applyFont="1" applyBorder="1" applyAlignment="1">
      <alignment horizontal="left" vertical="top"/>
    </xf>
    <xf numFmtId="0" fontId="17" fillId="0" borderId="0" xfId="0" applyFont="1" applyAlignment="1">
      <alignment horizontal="center"/>
    </xf>
    <xf numFmtId="0" fontId="92" fillId="0" borderId="0" xfId="0" applyFont="1" applyAlignment="1">
      <alignment horizontal="center"/>
    </xf>
    <xf numFmtId="0" fontId="22" fillId="0" borderId="0" xfId="0" applyFont="1" applyBorder="1" applyAlignment="1">
      <alignment horizontal="center" vertical="center"/>
    </xf>
    <xf numFmtId="0" fontId="8" fillId="0" borderId="0" xfId="0" applyFont="1" applyAlignment="1">
      <alignment vertical="center"/>
    </xf>
    <xf numFmtId="0" fontId="93" fillId="0" borderId="0" xfId="0" applyFont="1" applyBorder="1" applyAlignment="1">
      <alignment horizontal="center" vertical="center"/>
    </xf>
    <xf numFmtId="0" fontId="27" fillId="0" borderId="0" xfId="0" applyFont="1" applyBorder="1" applyAlignment="1">
      <alignment horizontal="center" vertical="center"/>
    </xf>
    <xf numFmtId="0" fontId="27" fillId="0" borderId="16" xfId="0" applyFont="1" applyBorder="1" applyAlignment="1">
      <alignment horizontal="center" vertical="center"/>
    </xf>
    <xf numFmtId="0" fontId="3" fillId="0" borderId="11" xfId="0" quotePrefix="1" applyFont="1" applyBorder="1" applyAlignment="1">
      <alignment horizontal="center" vertical="center" wrapText="1"/>
    </xf>
    <xf numFmtId="0" fontId="55" fillId="0" borderId="15" xfId="0" quotePrefix="1" applyFont="1" applyBorder="1" applyAlignment="1">
      <alignment horizontal="center" vertical="center"/>
    </xf>
    <xf numFmtId="0" fontId="94" fillId="0" borderId="0" xfId="0" quotePrefix="1" applyFont="1" applyBorder="1" applyAlignment="1">
      <alignment horizontal="center" vertical="center"/>
    </xf>
    <xf numFmtId="0" fontId="94" fillId="0" borderId="16" xfId="0" quotePrefix="1" applyFont="1" applyBorder="1" applyAlignment="1">
      <alignment horizontal="center" vertical="center"/>
    </xf>
    <xf numFmtId="2" fontId="8" fillId="0" borderId="0" xfId="0" applyNumberFormat="1" applyFont="1" applyBorder="1" applyAlignment="1">
      <alignment horizontal="center" vertical="center"/>
    </xf>
    <xf numFmtId="2" fontId="8" fillId="0" borderId="16" xfId="0" applyNumberFormat="1" applyFont="1" applyBorder="1" applyAlignment="1">
      <alignment horizontal="center" vertical="center"/>
    </xf>
    <xf numFmtId="165" fontId="8" fillId="0" borderId="0" xfId="0" applyNumberFormat="1" applyFont="1" applyBorder="1" applyAlignment="1">
      <alignment horizontal="center" vertical="center"/>
    </xf>
    <xf numFmtId="165" fontId="8" fillId="0" borderId="16" xfId="0" applyNumberFormat="1" applyFont="1" applyBorder="1" applyAlignment="1">
      <alignment horizontal="center" vertical="center"/>
    </xf>
    <xf numFmtId="165" fontId="95" fillId="0" borderId="0" xfId="0" applyNumberFormat="1" applyFont="1" applyBorder="1" applyAlignment="1">
      <alignment horizontal="center" vertical="center"/>
    </xf>
    <xf numFmtId="165" fontId="95" fillId="0" borderId="16" xfId="0" applyNumberFormat="1" applyFont="1" applyBorder="1" applyAlignment="1">
      <alignment horizontal="center" vertical="center"/>
    </xf>
    <xf numFmtId="0" fontId="96" fillId="0" borderId="0" xfId="0" applyFont="1" applyAlignment="1">
      <alignment vertical="center"/>
    </xf>
    <xf numFmtId="0" fontId="97" fillId="0" borderId="0" xfId="0" applyFont="1" applyAlignment="1">
      <alignment vertical="center"/>
    </xf>
    <xf numFmtId="1" fontId="8" fillId="0" borderId="0" xfId="0" applyNumberFormat="1" applyFont="1" applyBorder="1" applyAlignment="1">
      <alignment horizontal="center" vertical="center"/>
    </xf>
    <xf numFmtId="1" fontId="8" fillId="0" borderId="16" xfId="0" applyNumberFormat="1" applyFont="1" applyBorder="1" applyAlignment="1">
      <alignment horizontal="center" vertical="center"/>
    </xf>
    <xf numFmtId="0" fontId="73" fillId="0" borderId="0" xfId="0" applyFont="1" applyAlignment="1">
      <alignment vertical="center"/>
    </xf>
    <xf numFmtId="0" fontId="13" fillId="0" borderId="0" xfId="0" applyFont="1" applyAlignment="1">
      <alignment vertical="center"/>
    </xf>
    <xf numFmtId="0" fontId="98" fillId="0" borderId="0" xfId="0" applyFont="1" applyAlignment="1">
      <alignment vertical="center"/>
    </xf>
    <xf numFmtId="0" fontId="27" fillId="0" borderId="0" xfId="0" applyFont="1" applyBorder="1" applyAlignment="1">
      <alignment horizontal="left" vertical="center"/>
    </xf>
    <xf numFmtId="0" fontId="27" fillId="0" borderId="0" xfId="0" applyFont="1" applyAlignment="1">
      <alignment horizontal="left" vertical="center"/>
    </xf>
    <xf numFmtId="1" fontId="59" fillId="0" borderId="12" xfId="0" applyNumberFormat="1" applyFont="1" applyBorder="1" applyAlignment="1">
      <alignment horizontal="center" vertical="center"/>
    </xf>
    <xf numFmtId="0" fontId="0" fillId="0" borderId="22" xfId="0" applyBorder="1" applyAlignment="1">
      <alignment vertical="center" wrapText="1"/>
    </xf>
    <xf numFmtId="0" fontId="0" fillId="0" borderId="22" xfId="0" applyBorder="1" applyAlignment="1">
      <alignment vertical="center"/>
    </xf>
    <xf numFmtId="0" fontId="62" fillId="0" borderId="22" xfId="0" applyFont="1" applyBorder="1" applyAlignment="1"/>
    <xf numFmtId="165" fontId="0" fillId="0" borderId="13" xfId="0" quotePrefix="1" applyNumberFormat="1" applyBorder="1" applyAlignment="1">
      <alignment horizontal="center" vertical="center"/>
    </xf>
    <xf numFmtId="0" fontId="72" fillId="0" borderId="0" xfId="0" applyFont="1" applyAlignment="1">
      <alignment horizontal="left" vertical="top"/>
    </xf>
    <xf numFmtId="0" fontId="66" fillId="0" borderId="0" xfId="0" applyFont="1" applyAlignment="1">
      <alignment horizontal="right" vertical="top"/>
    </xf>
    <xf numFmtId="0" fontId="28" fillId="0" borderId="17" xfId="0" quotePrefix="1" applyFont="1" applyFill="1" applyBorder="1" applyAlignment="1">
      <alignment horizontal="center" vertical="center"/>
    </xf>
    <xf numFmtId="165" fontId="0" fillId="0" borderId="12" xfId="0" quotePrefix="1" applyNumberFormat="1" applyBorder="1" applyAlignment="1">
      <alignment horizontal="center" vertical="center"/>
    </xf>
    <xf numFmtId="0" fontId="72" fillId="0" borderId="0" xfId="0" applyFont="1" applyAlignment="1">
      <alignment vertical="center"/>
    </xf>
    <xf numFmtId="0" fontId="25" fillId="0" borderId="12" xfId="0" applyFont="1" applyBorder="1" applyAlignment="1">
      <alignment horizontal="center"/>
    </xf>
    <xf numFmtId="0" fontId="25" fillId="0" borderId="21" xfId="0" applyFont="1" applyBorder="1" applyAlignment="1">
      <alignment horizontal="center"/>
    </xf>
    <xf numFmtId="0" fontId="25" fillId="0" borderId="16" xfId="0" applyFont="1" applyBorder="1" applyAlignment="1">
      <alignment horizontal="center"/>
    </xf>
    <xf numFmtId="0" fontId="11" fillId="0" borderId="15" xfId="0" applyFont="1" applyBorder="1"/>
    <xf numFmtId="0" fontId="103" fillId="0" borderId="0" xfId="0" applyFont="1"/>
    <xf numFmtId="0" fontId="32" fillId="0" borderId="0" xfId="0" applyFont="1" applyAlignment="1">
      <alignment horizontal="left"/>
    </xf>
    <xf numFmtId="0" fontId="0" fillId="0" borderId="12" xfId="0" quotePrefix="1" applyBorder="1" applyAlignment="1">
      <alignment horizontal="center" vertical="center"/>
    </xf>
    <xf numFmtId="0" fontId="3" fillId="0" borderId="22" xfId="0" applyFont="1" applyBorder="1" applyAlignment="1" applyProtection="1">
      <alignment horizontal="center" vertical="center"/>
      <protection locked="0"/>
    </xf>
    <xf numFmtId="0" fontId="3" fillId="0" borderId="21" xfId="0" applyFont="1" applyBorder="1" applyAlignment="1" applyProtection="1">
      <alignment horizontal="center" vertical="center"/>
      <protection locked="0"/>
    </xf>
    <xf numFmtId="0" fontId="18" fillId="0" borderId="20" xfId="0" quotePrefix="1" applyFont="1" applyFill="1" applyBorder="1" applyAlignment="1">
      <alignment horizontal="center" vertical="center"/>
    </xf>
    <xf numFmtId="0" fontId="59" fillId="0" borderId="19" xfId="0" applyFont="1" applyBorder="1" applyAlignment="1">
      <alignment horizontal="center" vertical="center" shrinkToFit="1"/>
    </xf>
    <xf numFmtId="0" fontId="59" fillId="0" borderId="14" xfId="0" applyFont="1" applyBorder="1" applyAlignment="1">
      <alignment horizontal="center" vertical="center" shrinkToFit="1"/>
    </xf>
    <xf numFmtId="167" fontId="3" fillId="0" borderId="12" xfId="0" applyNumberFormat="1" applyFont="1" applyBorder="1" applyAlignment="1">
      <alignment horizontal="center" vertical="center"/>
    </xf>
    <xf numFmtId="167" fontId="3" fillId="0" borderId="13" xfId="0" applyNumberFormat="1" applyFont="1" applyBorder="1" applyAlignment="1">
      <alignment horizontal="center" vertical="center"/>
    </xf>
    <xf numFmtId="0" fontId="57" fillId="0" borderId="0" xfId="0" applyFont="1" applyBorder="1" applyAlignment="1">
      <alignment horizontal="center"/>
    </xf>
    <xf numFmtId="0" fontId="57" fillId="0" borderId="0" xfId="0" applyFont="1" applyBorder="1" applyAlignment="1">
      <alignment horizontal="center" vertical="center"/>
    </xf>
    <xf numFmtId="0" fontId="57" fillId="0" borderId="10" xfId="0" applyFont="1" applyBorder="1" applyAlignment="1">
      <alignment horizontal="center" vertical="center"/>
    </xf>
    <xf numFmtId="0" fontId="16" fillId="0" borderId="14" xfId="0" applyFont="1" applyBorder="1" applyAlignment="1">
      <alignment horizontal="center" vertical="center" wrapText="1"/>
    </xf>
    <xf numFmtId="0" fontId="0" fillId="0" borderId="22" xfId="0" applyBorder="1" applyAlignment="1">
      <alignment horizontal="center" vertical="center"/>
    </xf>
    <xf numFmtId="0" fontId="8" fillId="0" borderId="0" xfId="0" applyFont="1" applyAlignment="1">
      <alignment horizontal="left"/>
    </xf>
    <xf numFmtId="0" fontId="3" fillId="0" borderId="10" xfId="0" applyFont="1" applyBorder="1" applyAlignment="1">
      <alignment vertical="center"/>
    </xf>
    <xf numFmtId="0" fontId="93" fillId="0" borderId="16" xfId="0" applyFont="1" applyBorder="1" applyAlignment="1">
      <alignment horizontal="center" vertical="center"/>
    </xf>
    <xf numFmtId="2" fontId="0" fillId="0" borderId="18" xfId="0" applyNumberFormat="1" applyBorder="1" applyAlignment="1">
      <alignment horizontal="right" vertical="center"/>
    </xf>
    <xf numFmtId="2" fontId="0" fillId="0" borderId="12" xfId="0" applyNumberFormat="1" applyBorder="1" applyAlignment="1">
      <alignment horizontal="right" vertical="center"/>
    </xf>
    <xf numFmtId="2" fontId="0" fillId="0" borderId="13" xfId="0" applyNumberFormat="1" applyBorder="1" applyAlignment="1">
      <alignment horizontal="right" vertical="center"/>
    </xf>
    <xf numFmtId="0" fontId="106" fillId="0" borderId="0" xfId="0" applyFont="1" applyAlignment="1">
      <alignment vertical="center"/>
    </xf>
    <xf numFmtId="0" fontId="59" fillId="0" borderId="13" xfId="0" applyFont="1" applyBorder="1" applyAlignment="1">
      <alignment horizontal="center" vertical="top" wrapText="1"/>
    </xf>
    <xf numFmtId="1" fontId="3" fillId="0" borderId="0" xfId="0" quotePrefix="1" applyNumberFormat="1" applyFont="1" applyBorder="1" applyAlignment="1" applyProtection="1">
      <alignment horizontal="center" vertical="center"/>
      <protection locked="0"/>
    </xf>
    <xf numFmtId="1" fontId="3" fillId="0" borderId="0" xfId="0" applyNumberFormat="1" applyFont="1" applyBorder="1" applyAlignment="1" applyProtection="1">
      <alignment horizontal="center" vertical="center"/>
      <protection locked="0"/>
    </xf>
    <xf numFmtId="1" fontId="3" fillId="0" borderId="19" xfId="0" quotePrefix="1" applyNumberFormat="1" applyFont="1" applyBorder="1" applyAlignment="1" applyProtection="1">
      <alignment horizontal="center" vertical="center"/>
      <protection locked="0"/>
    </xf>
    <xf numFmtId="1" fontId="3" fillId="0" borderId="0" xfId="0" quotePrefix="1" applyNumberFormat="1" applyFont="1" applyBorder="1" applyAlignment="1">
      <alignment horizontal="center" vertical="center"/>
    </xf>
    <xf numFmtId="1" fontId="3" fillId="0" borderId="19" xfId="0" applyNumberFormat="1" applyFont="1" applyFill="1" applyBorder="1" applyAlignment="1" applyProtection="1">
      <alignment horizontal="center" vertical="center"/>
      <protection locked="0"/>
    </xf>
    <xf numFmtId="1" fontId="3" fillId="0" borderId="19" xfId="0" quotePrefix="1" applyNumberFormat="1" applyFont="1" applyFill="1" applyBorder="1" applyAlignment="1">
      <alignment horizontal="center" vertical="center"/>
    </xf>
    <xf numFmtId="2" fontId="3" fillId="0" borderId="0" xfId="0" applyNumberFormat="1" applyFont="1" applyAlignment="1">
      <alignment horizontal="center" vertical="center"/>
    </xf>
    <xf numFmtId="0" fontId="3" fillId="0" borderId="20" xfId="0" applyFont="1" applyBorder="1" applyAlignment="1">
      <alignment horizontal="center" vertical="center"/>
    </xf>
    <xf numFmtId="0" fontId="45" fillId="0" borderId="19" xfId="0" applyFont="1" applyBorder="1" applyAlignment="1" applyProtection="1">
      <alignment horizontal="center" vertical="center"/>
      <protection locked="0"/>
    </xf>
    <xf numFmtId="0" fontId="45" fillId="0" borderId="12" xfId="0" applyFont="1" applyBorder="1" applyAlignment="1" applyProtection="1">
      <alignment horizontal="center" vertical="center"/>
      <protection locked="0"/>
    </xf>
    <xf numFmtId="0" fontId="62" fillId="0" borderId="22" xfId="0" applyFont="1" applyBorder="1" applyAlignment="1" applyProtection="1">
      <alignment vertical="center"/>
      <protection locked="0"/>
    </xf>
    <xf numFmtId="0" fontId="59" fillId="0" borderId="16" xfId="0" applyFont="1" applyFill="1" applyBorder="1"/>
    <xf numFmtId="2" fontId="3" fillId="0" borderId="18" xfId="0" applyNumberFormat="1" applyFont="1" applyBorder="1" applyAlignment="1">
      <alignment horizontal="right" vertical="center"/>
    </xf>
    <xf numFmtId="2" fontId="3" fillId="0" borderId="12" xfId="0" applyNumberFormat="1" applyFont="1" applyBorder="1" applyAlignment="1">
      <alignment horizontal="right" vertical="center"/>
    </xf>
    <xf numFmtId="2" fontId="3" fillId="0" borderId="13" xfId="0" applyNumberFormat="1" applyFont="1" applyBorder="1" applyAlignment="1">
      <alignment horizontal="right" vertical="center"/>
    </xf>
    <xf numFmtId="0" fontId="45" fillId="0" borderId="12" xfId="0" applyFont="1" applyBorder="1" applyAlignment="1">
      <alignment horizontal="center" vertical="center"/>
    </xf>
    <xf numFmtId="0" fontId="45" fillId="0" borderId="0" xfId="0" applyFont="1" applyAlignment="1">
      <alignment horizontal="center" vertical="center"/>
    </xf>
    <xf numFmtId="0" fontId="58" fillId="0" borderId="13" xfId="0" applyFont="1" applyBorder="1" applyAlignment="1">
      <alignment horizontal="center" vertical="center"/>
    </xf>
    <xf numFmtId="0" fontId="8" fillId="0" borderId="0" xfId="0" applyFont="1" applyAlignment="1"/>
    <xf numFmtId="0" fontId="8" fillId="0" borderId="0" xfId="0" applyFont="1" applyFill="1" applyBorder="1" applyAlignment="1" applyProtection="1">
      <protection locked="0"/>
    </xf>
    <xf numFmtId="0" fontId="8" fillId="0" borderId="0" xfId="0" applyFont="1" applyFill="1" applyBorder="1" applyProtection="1">
      <protection locked="0"/>
    </xf>
    <xf numFmtId="0" fontId="66" fillId="0" borderId="22" xfId="0" applyFont="1" applyBorder="1" applyAlignment="1">
      <alignment horizontal="right" vertical="top"/>
    </xf>
    <xf numFmtId="0" fontId="3" fillId="0" borderId="20"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13" xfId="0" applyFont="1" applyBorder="1" applyAlignment="1">
      <alignment vertical="center"/>
    </xf>
    <xf numFmtId="0" fontId="107" fillId="0" borderId="0" xfId="0" applyFont="1"/>
    <xf numFmtId="0" fontId="50" fillId="0" borderId="0" xfId="0" applyFont="1" applyAlignment="1">
      <alignment horizontal="center" vertical="center"/>
    </xf>
    <xf numFmtId="0" fontId="3" fillId="0" borderId="23" xfId="0" applyFont="1" applyBorder="1" applyAlignment="1">
      <alignment horizontal="center" vertical="center"/>
    </xf>
    <xf numFmtId="0" fontId="3" fillId="0" borderId="17" xfId="0" applyFont="1" applyBorder="1" applyAlignment="1">
      <alignment horizontal="center" vertical="center"/>
    </xf>
    <xf numFmtId="0" fontId="3" fillId="0" borderId="24" xfId="0" applyFont="1" applyBorder="1" applyAlignment="1">
      <alignment horizontal="center" vertical="center"/>
    </xf>
    <xf numFmtId="0" fontId="3" fillId="0" borderId="11" xfId="0" applyFont="1" applyBorder="1" applyAlignment="1">
      <alignment horizontal="center" vertical="center"/>
    </xf>
    <xf numFmtId="0" fontId="3" fillId="0" borderId="11" xfId="0" quotePrefix="1" applyFont="1" applyBorder="1" applyAlignment="1">
      <alignment horizontal="center" vertical="center"/>
    </xf>
    <xf numFmtId="0" fontId="3" fillId="0" borderId="24" xfId="0" quotePrefix="1" applyFont="1" applyFill="1" applyBorder="1" applyAlignment="1">
      <alignment horizontal="center" vertical="center"/>
    </xf>
    <xf numFmtId="0" fontId="3" fillId="0" borderId="11" xfId="0" quotePrefix="1" applyFont="1" applyFill="1" applyBorder="1" applyAlignment="1">
      <alignment horizontal="center" vertical="center"/>
    </xf>
    <xf numFmtId="0" fontId="107" fillId="0" borderId="11" xfId="0" applyFont="1" applyBorder="1" applyAlignment="1">
      <alignment horizontal="center" vertical="center"/>
    </xf>
    <xf numFmtId="0" fontId="107" fillId="0" borderId="17" xfId="0" applyFont="1" applyBorder="1" applyAlignment="1">
      <alignment horizontal="center" vertical="center"/>
    </xf>
    <xf numFmtId="0" fontId="107" fillId="0" borderId="24" xfId="0" applyFont="1" applyBorder="1" applyAlignment="1">
      <alignment horizontal="center" vertical="center"/>
    </xf>
    <xf numFmtId="0" fontId="2" fillId="0" borderId="11" xfId="0" applyFont="1" applyBorder="1" applyAlignment="1">
      <alignment horizontal="center" vertical="center"/>
    </xf>
    <xf numFmtId="0" fontId="107" fillId="0" borderId="0" xfId="0" applyFont="1" applyBorder="1"/>
    <xf numFmtId="0" fontId="3" fillId="0" borderId="0" xfId="0" applyFont="1" applyAlignment="1">
      <alignment horizontal="right"/>
    </xf>
    <xf numFmtId="0" fontId="3" fillId="0" borderId="10" xfId="0" applyFont="1" applyBorder="1" applyAlignment="1">
      <alignment horizontal="right"/>
    </xf>
    <xf numFmtId="0" fontId="3" fillId="0" borderId="13" xfId="0" quotePrefix="1" applyFont="1" applyBorder="1" applyAlignment="1">
      <alignment horizontal="center" vertical="center"/>
    </xf>
    <xf numFmtId="0" fontId="3" fillId="0" borderId="11" xfId="0" applyFont="1" applyFill="1" applyBorder="1" applyAlignment="1">
      <alignment horizontal="center" vertical="center"/>
    </xf>
    <xf numFmtId="0" fontId="3" fillId="0" borderId="24" xfId="0" quotePrefix="1" applyFont="1" applyBorder="1" applyAlignment="1">
      <alignment horizontal="center" vertical="center"/>
    </xf>
    <xf numFmtId="0" fontId="3" fillId="0" borderId="17" xfId="0" quotePrefix="1" applyFont="1" applyBorder="1" applyAlignment="1">
      <alignment horizontal="center" vertical="center"/>
    </xf>
    <xf numFmtId="0" fontId="3" fillId="0" borderId="19" xfId="0" applyFont="1" applyFill="1" applyBorder="1" applyAlignment="1">
      <alignment horizontal="center" vertical="center"/>
    </xf>
    <xf numFmtId="0" fontId="107" fillId="0" borderId="12" xfId="0" applyFont="1" applyBorder="1" applyAlignment="1">
      <alignment horizontal="center" vertical="center"/>
    </xf>
    <xf numFmtId="1" fontId="107" fillId="0" borderId="18" xfId="0" applyNumberFormat="1" applyFont="1" applyBorder="1" applyAlignment="1">
      <alignment horizontal="center" vertical="center"/>
    </xf>
    <xf numFmtId="0" fontId="107" fillId="0" borderId="13" xfId="0" applyFont="1" applyBorder="1" applyAlignment="1">
      <alignment horizontal="center" vertical="center"/>
    </xf>
    <xf numFmtId="0" fontId="107" fillId="0" borderId="13" xfId="0" quotePrefix="1" applyFont="1" applyBorder="1" applyAlignment="1">
      <alignment horizontal="center" vertical="center"/>
    </xf>
    <xf numFmtId="0" fontId="2" fillId="0" borderId="24" xfId="0" applyFont="1" applyBorder="1" applyAlignment="1">
      <alignment horizontal="center" vertical="center"/>
    </xf>
    <xf numFmtId="0" fontId="107" fillId="0" borderId="0" xfId="0" applyFont="1" applyAlignment="1">
      <alignment horizontal="right"/>
    </xf>
    <xf numFmtId="0" fontId="3" fillId="0" borderId="24" xfId="0" applyFont="1" applyBorder="1" applyAlignment="1">
      <alignment horizontal="center"/>
    </xf>
    <xf numFmtId="0" fontId="3" fillId="0" borderId="23" xfId="0" applyFont="1" applyBorder="1" applyAlignment="1">
      <alignment horizontal="center"/>
    </xf>
    <xf numFmtId="0" fontId="2" fillId="0" borderId="17" xfId="0" applyFont="1" applyBorder="1" applyAlignment="1">
      <alignment horizontal="center"/>
    </xf>
    <xf numFmtId="0" fontId="107" fillId="0" borderId="0" xfId="0" applyFont="1" applyAlignment="1">
      <alignment vertical="center"/>
    </xf>
    <xf numFmtId="0" fontId="50" fillId="0" borderId="0" xfId="0" applyFont="1" applyBorder="1" applyAlignment="1">
      <alignment horizontal="center"/>
    </xf>
    <xf numFmtId="0" fontId="2" fillId="0" borderId="10" xfId="0" applyFont="1" applyBorder="1" applyAlignment="1">
      <alignment horizontal="left" vertical="center"/>
    </xf>
    <xf numFmtId="0" fontId="6" fillId="0" borderId="10" xfId="0" quotePrefix="1" applyFont="1" applyBorder="1" applyAlignment="1">
      <alignment horizontal="right"/>
    </xf>
    <xf numFmtId="0" fontId="45" fillId="0" borderId="19" xfId="0" applyFont="1" applyBorder="1" applyAlignment="1">
      <alignment horizontal="center" vertical="center"/>
    </xf>
    <xf numFmtId="0" fontId="45" fillId="0" borderId="12" xfId="0" quotePrefix="1" applyFont="1" applyBorder="1" applyAlignment="1">
      <alignment horizontal="center" vertical="center"/>
    </xf>
    <xf numFmtId="0" fontId="45" fillId="0" borderId="13" xfId="0" applyFont="1" applyBorder="1" applyAlignment="1">
      <alignment horizontal="center" vertical="center"/>
    </xf>
    <xf numFmtId="0" fontId="45" fillId="0" borderId="11" xfId="0" quotePrefix="1" applyFont="1" applyBorder="1" applyAlignment="1">
      <alignment horizontal="center" vertical="center"/>
    </xf>
    <xf numFmtId="0" fontId="45" fillId="0" borderId="24" xfId="0" quotePrefix="1" applyFont="1" applyBorder="1" applyAlignment="1">
      <alignment horizontal="center" vertical="center"/>
    </xf>
    <xf numFmtId="0" fontId="45" fillId="0" borderId="23" xfId="0" quotePrefix="1" applyFont="1" applyBorder="1" applyAlignment="1">
      <alignment horizontal="center" vertical="center"/>
    </xf>
    <xf numFmtId="0" fontId="45" fillId="0" borderId="17" xfId="0" quotePrefix="1" applyFont="1" applyBorder="1" applyAlignment="1">
      <alignment horizontal="center" vertical="center"/>
    </xf>
    <xf numFmtId="0" fontId="2" fillId="0" borderId="16" xfId="0" quotePrefix="1" applyFont="1" applyBorder="1" applyAlignment="1">
      <alignment horizontal="center" vertical="center"/>
    </xf>
    <xf numFmtId="0" fontId="2" fillId="0" borderId="21" xfId="0" applyFont="1" applyBorder="1" applyAlignment="1">
      <alignment horizontal="center" vertical="center"/>
    </xf>
    <xf numFmtId="0" fontId="2" fillId="0" borderId="12" xfId="0" applyFont="1" applyBorder="1" applyAlignment="1">
      <alignment vertical="center"/>
    </xf>
    <xf numFmtId="16" fontId="2" fillId="0" borderId="16" xfId="0" quotePrefix="1" applyNumberFormat="1" applyFont="1" applyBorder="1" applyAlignment="1">
      <alignment horizontal="center" vertical="center"/>
    </xf>
    <xf numFmtId="0" fontId="45" fillId="0" borderId="12" xfId="0" applyFont="1" applyBorder="1" applyAlignment="1">
      <alignment vertical="center"/>
    </xf>
    <xf numFmtId="0" fontId="45" fillId="0" borderId="16" xfId="0" applyFont="1" applyBorder="1" applyAlignment="1">
      <alignment vertical="center"/>
    </xf>
    <xf numFmtId="0" fontId="45" fillId="0" borderId="0" xfId="0" applyFont="1" applyAlignment="1">
      <alignment horizontal="center"/>
    </xf>
    <xf numFmtId="0" fontId="2" fillId="0" borderId="11" xfId="0" applyFont="1" applyBorder="1" applyAlignment="1">
      <alignment vertical="center" wrapText="1"/>
    </xf>
    <xf numFmtId="0" fontId="107" fillId="0" borderId="10" xfId="0" applyFont="1" applyBorder="1"/>
    <xf numFmtId="0" fontId="3" fillId="0" borderId="16" xfId="0" applyFont="1" applyBorder="1" applyAlignment="1">
      <alignment horizontal="center" vertical="center" wrapText="1"/>
    </xf>
    <xf numFmtId="0" fontId="107" fillId="0" borderId="18" xfId="0" applyFont="1" applyBorder="1" applyAlignment="1">
      <alignment horizontal="center" vertical="center"/>
    </xf>
    <xf numFmtId="0" fontId="107" fillId="0" borderId="20" xfId="0" applyFont="1" applyBorder="1" applyAlignment="1">
      <alignment horizontal="center" vertical="center"/>
    </xf>
    <xf numFmtId="0" fontId="107" fillId="0" borderId="19" xfId="0" applyFont="1" applyBorder="1" applyAlignment="1">
      <alignment horizontal="center" vertical="center"/>
    </xf>
    <xf numFmtId="0" fontId="107" fillId="0" borderId="14" xfId="0" applyFont="1" applyBorder="1" applyAlignment="1">
      <alignment horizontal="center" vertical="center"/>
    </xf>
    <xf numFmtId="0" fontId="3" fillId="0" borderId="0" xfId="0" applyFont="1" applyBorder="1" applyAlignment="1">
      <alignment horizontal="right"/>
    </xf>
    <xf numFmtId="0" fontId="50" fillId="0" borderId="0" xfId="0" applyFont="1" applyBorder="1" applyAlignment="1">
      <alignment horizontal="center" vertical="center" wrapText="1"/>
    </xf>
    <xf numFmtId="0" fontId="3" fillId="0" borderId="0" xfId="0" applyFont="1" applyBorder="1" applyAlignment="1">
      <alignment horizontal="right" vertical="center"/>
    </xf>
    <xf numFmtId="0" fontId="3" fillId="0" borderId="11" xfId="0" applyFont="1" applyBorder="1" applyAlignment="1">
      <alignment horizontal="center" vertical="center" wrapText="1"/>
    </xf>
    <xf numFmtId="0" fontId="3" fillId="0" borderId="18" xfId="0" applyFont="1" applyFill="1" applyBorder="1" applyAlignment="1">
      <alignment horizontal="center" vertical="center"/>
    </xf>
    <xf numFmtId="0" fontId="107" fillId="0" borderId="12"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24"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23" xfId="0" applyFont="1" applyBorder="1" applyAlignment="1">
      <alignment horizontal="center" vertical="center" wrapText="1"/>
    </xf>
    <xf numFmtId="2" fontId="3" fillId="0" borderId="11" xfId="0" applyNumberFormat="1" applyFont="1" applyBorder="1" applyAlignment="1">
      <alignment horizontal="center" vertical="center" wrapText="1"/>
    </xf>
    <xf numFmtId="0" fontId="3" fillId="0" borderId="24" xfId="0" quotePrefix="1" applyFont="1" applyBorder="1" applyAlignment="1">
      <alignment horizontal="center" vertical="center" wrapText="1"/>
    </xf>
    <xf numFmtId="0" fontId="3" fillId="0" borderId="23" xfId="0" quotePrefix="1" applyFont="1" applyBorder="1" applyAlignment="1">
      <alignment horizontal="center" vertical="center"/>
    </xf>
    <xf numFmtId="2" fontId="3" fillId="0" borderId="11" xfId="0" quotePrefix="1" applyNumberFormat="1" applyFont="1" applyBorder="1" applyAlignment="1">
      <alignment horizontal="center" vertical="center"/>
    </xf>
    <xf numFmtId="0" fontId="2" fillId="0" borderId="19" xfId="0" applyFont="1" applyBorder="1" applyAlignment="1">
      <alignment horizontal="left" vertical="center"/>
    </xf>
    <xf numFmtId="2" fontId="2" fillId="0" borderId="20" xfId="0" applyNumberFormat="1" applyFont="1" applyBorder="1" applyAlignment="1" applyProtection="1">
      <alignment horizontal="center" vertical="center"/>
      <protection locked="0"/>
    </xf>
    <xf numFmtId="2" fontId="107" fillId="0" borderId="19" xfId="0" applyNumberFormat="1" applyFont="1" applyBorder="1" applyAlignment="1">
      <alignment horizontal="center" vertical="center"/>
    </xf>
    <xf numFmtId="0" fontId="107" fillId="0" borderId="0" xfId="0" applyFont="1" applyBorder="1" applyAlignment="1">
      <alignment horizontal="center" vertical="center"/>
    </xf>
    <xf numFmtId="2" fontId="107" fillId="0" borderId="12" xfId="0" applyNumberFormat="1" applyFont="1" applyBorder="1" applyAlignment="1">
      <alignment horizontal="center" vertical="center"/>
    </xf>
    <xf numFmtId="2" fontId="2" fillId="0" borderId="19" xfId="0" applyNumberFormat="1" applyFont="1" applyBorder="1" applyAlignment="1" applyProtection="1">
      <alignment horizontal="center" vertical="center"/>
      <protection locked="0"/>
    </xf>
    <xf numFmtId="2" fontId="2" fillId="0" borderId="19" xfId="0" applyNumberFormat="1" applyFont="1" applyBorder="1" applyAlignment="1">
      <alignment horizontal="center" vertical="center"/>
    </xf>
    <xf numFmtId="2" fontId="2" fillId="0" borderId="11" xfId="0" applyNumberFormat="1" applyFont="1" applyBorder="1" applyAlignment="1">
      <alignment horizontal="center" vertical="center"/>
    </xf>
    <xf numFmtId="0" fontId="3" fillId="0" borderId="22" xfId="0" applyFont="1" applyBorder="1" applyAlignment="1">
      <alignment horizontal="center" vertical="center" wrapText="1"/>
    </xf>
    <xf numFmtId="0" fontId="107" fillId="0" borderId="19" xfId="0" applyFont="1" applyBorder="1" applyAlignment="1" applyProtection="1">
      <alignment horizontal="center" vertical="center"/>
      <protection locked="0"/>
    </xf>
    <xf numFmtId="0" fontId="107" fillId="0" borderId="0" xfId="0" applyFont="1" applyAlignment="1" applyProtection="1">
      <alignment horizontal="center" vertical="center"/>
      <protection locked="0"/>
    </xf>
    <xf numFmtId="0" fontId="107" fillId="0" borderId="0" xfId="0" applyFont="1" applyAlignment="1">
      <alignment horizontal="center" vertical="center"/>
    </xf>
    <xf numFmtId="0" fontId="107" fillId="0" borderId="12" xfId="0" applyFont="1" applyBorder="1" applyAlignment="1" applyProtection="1">
      <alignment horizontal="center" vertical="center"/>
      <protection locked="0"/>
    </xf>
    <xf numFmtId="0" fontId="107" fillId="0" borderId="0" xfId="0" applyFont="1" applyBorder="1" applyAlignment="1" applyProtection="1">
      <alignment horizontal="center" vertical="center"/>
      <protection locked="0"/>
    </xf>
    <xf numFmtId="0" fontId="107" fillId="0" borderId="15" xfId="0" applyFont="1" applyBorder="1" applyAlignment="1" applyProtection="1">
      <alignment horizontal="center" vertical="center"/>
      <protection locked="0"/>
    </xf>
    <xf numFmtId="0" fontId="107" fillId="0" borderId="15" xfId="0" applyFont="1" applyBorder="1" applyAlignment="1">
      <alignment horizontal="center" vertical="center"/>
    </xf>
    <xf numFmtId="0" fontId="107" fillId="0" borderId="13" xfId="0" applyFont="1" applyBorder="1" applyAlignment="1" applyProtection="1">
      <alignment horizontal="center" vertical="center"/>
      <protection locked="0"/>
    </xf>
    <xf numFmtId="2" fontId="107" fillId="0" borderId="15" xfId="0" applyNumberFormat="1" applyFont="1" applyBorder="1" applyAlignment="1">
      <alignment horizontal="center" vertical="center"/>
    </xf>
    <xf numFmtId="0" fontId="2" fillId="0" borderId="18" xfId="0" applyFont="1" applyBorder="1" applyAlignment="1" applyProtection="1">
      <alignment vertical="center"/>
      <protection locked="0"/>
    </xf>
    <xf numFmtId="1" fontId="2" fillId="0" borderId="0" xfId="0" applyNumberFormat="1" applyFont="1" applyAlignment="1" applyProtection="1">
      <alignment horizontal="center" vertical="center"/>
      <protection locked="0"/>
    </xf>
    <xf numFmtId="1" fontId="2" fillId="0" borderId="12" xfId="0" applyNumberFormat="1" applyFont="1" applyBorder="1" applyAlignment="1" applyProtection="1">
      <alignment horizontal="center" vertical="center"/>
      <protection locked="0"/>
    </xf>
    <xf numFmtId="0" fontId="2" fillId="0" borderId="16" xfId="0" applyFont="1" applyBorder="1" applyAlignment="1" applyProtection="1">
      <alignment horizontal="center" vertical="center"/>
    </xf>
    <xf numFmtId="0" fontId="2" fillId="0" borderId="0" xfId="0" applyFont="1" applyAlignment="1" applyProtection="1">
      <alignment horizontal="center" vertical="center"/>
    </xf>
    <xf numFmtId="0" fontId="2" fillId="0" borderId="12" xfId="0" applyFont="1" applyBorder="1" applyAlignment="1" applyProtection="1">
      <alignment horizontal="center" vertical="center"/>
    </xf>
    <xf numFmtId="0" fontId="3" fillId="0" borderId="12" xfId="0" applyFont="1" applyBorder="1" applyAlignment="1" applyProtection="1">
      <alignment vertical="center"/>
      <protection locked="0"/>
    </xf>
    <xf numFmtId="0" fontId="107" fillId="0" borderId="16" xfId="0" applyFont="1" applyBorder="1" applyAlignment="1" applyProtection="1">
      <alignment horizontal="center" vertical="center"/>
    </xf>
    <xf numFmtId="0" fontId="107" fillId="0" borderId="0" xfId="0" applyFont="1" applyAlignment="1" applyProtection="1">
      <alignment horizontal="center" vertical="center"/>
    </xf>
    <xf numFmtId="0" fontId="107" fillId="0" borderId="12" xfId="0" applyFont="1" applyBorder="1" applyAlignment="1" applyProtection="1">
      <alignment horizontal="center" vertical="center"/>
    </xf>
    <xf numFmtId="0" fontId="2" fillId="0" borderId="12" xfId="0" applyFont="1" applyBorder="1" applyAlignment="1" applyProtection="1">
      <alignment vertical="center"/>
      <protection locked="0"/>
    </xf>
    <xf numFmtId="0" fontId="2" fillId="0" borderId="12" xfId="0" applyFont="1" applyBorder="1" applyAlignment="1" applyProtection="1">
      <alignment vertical="center" wrapText="1"/>
      <protection locked="0"/>
    </xf>
    <xf numFmtId="0" fontId="2" fillId="0" borderId="11" xfId="0" applyFont="1" applyBorder="1" applyAlignment="1">
      <alignment vertical="center"/>
    </xf>
    <xf numFmtId="0" fontId="50" fillId="0" borderId="0" xfId="0" applyFont="1" applyBorder="1" applyAlignment="1">
      <alignment horizontal="center" vertical="center"/>
    </xf>
    <xf numFmtId="0" fontId="107" fillId="0" borderId="10" xfId="0" applyFont="1" applyBorder="1" applyAlignment="1">
      <alignment vertical="center"/>
    </xf>
    <xf numFmtId="0" fontId="50" fillId="0" borderId="10" xfId="0" applyFont="1" applyBorder="1" applyAlignment="1">
      <alignment horizontal="center" vertical="center"/>
    </xf>
    <xf numFmtId="0" fontId="3" fillId="0" borderId="12" xfId="0" applyFont="1" applyBorder="1" applyAlignment="1">
      <alignment horizontal="center" vertical="center" wrapText="1"/>
    </xf>
    <xf numFmtId="0" fontId="6" fillId="0" borderId="11" xfId="0" quotePrefix="1" applyFont="1" applyBorder="1" applyAlignment="1">
      <alignment horizontal="center" vertical="center" wrapText="1"/>
    </xf>
    <xf numFmtId="0" fontId="6" fillId="0" borderId="23" xfId="0" quotePrefix="1" applyFont="1" applyBorder="1" applyAlignment="1">
      <alignment horizontal="center" vertical="center"/>
    </xf>
    <xf numFmtId="0" fontId="6" fillId="0" borderId="11" xfId="0" quotePrefix="1" applyFont="1" applyBorder="1" applyAlignment="1">
      <alignment horizontal="center" vertical="center"/>
    </xf>
    <xf numFmtId="0" fontId="6" fillId="0" borderId="24" xfId="0" quotePrefix="1" applyFont="1" applyBorder="1" applyAlignment="1">
      <alignment horizontal="center" vertical="center"/>
    </xf>
    <xf numFmtId="0" fontId="6" fillId="0" borderId="11" xfId="0" quotePrefix="1" applyFont="1" applyFill="1" applyBorder="1" applyAlignment="1">
      <alignment horizontal="center" vertical="center"/>
    </xf>
    <xf numFmtId="0" fontId="6" fillId="0" borderId="24" xfId="0" quotePrefix="1" applyFont="1" applyFill="1" applyBorder="1" applyAlignment="1">
      <alignment horizontal="center" vertical="center"/>
    </xf>
    <xf numFmtId="2" fontId="3" fillId="0" borderId="18" xfId="0" quotePrefix="1" applyNumberFormat="1" applyFont="1" applyBorder="1" applyAlignment="1">
      <alignment horizontal="center" vertical="center" wrapText="1"/>
    </xf>
    <xf numFmtId="2" fontId="3" fillId="0" borderId="12" xfId="0" quotePrefix="1" applyNumberFormat="1" applyFont="1" applyBorder="1" applyAlignment="1">
      <alignment horizontal="center" vertical="center"/>
    </xf>
    <xf numFmtId="2" fontId="2" fillId="0" borderId="11" xfId="0" applyNumberFormat="1" applyFont="1" applyFill="1" applyBorder="1" applyAlignment="1">
      <alignment horizontal="center" vertical="center" wrapText="1"/>
    </xf>
    <xf numFmtId="164" fontId="74" fillId="0" borderId="17" xfId="0" applyNumberFormat="1" applyFont="1" applyBorder="1" applyAlignment="1">
      <alignment horizontal="center" vertical="center"/>
    </xf>
    <xf numFmtId="2" fontId="74" fillId="0" borderId="17" xfId="0" applyNumberFormat="1" applyFont="1" applyBorder="1" applyAlignment="1">
      <alignment horizontal="center" vertical="center"/>
    </xf>
    <xf numFmtId="0" fontId="107" fillId="0" borderId="0" xfId="0" quotePrefix="1" applyFont="1" applyAlignment="1">
      <alignment vertical="center"/>
    </xf>
    <xf numFmtId="1" fontId="74" fillId="0" borderId="17" xfId="0" applyNumberFormat="1" applyFont="1" applyBorder="1" applyAlignment="1">
      <alignment horizontal="center" vertical="center"/>
    </xf>
    <xf numFmtId="0" fontId="50" fillId="0" borderId="0" xfId="0" applyFont="1" applyBorder="1" applyAlignment="1">
      <alignment horizontal="center" vertical="top" wrapText="1"/>
    </xf>
    <xf numFmtId="0" fontId="50" fillId="0" borderId="10" xfId="0" applyFont="1" applyBorder="1" applyAlignment="1">
      <alignment horizontal="center" vertical="top" wrapText="1"/>
    </xf>
    <xf numFmtId="0" fontId="72" fillId="0" borderId="10" xfId="0" applyFont="1" applyBorder="1" applyAlignment="1">
      <alignment horizontal="right" vertical="center"/>
    </xf>
    <xf numFmtId="0" fontId="6" fillId="0" borderId="0" xfId="0" applyFont="1" applyBorder="1" applyAlignment="1">
      <alignment horizontal="right" vertical="center"/>
    </xf>
    <xf numFmtId="0" fontId="2" fillId="0" borderId="18" xfId="0" applyFont="1" applyBorder="1" applyAlignment="1" applyProtection="1">
      <alignment horizontal="left" vertical="center"/>
      <protection locked="0"/>
    </xf>
    <xf numFmtId="16" fontId="2" fillId="0" borderId="19" xfId="0" quotePrefix="1" applyNumberFormat="1" applyFont="1" applyBorder="1" applyAlignment="1" applyProtection="1">
      <alignment horizontal="center" vertical="center"/>
      <protection locked="0"/>
    </xf>
    <xf numFmtId="0" fontId="3" fillId="0" borderId="12" xfId="0" applyFont="1" applyBorder="1" applyAlignment="1" applyProtection="1">
      <alignment horizontal="left" vertical="center"/>
      <protection locked="0"/>
    </xf>
    <xf numFmtId="0" fontId="2" fillId="0" borderId="12" xfId="0" applyFont="1" applyBorder="1" applyAlignment="1" applyProtection="1">
      <alignment horizontal="left" vertical="center"/>
      <protection locked="0"/>
    </xf>
    <xf numFmtId="17" fontId="2" fillId="0" borderId="19" xfId="0" quotePrefix="1" applyNumberFormat="1" applyFont="1" applyBorder="1" applyAlignment="1" applyProtection="1">
      <alignment horizontal="center" vertical="center"/>
      <protection locked="0"/>
    </xf>
    <xf numFmtId="17" fontId="3" fillId="0" borderId="19" xfId="0" applyNumberFormat="1" applyFont="1" applyBorder="1" applyAlignment="1" applyProtection="1">
      <alignment horizontal="center" vertical="center"/>
      <protection locked="0"/>
    </xf>
    <xf numFmtId="0" fontId="2" fillId="0" borderId="19" xfId="0" quotePrefix="1" applyFont="1" applyBorder="1" applyAlignment="1" applyProtection="1">
      <alignment horizontal="center" vertical="center"/>
      <protection locked="0"/>
    </xf>
    <xf numFmtId="2" fontId="107" fillId="0" borderId="0" xfId="0" applyNumberFormat="1" applyFont="1" applyAlignment="1">
      <alignment horizontal="center" vertical="center"/>
    </xf>
    <xf numFmtId="2" fontId="107" fillId="0" borderId="16" xfId="0" applyNumberFormat="1" applyFont="1" applyBorder="1" applyAlignment="1">
      <alignment horizontal="center" vertical="center"/>
    </xf>
    <xf numFmtId="2" fontId="107" fillId="0" borderId="0" xfId="0" applyNumberFormat="1" applyFont="1" applyBorder="1"/>
    <xf numFmtId="2" fontId="107" fillId="0" borderId="0" xfId="0" applyNumberFormat="1" applyFont="1" applyBorder="1" applyAlignment="1">
      <alignment horizontal="center" vertical="center"/>
    </xf>
    <xf numFmtId="0" fontId="2" fillId="0" borderId="11" xfId="0" quotePrefix="1" applyFont="1" applyBorder="1" applyAlignment="1">
      <alignment horizontal="center" vertical="center"/>
    </xf>
    <xf numFmtId="0" fontId="2" fillId="0" borderId="24" xfId="0" applyFont="1" applyBorder="1" applyAlignment="1" applyProtection="1">
      <alignment horizontal="center" vertical="center"/>
      <protection locked="0"/>
    </xf>
    <xf numFmtId="0" fontId="2" fillId="0" borderId="23" xfId="0" applyFont="1" applyBorder="1" applyAlignment="1" applyProtection="1">
      <alignment horizontal="center" vertical="center"/>
      <protection locked="0"/>
    </xf>
    <xf numFmtId="2" fontId="2" fillId="0" borderId="23" xfId="0" applyNumberFormat="1" applyFont="1" applyBorder="1" applyAlignment="1">
      <alignment horizontal="center" vertical="center"/>
    </xf>
    <xf numFmtId="2" fontId="2" fillId="0" borderId="17" xfId="0" applyNumberFormat="1" applyFont="1" applyBorder="1" applyAlignment="1">
      <alignment horizontal="center" vertical="center"/>
    </xf>
    <xf numFmtId="0" fontId="107" fillId="0" borderId="0" xfId="0" applyFont="1" applyAlignment="1">
      <alignment horizontal="center"/>
    </xf>
    <xf numFmtId="0" fontId="45" fillId="0" borderId="10" xfId="0" applyFont="1" applyBorder="1" applyAlignment="1">
      <alignment vertical="center"/>
    </xf>
    <xf numFmtId="0" fontId="45" fillId="0" borderId="10" xfId="0" applyFont="1" applyBorder="1" applyAlignment="1">
      <alignment horizontal="right" vertical="center"/>
    </xf>
    <xf numFmtId="0" fontId="6" fillId="0" borderId="19" xfId="0" applyFont="1" applyBorder="1" applyAlignment="1">
      <alignment horizontal="center" vertical="center"/>
    </xf>
    <xf numFmtId="0" fontId="7" fillId="0" borderId="16" xfId="0" applyFont="1" applyBorder="1" applyAlignment="1">
      <alignment horizontal="center" vertical="center"/>
    </xf>
    <xf numFmtId="2" fontId="45" fillId="0" borderId="17" xfId="0" quotePrefix="1" applyNumberFormat="1" applyFont="1" applyBorder="1" applyAlignment="1">
      <alignment horizontal="center" vertical="center"/>
    </xf>
    <xf numFmtId="0" fontId="2" fillId="0" borderId="19" xfId="0" applyFont="1" applyBorder="1" applyAlignment="1">
      <alignment vertical="center" wrapText="1"/>
    </xf>
    <xf numFmtId="0" fontId="2" fillId="0" borderId="20" xfId="0" applyFont="1" applyBorder="1" applyAlignment="1">
      <alignment horizontal="center" vertical="center"/>
    </xf>
    <xf numFmtId="2" fontId="2" fillId="0" borderId="16" xfId="0" applyNumberFormat="1" applyFont="1" applyBorder="1" applyAlignment="1">
      <alignment horizontal="center" vertical="center"/>
    </xf>
    <xf numFmtId="0" fontId="45" fillId="0" borderId="19" xfId="0" applyFont="1" applyBorder="1" applyAlignment="1">
      <alignment vertical="center"/>
    </xf>
    <xf numFmtId="2" fontId="45" fillId="0" borderId="16" xfId="0" applyNumberFormat="1" applyFont="1" applyBorder="1" applyAlignment="1">
      <alignment horizontal="center" vertical="center"/>
    </xf>
    <xf numFmtId="0" fontId="2" fillId="0" borderId="24" xfId="0" applyFont="1" applyBorder="1" applyAlignment="1">
      <alignment vertical="center"/>
    </xf>
    <xf numFmtId="0" fontId="45" fillId="0" borderId="0" xfId="0" applyFont="1" applyFill="1" applyAlignment="1">
      <alignment vertical="center"/>
    </xf>
    <xf numFmtId="0" fontId="6" fillId="0" borderId="0" xfId="0" applyFont="1" applyFill="1" applyAlignment="1">
      <alignment vertical="center"/>
    </xf>
    <xf numFmtId="0" fontId="3" fillId="0" borderId="21" xfId="0" applyFont="1" applyBorder="1" applyAlignment="1">
      <alignment horizontal="center" vertical="center" wrapText="1"/>
    </xf>
    <xf numFmtId="0" fontId="3" fillId="0" borderId="0" xfId="0" applyFont="1" applyBorder="1" applyAlignment="1">
      <alignment horizontal="center" vertical="center" wrapText="1"/>
    </xf>
    <xf numFmtId="0" fontId="2" fillId="0" borderId="0" xfId="0" applyFont="1" applyBorder="1" applyAlignment="1">
      <alignment vertical="center"/>
    </xf>
    <xf numFmtId="0" fontId="2" fillId="0" borderId="16" xfId="0" applyFont="1" applyBorder="1" applyAlignment="1">
      <alignment vertical="center"/>
    </xf>
    <xf numFmtId="0" fontId="2" fillId="0" borderId="20" xfId="0" applyFont="1" applyBorder="1" applyAlignment="1">
      <alignment vertical="center"/>
    </xf>
    <xf numFmtId="0" fontId="2" fillId="0" borderId="22" xfId="0" applyFont="1" applyBorder="1" applyAlignment="1">
      <alignment vertical="center"/>
    </xf>
    <xf numFmtId="0" fontId="2" fillId="0" borderId="21" xfId="0" applyFont="1" applyBorder="1" applyAlignment="1">
      <alignment vertical="center"/>
    </xf>
    <xf numFmtId="0" fontId="74" fillId="0" borderId="19" xfId="0" applyFont="1" applyBorder="1" applyAlignment="1">
      <alignment vertical="center"/>
    </xf>
    <xf numFmtId="0" fontId="2" fillId="0" borderId="15" xfId="0" applyFont="1" applyBorder="1" applyAlignment="1">
      <alignment vertical="center"/>
    </xf>
    <xf numFmtId="0" fontId="2" fillId="0" borderId="0" xfId="0" applyFont="1" applyBorder="1" applyAlignment="1">
      <alignment horizontal="center"/>
    </xf>
    <xf numFmtId="0" fontId="2" fillId="0" borderId="0" xfId="0" applyFont="1" applyBorder="1" applyAlignment="1" applyProtection="1">
      <alignment horizontal="center" vertical="center"/>
      <protection locked="0"/>
    </xf>
    <xf numFmtId="0" fontId="2" fillId="0" borderId="0" xfId="0" applyFont="1" applyAlignment="1" applyProtection="1">
      <alignment horizontal="center" vertical="center"/>
      <protection locked="0"/>
    </xf>
    <xf numFmtId="0" fontId="107" fillId="0" borderId="0" xfId="0" applyFont="1" applyFill="1"/>
    <xf numFmtId="0" fontId="107" fillId="0" borderId="16" xfId="0" applyFont="1" applyBorder="1" applyAlignment="1">
      <alignment horizontal="center" vertical="center"/>
    </xf>
    <xf numFmtId="0" fontId="3" fillId="0" borderId="13" xfId="0" applyFont="1" applyBorder="1" applyAlignment="1" applyProtection="1">
      <alignment vertical="center"/>
      <protection locked="0"/>
    </xf>
    <xf numFmtId="0" fontId="107" fillId="0" borderId="10" xfId="0" applyFont="1" applyBorder="1" applyAlignment="1" applyProtection="1">
      <alignment horizontal="center" vertical="center"/>
      <protection locked="0"/>
    </xf>
    <xf numFmtId="0" fontId="2" fillId="0" borderId="0" xfId="0" applyFont="1" applyAlignment="1">
      <alignment vertical="center"/>
    </xf>
    <xf numFmtId="0" fontId="2" fillId="0" borderId="19" xfId="0" applyFont="1" applyBorder="1" applyAlignment="1" applyProtection="1">
      <alignment horizontal="center" vertical="center"/>
      <protection locked="0"/>
    </xf>
    <xf numFmtId="0" fontId="2" fillId="0" borderId="14" xfId="0" applyFont="1" applyBorder="1" applyAlignment="1">
      <alignment horizontal="left" vertical="center"/>
    </xf>
    <xf numFmtId="0" fontId="2" fillId="0" borderId="14" xfId="0" applyFont="1" applyBorder="1" applyAlignment="1" applyProtection="1">
      <alignment horizontal="center" vertical="center"/>
      <protection locked="0"/>
    </xf>
    <xf numFmtId="0" fontId="2" fillId="0" borderId="10" xfId="0" applyFont="1" applyBorder="1" applyAlignment="1" applyProtection="1">
      <alignment horizontal="center" vertical="center"/>
      <protection locked="0"/>
    </xf>
    <xf numFmtId="0" fontId="2" fillId="0" borderId="15" xfId="0" applyFont="1" applyBorder="1" applyAlignment="1" applyProtection="1">
      <alignment horizontal="center" vertical="center"/>
      <protection locked="0"/>
    </xf>
    <xf numFmtId="0" fontId="3" fillId="0" borderId="0" xfId="0" applyFont="1" applyFill="1" applyBorder="1" applyAlignment="1">
      <alignment horizontal="right" vertical="center"/>
    </xf>
    <xf numFmtId="1" fontId="107" fillId="0" borderId="0" xfId="0" applyNumberFormat="1" applyFont="1" applyBorder="1" applyAlignment="1" applyProtection="1">
      <alignment horizontal="center" vertical="center"/>
      <protection locked="0"/>
    </xf>
    <xf numFmtId="1" fontId="107" fillId="0" borderId="19" xfId="0" applyNumberFormat="1" applyFont="1" applyBorder="1" applyAlignment="1" applyProtection="1">
      <alignment horizontal="center" vertical="center"/>
      <protection locked="0"/>
    </xf>
    <xf numFmtId="1" fontId="107" fillId="0" borderId="0" xfId="0" applyNumberFormat="1" applyFont="1" applyBorder="1" applyAlignment="1" applyProtection="1">
      <alignment horizontal="center" vertical="center"/>
    </xf>
    <xf numFmtId="1" fontId="2" fillId="0" borderId="24" xfId="0" applyNumberFormat="1" applyFont="1" applyBorder="1" applyAlignment="1">
      <alignment horizontal="center" vertical="center"/>
    </xf>
    <xf numFmtId="0" fontId="8" fillId="0" borderId="0" xfId="0" applyFont="1" applyFill="1" applyBorder="1" applyAlignment="1">
      <alignment vertical="center"/>
    </xf>
    <xf numFmtId="0" fontId="107" fillId="0" borderId="0" xfId="0" applyFont="1" applyBorder="1" applyAlignment="1">
      <alignment vertical="center"/>
    </xf>
    <xf numFmtId="0" fontId="3" fillId="0" borderId="22" xfId="0" applyFont="1" applyBorder="1" applyAlignment="1">
      <alignment horizontal="right" vertical="center"/>
    </xf>
    <xf numFmtId="0" fontId="108" fillId="0" borderId="10" xfId="0" applyFont="1" applyBorder="1" applyAlignment="1">
      <alignment horizontal="center" vertical="center"/>
    </xf>
    <xf numFmtId="0" fontId="3" fillId="0" borderId="10" xfId="0" applyFont="1" applyBorder="1" applyAlignment="1">
      <alignment horizontal="right" vertical="center"/>
    </xf>
    <xf numFmtId="3" fontId="3" fillId="0" borderId="19" xfId="0" applyNumberFormat="1" applyFont="1" applyBorder="1" applyAlignment="1">
      <alignment horizontal="center" vertical="center"/>
    </xf>
    <xf numFmtId="3" fontId="3" fillId="0" borderId="0" xfId="0" applyNumberFormat="1" applyFont="1" applyBorder="1" applyAlignment="1">
      <alignment horizontal="center" vertical="center"/>
    </xf>
    <xf numFmtId="3" fontId="3" fillId="0" borderId="16" xfId="0" applyNumberFormat="1" applyFont="1" applyBorder="1" applyAlignment="1">
      <alignment horizontal="center" vertical="center"/>
    </xf>
    <xf numFmtId="3" fontId="3" fillId="0" borderId="18" xfId="0" quotePrefix="1" applyNumberFormat="1" applyFont="1" applyBorder="1" applyAlignment="1">
      <alignment horizontal="center" vertical="center"/>
    </xf>
    <xf numFmtId="3" fontId="3" fillId="0" borderId="20" xfId="0" quotePrefix="1" applyNumberFormat="1" applyFont="1" applyBorder="1" applyAlignment="1">
      <alignment horizontal="center" vertical="center"/>
    </xf>
    <xf numFmtId="3" fontId="3" fillId="0" borderId="22" xfId="0" quotePrefix="1" applyNumberFormat="1" applyFont="1" applyBorder="1" applyAlignment="1">
      <alignment horizontal="center" vertical="center"/>
    </xf>
    <xf numFmtId="3" fontId="3" fillId="0" borderId="21" xfId="0" quotePrefix="1" applyNumberFormat="1" applyFont="1" applyBorder="1" applyAlignment="1">
      <alignment horizontal="center" vertical="center"/>
    </xf>
    <xf numFmtId="0" fontId="2" fillId="0" borderId="18" xfId="0" applyFont="1" applyBorder="1" applyAlignment="1">
      <alignment horizontal="left" vertical="center" shrinkToFit="1"/>
    </xf>
    <xf numFmtId="0" fontId="2" fillId="0" borderId="20" xfId="0" applyFont="1" applyBorder="1" applyAlignment="1">
      <alignment horizontal="center" vertical="center" shrinkToFit="1"/>
    </xf>
    <xf numFmtId="0" fontId="2" fillId="0" borderId="22" xfId="0" applyFont="1" applyBorder="1" applyAlignment="1">
      <alignment horizontal="center" vertical="center" shrinkToFit="1"/>
    </xf>
    <xf numFmtId="0" fontId="2" fillId="0" borderId="21" xfId="0" applyFont="1" applyBorder="1" applyAlignment="1">
      <alignment horizontal="center" vertical="center" shrinkToFit="1"/>
    </xf>
    <xf numFmtId="0" fontId="3" fillId="0" borderId="12" xfId="0" applyFont="1" applyBorder="1" applyAlignment="1">
      <alignment horizontal="left" vertical="center" shrinkToFit="1"/>
    </xf>
    <xf numFmtId="0" fontId="2" fillId="0" borderId="12" xfId="0" applyFont="1" applyBorder="1" applyAlignment="1">
      <alignment horizontal="left" vertical="center" shrinkToFit="1"/>
    </xf>
    <xf numFmtId="0" fontId="2" fillId="0" borderId="19" xfId="0" applyFont="1" applyBorder="1" applyAlignment="1">
      <alignment horizontal="center" vertical="center" shrinkToFit="1"/>
    </xf>
    <xf numFmtId="0" fontId="2" fillId="0" borderId="0" xfId="0" applyFont="1" applyBorder="1" applyAlignment="1">
      <alignment horizontal="center" vertical="center" shrinkToFit="1"/>
    </xf>
    <xf numFmtId="0" fontId="2" fillId="0" borderId="16" xfId="0" applyFont="1" applyBorder="1" applyAlignment="1">
      <alignment horizontal="center" vertical="center" shrinkToFit="1"/>
    </xf>
    <xf numFmtId="0" fontId="3" fillId="0" borderId="13" xfId="0" applyFont="1" applyBorder="1" applyAlignment="1">
      <alignment horizontal="left" vertical="center" shrinkToFit="1"/>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0" borderId="11" xfId="0" applyFont="1" applyBorder="1" applyAlignment="1">
      <alignment horizontal="center" vertical="center" wrapText="1"/>
    </xf>
    <xf numFmtId="0" fontId="107" fillId="0" borderId="0" xfId="0" applyFont="1" applyProtection="1">
      <protection locked="0"/>
    </xf>
    <xf numFmtId="0" fontId="107" fillId="0" borderId="18" xfId="0" applyFont="1" applyBorder="1" applyAlignment="1" applyProtection="1">
      <alignment horizontal="center" vertical="center"/>
      <protection locked="0"/>
    </xf>
    <xf numFmtId="0" fontId="107" fillId="0" borderId="16" xfId="0" applyFont="1" applyBorder="1" applyAlignment="1" applyProtection="1">
      <alignment horizontal="center" vertical="center"/>
      <protection locked="0"/>
    </xf>
    <xf numFmtId="0" fontId="2" fillId="0" borderId="20" xfId="0" applyFont="1" applyBorder="1" applyAlignment="1" applyProtection="1">
      <alignment horizontal="left" vertical="center" wrapText="1"/>
      <protection locked="0"/>
    </xf>
    <xf numFmtId="0" fontId="2" fillId="0" borderId="18" xfId="0" applyFont="1" applyBorder="1" applyAlignment="1">
      <alignment horizontal="center" vertical="center" wrapText="1"/>
    </xf>
    <xf numFmtId="0" fontId="3" fillId="0" borderId="19" xfId="0" applyFont="1" applyBorder="1" applyAlignment="1" applyProtection="1">
      <alignment horizontal="left" vertical="center"/>
      <protection locked="0"/>
    </xf>
    <xf numFmtId="0" fontId="3" fillId="0" borderId="14" xfId="0" applyFont="1" applyBorder="1" applyAlignment="1" applyProtection="1">
      <alignment horizontal="left" vertical="center"/>
      <protection locked="0"/>
    </xf>
    <xf numFmtId="0" fontId="8" fillId="0" borderId="0" xfId="0" applyFont="1" applyBorder="1" applyAlignment="1" applyProtection="1">
      <alignment horizontal="center" vertical="center"/>
      <protection locked="0"/>
    </xf>
    <xf numFmtId="0" fontId="45" fillId="0" borderId="0" xfId="0" applyFont="1" applyBorder="1" applyAlignment="1" applyProtection="1">
      <alignment horizontal="center" vertical="center"/>
      <protection locked="0"/>
    </xf>
    <xf numFmtId="0" fontId="45" fillId="0" borderId="0" xfId="0" applyFont="1" applyBorder="1" applyAlignment="1" applyProtection="1">
      <alignment horizontal="center" vertical="center"/>
    </xf>
    <xf numFmtId="0" fontId="2" fillId="0" borderId="19" xfId="0" applyFont="1" applyBorder="1" applyAlignment="1" applyProtection="1">
      <alignment horizontal="left" vertical="center" wrapText="1"/>
      <protection locked="0"/>
    </xf>
    <xf numFmtId="0" fontId="2" fillId="0" borderId="12" xfId="0" applyFont="1" applyBorder="1" applyAlignment="1">
      <alignment horizontal="center" vertical="center" wrapText="1"/>
    </xf>
    <xf numFmtId="0" fontId="2" fillId="0" borderId="19" xfId="0" applyFont="1" applyBorder="1" applyAlignment="1" applyProtection="1">
      <alignment horizontal="left" vertical="center" wrapText="1" shrinkToFit="1"/>
      <protection locked="0"/>
    </xf>
    <xf numFmtId="0" fontId="8" fillId="0" borderId="22" xfId="0" applyFont="1" applyBorder="1" applyAlignment="1" applyProtection="1">
      <alignment horizontal="left" vertical="center"/>
      <protection locked="0"/>
    </xf>
    <xf numFmtId="0" fontId="107" fillId="0" borderId="22" xfId="0" applyFont="1" applyBorder="1" applyAlignment="1"/>
    <xf numFmtId="0" fontId="107" fillId="0" borderId="0" xfId="0" applyFont="1" applyAlignment="1">
      <alignment vertical="center" wrapText="1"/>
    </xf>
    <xf numFmtId="0" fontId="3" fillId="0" borderId="0" xfId="0" applyFont="1" applyAlignment="1">
      <alignment horizontal="left" vertical="center"/>
    </xf>
    <xf numFmtId="0" fontId="107" fillId="0" borderId="0" xfId="0" applyFont="1" applyAlignment="1" applyProtection="1">
      <protection locked="0"/>
    </xf>
    <xf numFmtId="0" fontId="107" fillId="0" borderId="0" xfId="0" applyFont="1" applyAlignment="1" applyProtection="1">
      <alignment horizontal="center"/>
      <protection locked="0"/>
    </xf>
    <xf numFmtId="0" fontId="2" fillId="0" borderId="18" xfId="0" applyFont="1" applyBorder="1" applyAlignment="1" applyProtection="1">
      <alignment vertical="center" wrapText="1"/>
      <protection locked="0"/>
    </xf>
    <xf numFmtId="0" fontId="2" fillId="0" borderId="18" xfId="0" applyFont="1" applyBorder="1" applyAlignment="1" applyProtection="1">
      <alignment horizontal="center" vertical="center"/>
      <protection locked="0"/>
    </xf>
    <xf numFmtId="0" fontId="3" fillId="0" borderId="19" xfId="0" applyFont="1" applyBorder="1" applyAlignment="1" applyProtection="1">
      <alignment vertical="center"/>
      <protection locked="0"/>
    </xf>
    <xf numFmtId="0" fontId="3" fillId="0" borderId="14" xfId="0" applyFont="1" applyBorder="1" applyAlignment="1" applyProtection="1">
      <alignment vertical="center"/>
      <protection locked="0"/>
    </xf>
    <xf numFmtId="0" fontId="107" fillId="0" borderId="13" xfId="0" applyFont="1" applyBorder="1" applyAlignment="1" applyProtection="1">
      <alignment horizontal="center" vertical="center"/>
    </xf>
    <xf numFmtId="0" fontId="107" fillId="0" borderId="15" xfId="0" applyFont="1" applyBorder="1" applyAlignment="1" applyProtection="1">
      <alignment horizontal="center" vertical="center"/>
    </xf>
    <xf numFmtId="0" fontId="3" fillId="0" borderId="0" xfId="0" applyFont="1" applyBorder="1" applyAlignment="1" applyProtection="1">
      <alignment vertical="center"/>
      <protection locked="0"/>
    </xf>
    <xf numFmtId="0" fontId="107" fillId="0" borderId="0" xfId="0" applyFont="1" applyBorder="1" applyAlignment="1" applyProtection="1">
      <alignment horizontal="center" vertical="center"/>
    </xf>
    <xf numFmtId="0" fontId="2" fillId="0" borderId="19" xfId="0" applyFont="1" applyBorder="1" applyAlignment="1" applyProtection="1">
      <alignment vertical="center" wrapText="1"/>
      <protection locked="0"/>
    </xf>
    <xf numFmtId="0" fontId="107" fillId="0" borderId="0" xfId="0" applyFont="1" applyBorder="1" applyProtection="1">
      <protection locked="0"/>
    </xf>
    <xf numFmtId="0" fontId="2" fillId="0" borderId="20" xfId="0" applyFont="1" applyBorder="1" applyAlignment="1" applyProtection="1">
      <alignment horizontal="center" vertical="center"/>
      <protection locked="0"/>
    </xf>
    <xf numFmtId="0" fontId="2" fillId="0" borderId="22" xfId="0" applyFont="1" applyBorder="1" applyAlignment="1" applyProtection="1">
      <alignment horizontal="center" vertical="center"/>
      <protection locked="0"/>
    </xf>
    <xf numFmtId="0" fontId="107" fillId="0" borderId="12" xfId="0" applyFont="1" applyFill="1" applyBorder="1" applyAlignment="1" applyProtection="1">
      <alignment horizontal="center" vertical="center"/>
      <protection locked="0"/>
    </xf>
    <xf numFmtId="0" fontId="107" fillId="0" borderId="14" xfId="0" applyFont="1" applyBorder="1" applyAlignment="1" applyProtection="1">
      <alignment horizontal="center" vertical="center"/>
      <protection locked="0"/>
    </xf>
    <xf numFmtId="0" fontId="107" fillId="0" borderId="10" xfId="0" applyFont="1" applyBorder="1" applyProtection="1">
      <protection locked="0"/>
    </xf>
    <xf numFmtId="0" fontId="3" fillId="0" borderId="10" xfId="0" applyFont="1" applyFill="1" applyBorder="1" applyAlignment="1" applyProtection="1">
      <alignment horizontal="right"/>
      <protection locked="0"/>
    </xf>
    <xf numFmtId="0" fontId="3" fillId="0" borderId="20" xfId="0" applyFont="1" applyBorder="1" applyAlignment="1" applyProtection="1">
      <alignment horizontal="center" vertical="center" wrapText="1"/>
      <protection locked="0"/>
    </xf>
    <xf numFmtId="0" fontId="3" fillId="0" borderId="18" xfId="0" applyFont="1" applyBorder="1" applyAlignment="1" applyProtection="1">
      <alignment horizontal="center" vertical="center"/>
      <protection locked="0"/>
    </xf>
    <xf numFmtId="0" fontId="3" fillId="0" borderId="24" xfId="0" quotePrefix="1" applyFont="1" applyBorder="1" applyAlignment="1" applyProtection="1">
      <alignment horizontal="center" vertical="center"/>
      <protection locked="0"/>
    </xf>
    <xf numFmtId="0" fontId="3" fillId="0" borderId="11" xfId="0" quotePrefix="1" applyFont="1" applyBorder="1" applyAlignment="1" applyProtection="1">
      <alignment horizontal="center" vertical="center"/>
      <protection locked="0"/>
    </xf>
    <xf numFmtId="0" fontId="3" fillId="0" borderId="12" xfId="0" applyFont="1" applyBorder="1" applyAlignment="1" applyProtection="1">
      <alignment horizontal="center" vertical="center" wrapText="1"/>
      <protection locked="0"/>
    </xf>
    <xf numFmtId="0" fontId="2" fillId="0" borderId="20" xfId="0" applyFont="1" applyBorder="1" applyAlignment="1" applyProtection="1">
      <alignment vertical="center" wrapText="1"/>
      <protection locked="0"/>
    </xf>
    <xf numFmtId="0" fontId="2" fillId="0" borderId="18" xfId="0" applyFont="1" applyBorder="1" applyAlignment="1" applyProtection="1">
      <alignment horizontal="center" vertical="center"/>
    </xf>
    <xf numFmtId="0" fontId="8" fillId="0" borderId="0" xfId="0" applyFont="1" applyBorder="1" applyAlignment="1" applyProtection="1">
      <alignment horizontal="left" vertical="center" wrapText="1"/>
      <protection locked="0"/>
    </xf>
    <xf numFmtId="0" fontId="107" fillId="0" borderId="0" xfId="0" applyFont="1" applyAlignment="1">
      <alignment wrapText="1"/>
    </xf>
    <xf numFmtId="0" fontId="107" fillId="0" borderId="0" xfId="0" applyFont="1" applyAlignment="1" applyProtection="1">
      <alignment vertical="center"/>
      <protection locked="0"/>
    </xf>
    <xf numFmtId="0" fontId="3" fillId="0" borderId="10" xfId="0" applyFont="1" applyBorder="1" applyAlignment="1" applyProtection="1">
      <alignment vertical="center"/>
      <protection locked="0"/>
    </xf>
    <xf numFmtId="0" fontId="107" fillId="0" borderId="10" xfId="0" applyFont="1" applyBorder="1" applyAlignment="1" applyProtection="1">
      <alignment vertical="center"/>
      <protection locked="0"/>
    </xf>
    <xf numFmtId="0" fontId="3" fillId="0" borderId="10" xfId="0" applyFont="1" applyBorder="1" applyAlignment="1" applyProtection="1">
      <alignment horizontal="right" vertical="center"/>
      <protection locked="0"/>
    </xf>
    <xf numFmtId="0" fontId="3" fillId="0" borderId="13" xfId="0" applyFont="1" applyBorder="1" applyAlignment="1" applyProtection="1">
      <alignment horizontal="center" vertical="center" wrapText="1"/>
      <protection locked="0"/>
    </xf>
    <xf numFmtId="0" fontId="3" fillId="0" borderId="11" xfId="0" applyFont="1" applyBorder="1" applyAlignment="1" applyProtection="1">
      <alignment horizontal="center" vertical="center"/>
      <protection locked="0"/>
    </xf>
    <xf numFmtId="0" fontId="3" fillId="0" borderId="17" xfId="0" quotePrefix="1" applyFont="1" applyBorder="1" applyAlignment="1" applyProtection="1">
      <alignment horizontal="center" vertical="center"/>
      <protection locked="0"/>
    </xf>
    <xf numFmtId="0" fontId="2" fillId="0" borderId="0" xfId="0" applyFont="1" applyBorder="1" applyAlignment="1" applyProtection="1">
      <alignment horizontal="center" vertical="center"/>
    </xf>
    <xf numFmtId="0" fontId="3" fillId="0" borderId="22" xfId="0" applyFont="1" applyBorder="1" applyAlignment="1" applyProtection="1">
      <alignment horizontal="left" vertical="center"/>
      <protection locked="0"/>
    </xf>
    <xf numFmtId="0" fontId="3" fillId="0" borderId="22" xfId="0" applyFont="1" applyBorder="1" applyAlignment="1">
      <alignment horizontal="left" vertical="center"/>
    </xf>
    <xf numFmtId="0" fontId="8" fillId="0" borderId="0" xfId="0" applyFont="1" applyAlignment="1" applyProtection="1">
      <alignment horizontal="left" vertical="center"/>
      <protection locked="0"/>
    </xf>
    <xf numFmtId="0" fontId="3" fillId="0" borderId="0" xfId="0" applyFont="1" applyAlignment="1" applyProtection="1">
      <alignment vertical="center"/>
      <protection locked="0"/>
    </xf>
    <xf numFmtId="0" fontId="2" fillId="0" borderId="19" xfId="0" applyFont="1" applyBorder="1" applyAlignment="1">
      <alignment horizontal="left" vertical="top"/>
    </xf>
    <xf numFmtId="0" fontId="2" fillId="0" borderId="0" xfId="0" applyFont="1" applyBorder="1" applyAlignment="1">
      <alignment horizontal="left" vertical="center"/>
    </xf>
    <xf numFmtId="0" fontId="2" fillId="0" borderId="16" xfId="0" applyFont="1" applyBorder="1" applyAlignment="1">
      <alignment horizontal="left" vertical="center"/>
    </xf>
    <xf numFmtId="0" fontId="107" fillId="0" borderId="19" xfId="0" applyFont="1" applyBorder="1" applyAlignment="1">
      <alignment vertical="center"/>
    </xf>
    <xf numFmtId="0" fontId="3" fillId="0" borderId="0" xfId="0" applyFont="1" applyBorder="1" applyAlignment="1">
      <alignment vertical="top"/>
    </xf>
    <xf numFmtId="0" fontId="2" fillId="0" borderId="16" xfId="0" applyFont="1" applyBorder="1" applyAlignment="1">
      <alignment horizontal="center"/>
    </xf>
    <xf numFmtId="0" fontId="2" fillId="0" borderId="12" xfId="0" applyFont="1" applyBorder="1" applyAlignment="1">
      <alignment horizontal="center"/>
    </xf>
    <xf numFmtId="0" fontId="2" fillId="0" borderId="14" xfId="0" applyFont="1" applyBorder="1" applyAlignment="1">
      <alignment horizontal="left" vertical="top"/>
    </xf>
    <xf numFmtId="0" fontId="2" fillId="0" borderId="15" xfId="0" applyFont="1" applyBorder="1" applyAlignment="1">
      <alignment horizontal="center"/>
    </xf>
    <xf numFmtId="0" fontId="2" fillId="0" borderId="13" xfId="0" applyFont="1" applyBorder="1" applyAlignment="1">
      <alignment horizontal="center"/>
    </xf>
    <xf numFmtId="0" fontId="45" fillId="0" borderId="0" xfId="0" applyFont="1" applyAlignment="1" applyProtection="1">
      <alignment vertical="center"/>
      <protection locked="0"/>
    </xf>
    <xf numFmtId="0" fontId="2" fillId="0" borderId="20" xfId="0" applyFont="1" applyBorder="1" applyAlignment="1">
      <alignment horizontal="left" vertical="center"/>
    </xf>
    <xf numFmtId="0" fontId="107" fillId="0" borderId="12" xfId="0" applyFont="1" applyBorder="1" applyAlignment="1">
      <alignment horizontal="center"/>
    </xf>
    <xf numFmtId="0" fontId="3" fillId="0" borderId="0" xfId="0" applyFont="1" applyBorder="1" applyAlignment="1">
      <alignment vertical="center" wrapText="1"/>
    </xf>
    <xf numFmtId="0" fontId="8" fillId="0" borderId="0" xfId="0" applyFont="1" applyBorder="1" applyAlignment="1">
      <alignment vertical="center" wrapText="1"/>
    </xf>
    <xf numFmtId="0" fontId="3" fillId="0" borderId="13" xfId="0" applyFont="1" applyBorder="1" applyAlignment="1">
      <alignment horizontal="center"/>
    </xf>
    <xf numFmtId="0" fontId="3" fillId="0" borderId="24" xfId="0" applyFont="1" applyBorder="1" applyAlignment="1">
      <alignment vertical="center"/>
    </xf>
    <xf numFmtId="0" fontId="2" fillId="0" borderId="23" xfId="0" applyFont="1" applyBorder="1" applyAlignment="1">
      <alignment vertical="center"/>
    </xf>
    <xf numFmtId="0" fontId="3" fillId="0" borderId="23" xfId="0" applyFont="1" applyBorder="1" applyAlignment="1">
      <alignment vertical="center"/>
    </xf>
    <xf numFmtId="0" fontId="3" fillId="0" borderId="22" xfId="0" applyFont="1" applyBorder="1" applyAlignment="1">
      <alignment vertical="center"/>
    </xf>
    <xf numFmtId="0" fontId="3" fillId="0" borderId="21" xfId="0" applyFont="1" applyBorder="1" applyAlignment="1">
      <alignment vertical="center"/>
    </xf>
    <xf numFmtId="0" fontId="3" fillId="0" borderId="19" xfId="0" applyFont="1" applyBorder="1" applyAlignment="1">
      <alignment horizontal="center" vertical="top"/>
    </xf>
    <xf numFmtId="0" fontId="107" fillId="0" borderId="24" xfId="0" applyFont="1" applyBorder="1" applyAlignment="1">
      <alignment vertical="center"/>
    </xf>
    <xf numFmtId="0" fontId="3" fillId="0" borderId="11" xfId="0" applyFont="1" applyBorder="1" applyAlignment="1">
      <alignment horizontal="center"/>
    </xf>
    <xf numFmtId="0" fontId="3" fillId="0" borderId="24" xfId="0" quotePrefix="1" applyFont="1" applyBorder="1" applyAlignment="1">
      <alignment horizontal="center"/>
    </xf>
    <xf numFmtId="0" fontId="3" fillId="0" borderId="23" xfId="0" quotePrefix="1" applyFont="1" applyBorder="1" applyAlignment="1">
      <alignment horizontal="center"/>
    </xf>
    <xf numFmtId="0" fontId="3" fillId="0" borderId="11" xfId="0" quotePrefix="1" applyFont="1" applyBorder="1" applyAlignment="1">
      <alignment horizontal="center"/>
    </xf>
    <xf numFmtId="0" fontId="3" fillId="0" borderId="24" xfId="0" quotePrefix="1" applyFont="1" applyFill="1" applyBorder="1" applyAlignment="1">
      <alignment horizontal="center"/>
    </xf>
    <xf numFmtId="0" fontId="2" fillId="0" borderId="20" xfId="0" applyFont="1" applyBorder="1" applyAlignment="1">
      <alignment horizontal="left"/>
    </xf>
    <xf numFmtId="0" fontId="107" fillId="0" borderId="19" xfId="0" applyFont="1" applyBorder="1"/>
    <xf numFmtId="0" fontId="3" fillId="0" borderId="16" xfId="0" applyFont="1" applyBorder="1"/>
    <xf numFmtId="0" fontId="2" fillId="0" borderId="19" xfId="0" applyFont="1" applyBorder="1" applyAlignment="1">
      <alignment horizontal="left"/>
    </xf>
    <xf numFmtId="0" fontId="2" fillId="0" borderId="0" xfId="0" applyFont="1" applyBorder="1" applyAlignment="1">
      <alignment horizontal="left"/>
    </xf>
    <xf numFmtId="0" fontId="2" fillId="0" borderId="16" xfId="0" applyFont="1" applyBorder="1" applyAlignment="1">
      <alignment horizontal="left"/>
    </xf>
    <xf numFmtId="0" fontId="2" fillId="0" borderId="12" xfId="0" applyFont="1" applyBorder="1" applyAlignment="1" applyProtection="1">
      <alignment horizontal="center"/>
      <protection locked="0"/>
    </xf>
    <xf numFmtId="0" fontId="2" fillId="0" borderId="14" xfId="0" applyFont="1" applyBorder="1" applyAlignment="1">
      <alignment horizontal="left"/>
    </xf>
    <xf numFmtId="0" fontId="2" fillId="0" borderId="13" xfId="0" applyFont="1" applyBorder="1" applyAlignment="1" applyProtection="1">
      <alignment horizontal="center"/>
      <protection locked="0"/>
    </xf>
    <xf numFmtId="0" fontId="8" fillId="0" borderId="0" xfId="0" applyFont="1" applyAlignment="1" applyProtection="1">
      <protection locked="0"/>
    </xf>
    <xf numFmtId="0" fontId="45" fillId="0" borderId="0" xfId="0" applyFont="1" applyAlignment="1" applyProtection="1">
      <protection locked="0"/>
    </xf>
    <xf numFmtId="0" fontId="3" fillId="0" borderId="22" xfId="0" quotePrefix="1" applyFont="1" applyBorder="1" applyAlignment="1">
      <alignment horizontal="center"/>
    </xf>
    <xf numFmtId="0" fontId="3" fillId="0" borderId="18" xfId="0" quotePrefix="1" applyFont="1" applyBorder="1" applyAlignment="1">
      <alignment horizontal="center"/>
    </xf>
    <xf numFmtId="0" fontId="3" fillId="0" borderId="20" xfId="0" quotePrefix="1" applyFont="1" applyBorder="1" applyAlignment="1">
      <alignment horizontal="center"/>
    </xf>
    <xf numFmtId="0" fontId="3" fillId="0" borderId="18" xfId="0" quotePrefix="1" applyFont="1" applyFill="1" applyBorder="1" applyAlignment="1">
      <alignment horizontal="center"/>
    </xf>
    <xf numFmtId="0" fontId="3" fillId="0" borderId="22" xfId="0" quotePrefix="1" applyFont="1" applyFill="1" applyBorder="1" applyAlignment="1">
      <alignment horizontal="center"/>
    </xf>
    <xf numFmtId="0" fontId="2" fillId="0" borderId="22" xfId="0" applyFont="1" applyBorder="1" applyAlignment="1">
      <alignment horizontal="center" vertical="center"/>
    </xf>
    <xf numFmtId="0" fontId="2" fillId="0" borderId="0" xfId="0" applyFont="1" applyBorder="1"/>
    <xf numFmtId="0" fontId="107" fillId="0" borderId="0" xfId="0" applyFont="1" applyBorder="1" applyAlignment="1">
      <alignment horizontal="center"/>
    </xf>
    <xf numFmtId="0" fontId="2" fillId="0" borderId="16" xfId="0" applyFont="1" applyBorder="1"/>
    <xf numFmtId="0" fontId="3" fillId="0" borderId="16" xfId="0" applyFont="1" applyBorder="1" applyAlignment="1">
      <alignment vertical="top" wrapText="1"/>
    </xf>
    <xf numFmtId="0" fontId="107" fillId="0" borderId="24" xfId="0" applyFont="1" applyBorder="1"/>
    <xf numFmtId="0" fontId="2" fillId="0" borderId="23" xfId="0" applyFont="1" applyBorder="1" applyAlignment="1"/>
    <xf numFmtId="0" fontId="3" fillId="0" borderId="23" xfId="0" applyFont="1" applyBorder="1" applyAlignment="1"/>
    <xf numFmtId="0" fontId="3" fillId="0" borderId="23" xfId="0" applyFont="1" applyBorder="1"/>
    <xf numFmtId="0" fontId="3" fillId="0" borderId="0" xfId="0" applyFont="1" applyAlignment="1" applyProtection="1">
      <alignment vertical="top"/>
      <protection locked="0"/>
    </xf>
    <xf numFmtId="0" fontId="3" fillId="0" borderId="12" xfId="0" applyFont="1" applyBorder="1" applyAlignment="1">
      <alignment horizontal="center" vertical="top"/>
    </xf>
    <xf numFmtId="0" fontId="3" fillId="0" borderId="17" xfId="0" applyFont="1" applyBorder="1" applyAlignment="1">
      <alignment vertical="center"/>
    </xf>
    <xf numFmtId="0" fontId="3" fillId="0" borderId="19" xfId="0" applyFont="1" applyBorder="1" applyAlignment="1">
      <alignment vertical="top"/>
    </xf>
    <xf numFmtId="0" fontId="107" fillId="0" borderId="19" xfId="0" applyFont="1" applyBorder="1" applyAlignment="1">
      <alignment horizontal="center" vertical="top"/>
    </xf>
    <xf numFmtId="0" fontId="107" fillId="0" borderId="19" xfId="0" applyFont="1" applyBorder="1" applyAlignment="1">
      <alignment horizontal="center"/>
    </xf>
    <xf numFmtId="0" fontId="3" fillId="0" borderId="19" xfId="0" applyFont="1" applyBorder="1"/>
    <xf numFmtId="0" fontId="2" fillId="0" borderId="19" xfId="0" applyFont="1" applyBorder="1" applyAlignment="1">
      <alignment horizontal="center"/>
    </xf>
    <xf numFmtId="0" fontId="2" fillId="0" borderId="16" xfId="0" applyFont="1" applyBorder="1" applyAlignment="1" applyProtection="1">
      <alignment horizontal="center"/>
      <protection locked="0"/>
    </xf>
    <xf numFmtId="0" fontId="2" fillId="0" borderId="19" xfId="0" applyFont="1" applyBorder="1" applyAlignment="1">
      <alignment horizontal="center" vertical="top"/>
    </xf>
    <xf numFmtId="0" fontId="2" fillId="0" borderId="14" xfId="0" applyFont="1" applyBorder="1" applyAlignment="1">
      <alignment horizontal="center"/>
    </xf>
    <xf numFmtId="0" fontId="2" fillId="0" borderId="15" xfId="0" applyFont="1" applyBorder="1" applyAlignment="1" applyProtection="1">
      <alignment horizontal="center"/>
      <protection locked="0"/>
    </xf>
    <xf numFmtId="0" fontId="8" fillId="0" borderId="0" xfId="0" applyFont="1" applyBorder="1" applyAlignment="1" applyProtection="1">
      <alignment horizontal="right"/>
      <protection locked="0"/>
    </xf>
    <xf numFmtId="0" fontId="8" fillId="0" borderId="0" xfId="0" applyFont="1" applyBorder="1" applyProtection="1">
      <protection locked="0"/>
    </xf>
    <xf numFmtId="0" fontId="45" fillId="0" borderId="0" xfId="0" applyFont="1" applyBorder="1" applyProtection="1">
      <protection locked="0"/>
    </xf>
    <xf numFmtId="0" fontId="8" fillId="0" borderId="0" xfId="0" applyFont="1" applyBorder="1" applyAlignment="1" applyProtection="1">
      <alignment vertical="top"/>
      <protection locked="0"/>
    </xf>
    <xf numFmtId="0" fontId="45" fillId="0" borderId="0" xfId="0" applyFont="1" applyBorder="1" applyAlignment="1" applyProtection="1">
      <alignment vertical="top"/>
      <protection locked="0"/>
    </xf>
    <xf numFmtId="0" fontId="107" fillId="0" borderId="19" xfId="0" applyFont="1" applyBorder="1" applyAlignment="1">
      <alignment vertical="top"/>
    </xf>
    <xf numFmtId="0" fontId="3" fillId="0" borderId="16" xfId="0" applyFont="1" applyBorder="1" applyAlignment="1">
      <alignment vertical="center" wrapText="1"/>
    </xf>
    <xf numFmtId="0" fontId="3" fillId="0" borderId="16" xfId="0" applyFont="1" applyBorder="1" applyAlignment="1">
      <alignment wrapText="1"/>
    </xf>
    <xf numFmtId="0" fontId="107" fillId="0" borderId="0" xfId="0" applyFont="1" applyBorder="1" applyAlignment="1" applyProtection="1">
      <alignment horizontal="center"/>
      <protection locked="0"/>
    </xf>
    <xf numFmtId="0" fontId="107" fillId="0" borderId="12" xfId="0" applyFont="1" applyBorder="1" applyAlignment="1" applyProtection="1">
      <alignment horizontal="center"/>
      <protection locked="0"/>
    </xf>
    <xf numFmtId="0" fontId="8" fillId="0" borderId="16" xfId="0" applyFont="1" applyBorder="1"/>
    <xf numFmtId="0" fontId="3" fillId="0" borderId="13" xfId="0" applyFont="1" applyBorder="1" applyAlignment="1" applyProtection="1">
      <alignment horizontal="center"/>
      <protection locked="0"/>
    </xf>
    <xf numFmtId="0" fontId="3" fillId="0" borderId="24" xfId="0" applyFont="1" applyBorder="1"/>
    <xf numFmtId="0" fontId="3" fillId="0" borderId="17" xfId="0" applyFont="1" applyBorder="1"/>
    <xf numFmtId="0" fontId="3" fillId="0" borderId="21" xfId="0" quotePrefix="1" applyFont="1" applyBorder="1" applyAlignment="1">
      <alignment horizontal="center" vertical="center"/>
    </xf>
    <xf numFmtId="0" fontId="3" fillId="0" borderId="12" xfId="0" applyFont="1" applyBorder="1" applyAlignment="1">
      <alignment horizontal="left" vertical="top"/>
    </xf>
    <xf numFmtId="0" fontId="45" fillId="0" borderId="0" xfId="0" applyFont="1" applyAlignment="1" applyProtection="1">
      <alignment horizontal="right"/>
      <protection locked="0"/>
    </xf>
    <xf numFmtId="0" fontId="45" fillId="0" borderId="0" xfId="0" applyFont="1" applyAlignment="1" applyProtection="1">
      <alignment horizontal="center"/>
      <protection locked="0"/>
    </xf>
    <xf numFmtId="0" fontId="107" fillId="0" borderId="0" xfId="0" applyFont="1" applyAlignment="1">
      <alignment horizontal="left"/>
    </xf>
    <xf numFmtId="0" fontId="8" fillId="0" borderId="0" xfId="0" applyFont="1" applyAlignment="1" applyProtection="1">
      <alignment horizontal="left"/>
      <protection locked="0"/>
    </xf>
    <xf numFmtId="0" fontId="45" fillId="0" borderId="0" xfId="0" applyFont="1" applyAlignment="1">
      <alignment horizontal="right" vertical="center"/>
    </xf>
    <xf numFmtId="0" fontId="72" fillId="0" borderId="24" xfId="0" applyFont="1" applyBorder="1" applyAlignment="1">
      <alignment horizontal="center" vertical="center"/>
    </xf>
    <xf numFmtId="0" fontId="72" fillId="0" borderId="11" xfId="0" applyFont="1" applyBorder="1" applyAlignment="1">
      <alignment horizontal="center" vertical="center"/>
    </xf>
    <xf numFmtId="0" fontId="72" fillId="0" borderId="17" xfId="0" applyFont="1" applyBorder="1" applyAlignment="1">
      <alignment horizontal="center" vertical="center"/>
    </xf>
    <xf numFmtId="0" fontId="8" fillId="0" borderId="24" xfId="0" applyFont="1" applyBorder="1" applyAlignment="1">
      <alignment horizontal="center" vertical="center"/>
    </xf>
    <xf numFmtId="0" fontId="8" fillId="0" borderId="11" xfId="0" applyFont="1" applyBorder="1" applyAlignment="1">
      <alignment horizontal="center" vertical="center"/>
    </xf>
    <xf numFmtId="0" fontId="8" fillId="0" borderId="17" xfId="0" applyFont="1" applyBorder="1" applyAlignment="1">
      <alignment horizontal="center" vertical="center"/>
    </xf>
    <xf numFmtId="0" fontId="8" fillId="0" borderId="11" xfId="0" quotePrefix="1" applyFont="1" applyBorder="1" applyAlignment="1">
      <alignment horizontal="center" vertical="center"/>
    </xf>
    <xf numFmtId="0" fontId="8" fillId="0" borderId="24" xfId="0" quotePrefix="1" applyFont="1" applyBorder="1" applyAlignment="1">
      <alignment horizontal="center" vertical="center"/>
    </xf>
    <xf numFmtId="0" fontId="8" fillId="0" borderId="17" xfId="0" quotePrefix="1" applyFont="1" applyBorder="1" applyAlignment="1">
      <alignment horizontal="center" vertical="center"/>
    </xf>
    <xf numFmtId="0" fontId="45" fillId="0" borderId="12" xfId="0" applyFont="1" applyBorder="1" applyAlignment="1" applyProtection="1">
      <alignment vertical="center"/>
      <protection locked="0"/>
    </xf>
    <xf numFmtId="0" fontId="45" fillId="0" borderId="16" xfId="0" applyFont="1" applyBorder="1" applyAlignment="1" applyProtection="1">
      <alignment horizontal="center" vertical="center"/>
      <protection locked="0"/>
    </xf>
    <xf numFmtId="0" fontId="45" fillId="0" borderId="19" xfId="0" applyFont="1" applyBorder="1" applyAlignment="1">
      <alignment horizontal="center"/>
    </xf>
    <xf numFmtId="0" fontId="45" fillId="0" borderId="12" xfId="0" applyFont="1" applyFill="1" applyBorder="1" applyAlignment="1" applyProtection="1">
      <alignment horizontal="center" vertical="center"/>
      <protection locked="0"/>
    </xf>
    <xf numFmtId="0" fontId="45" fillId="0" borderId="13" xfId="0" applyFont="1" applyBorder="1" applyAlignment="1" applyProtection="1">
      <alignment vertical="center"/>
      <protection locked="0"/>
    </xf>
    <xf numFmtId="0" fontId="45" fillId="0" borderId="13" xfId="0" applyFont="1" applyBorder="1" applyAlignment="1" applyProtection="1">
      <alignment horizontal="center" vertical="center"/>
      <protection locked="0"/>
    </xf>
    <xf numFmtId="0" fontId="5" fillId="0" borderId="0" xfId="0" applyFont="1" applyBorder="1" applyAlignment="1">
      <alignment horizontal="center"/>
    </xf>
    <xf numFmtId="0" fontId="3" fillId="0" borderId="17" xfId="0" quotePrefix="1" applyFont="1" applyFill="1" applyBorder="1" applyAlignment="1">
      <alignment horizontal="center" vertical="center"/>
    </xf>
    <xf numFmtId="2" fontId="2" fillId="0" borderId="18" xfId="0" applyNumberFormat="1" applyFont="1" applyBorder="1" applyAlignment="1" applyProtection="1">
      <alignment horizontal="center" vertical="center"/>
      <protection locked="0"/>
    </xf>
    <xf numFmtId="2" fontId="2" fillId="0" borderId="0" xfId="0" applyNumberFormat="1" applyFont="1" applyBorder="1" applyAlignment="1" applyProtection="1">
      <alignment horizontal="center" vertical="center"/>
      <protection locked="0"/>
    </xf>
    <xf numFmtId="2" fontId="2" fillId="0" borderId="12" xfId="0" applyNumberFormat="1" applyFont="1" applyBorder="1" applyAlignment="1" applyProtection="1">
      <alignment horizontal="center" vertical="center"/>
      <protection locked="0"/>
    </xf>
    <xf numFmtId="2" fontId="107" fillId="0" borderId="19" xfId="0" applyNumberFormat="1" applyFont="1" applyBorder="1" applyAlignment="1" applyProtection="1">
      <alignment horizontal="center" vertical="center"/>
      <protection locked="0"/>
    </xf>
    <xf numFmtId="2" fontId="107" fillId="0" borderId="12" xfId="0" applyNumberFormat="1" applyFont="1" applyBorder="1" applyAlignment="1" applyProtection="1">
      <alignment horizontal="center" vertical="center"/>
      <protection locked="0"/>
    </xf>
    <xf numFmtId="2" fontId="107" fillId="0" borderId="0" xfId="0" applyNumberFormat="1" applyFont="1" applyBorder="1" applyAlignment="1" applyProtection="1">
      <alignment horizontal="center" vertical="center"/>
      <protection locked="0"/>
    </xf>
    <xf numFmtId="2" fontId="2" fillId="0" borderId="0" xfId="0" applyNumberFormat="1" applyFont="1" applyFill="1" applyBorder="1" applyAlignment="1">
      <alignment horizontal="center" vertical="center"/>
    </xf>
    <xf numFmtId="2" fontId="107" fillId="0" borderId="16" xfId="0" applyNumberFormat="1" applyFont="1" applyBorder="1" applyAlignment="1" applyProtection="1">
      <alignment horizontal="center" vertical="center"/>
      <protection locked="0"/>
    </xf>
    <xf numFmtId="2" fontId="107" fillId="0" borderId="13" xfId="0" applyNumberFormat="1" applyFont="1" applyBorder="1" applyAlignment="1" applyProtection="1">
      <alignment horizontal="center" vertical="center"/>
      <protection locked="0"/>
    </xf>
    <xf numFmtId="2" fontId="107" fillId="0" borderId="13" xfId="0" applyNumberFormat="1" applyFont="1" applyBorder="1" applyAlignment="1">
      <alignment horizontal="center" vertical="center"/>
    </xf>
    <xf numFmtId="2" fontId="2" fillId="0" borderId="13" xfId="0" applyNumberFormat="1" applyFont="1" applyBorder="1" applyAlignment="1">
      <alignment horizontal="center" vertical="center"/>
    </xf>
    <xf numFmtId="0" fontId="107" fillId="0" borderId="0" xfId="0" applyFont="1" applyBorder="1" applyAlignment="1" applyProtection="1">
      <alignment horizontal="center" vertical="center"/>
      <protection locked="0" hidden="1"/>
    </xf>
    <xf numFmtId="0" fontId="107" fillId="0" borderId="12" xfId="0" applyFont="1" applyBorder="1" applyAlignment="1" applyProtection="1">
      <alignment horizontal="center" vertical="center"/>
      <protection locked="0" hidden="1"/>
    </xf>
    <xf numFmtId="0" fontId="107" fillId="0" borderId="19" xfId="0" applyFont="1" applyBorder="1" applyAlignment="1" applyProtection="1">
      <alignment horizontal="center" vertical="center"/>
      <protection locked="0" hidden="1"/>
    </xf>
    <xf numFmtId="0" fontId="107" fillId="0" borderId="14" xfId="0" applyFont="1" applyBorder="1" applyAlignment="1" applyProtection="1">
      <alignment horizontal="center" vertical="center"/>
      <protection locked="0" hidden="1"/>
    </xf>
    <xf numFmtId="0" fontId="3" fillId="0" borderId="14" xfId="0" applyFont="1" applyBorder="1" applyAlignment="1">
      <alignment horizontal="left" vertical="center" wrapText="1"/>
    </xf>
    <xf numFmtId="0" fontId="107" fillId="0" borderId="21" xfId="0" applyFont="1" applyBorder="1" applyAlignment="1">
      <alignment horizontal="center" vertical="center"/>
    </xf>
    <xf numFmtId="0" fontId="3" fillId="0" borderId="14" xfId="0" applyFont="1" applyFill="1" applyBorder="1" applyAlignment="1">
      <alignment horizontal="center" vertical="center"/>
    </xf>
    <xf numFmtId="0" fontId="3" fillId="0" borderId="13" xfId="0" applyFont="1" applyBorder="1" applyAlignment="1">
      <alignment horizontal="left" vertical="center" wrapText="1"/>
    </xf>
    <xf numFmtId="0" fontId="2" fillId="0" borderId="19" xfId="0" applyFont="1" applyBorder="1" applyAlignment="1" applyProtection="1">
      <alignment vertical="center"/>
      <protection locked="0"/>
    </xf>
    <xf numFmtId="0" fontId="3" fillId="0" borderId="0" xfId="0" applyFont="1" applyAlignment="1" applyProtection="1">
      <alignment horizontal="left" vertical="center"/>
      <protection locked="0"/>
    </xf>
    <xf numFmtId="0" fontId="3" fillId="0" borderId="0" xfId="0" applyFont="1" applyAlignment="1" applyProtection="1">
      <alignment horizontal="left" vertical="center" shrinkToFit="1"/>
      <protection locked="0"/>
    </xf>
    <xf numFmtId="0" fontId="3" fillId="0" borderId="23" xfId="0" quotePrefix="1" applyFont="1" applyFill="1" applyBorder="1" applyAlignment="1">
      <alignment horizontal="center" vertical="center"/>
    </xf>
    <xf numFmtId="0" fontId="107" fillId="0" borderId="19" xfId="0" applyFont="1" applyFill="1" applyBorder="1" applyAlignment="1" applyProtection="1">
      <alignment horizontal="center" vertical="center"/>
      <protection locked="0"/>
    </xf>
    <xf numFmtId="0" fontId="107" fillId="0" borderId="13" xfId="0" applyFont="1" applyFill="1" applyBorder="1" applyAlignment="1" applyProtection="1">
      <alignment horizontal="center" vertical="center"/>
      <protection locked="0"/>
    </xf>
    <xf numFmtId="0" fontId="107" fillId="0" borderId="14" xfId="0" applyFont="1" applyFill="1" applyBorder="1" applyAlignment="1" applyProtection="1">
      <alignment horizontal="center" vertical="center"/>
      <protection locked="0"/>
    </xf>
    <xf numFmtId="0" fontId="3" fillId="0" borderId="22" xfId="0" applyFont="1" applyBorder="1" applyAlignment="1" applyProtection="1">
      <alignment horizontal="right" vertical="center"/>
      <protection locked="0"/>
    </xf>
    <xf numFmtId="0" fontId="8" fillId="0" borderId="22" xfId="0" applyFont="1" applyBorder="1" applyAlignment="1" applyProtection="1">
      <alignment horizontal="right" vertical="center"/>
      <protection locked="0"/>
    </xf>
    <xf numFmtId="0" fontId="3" fillId="0" borderId="0" xfId="0" applyFont="1" applyAlignment="1">
      <alignment horizontal="center" vertical="center" wrapText="1"/>
    </xf>
    <xf numFmtId="0" fontId="45" fillId="0" borderId="23" xfId="0" quotePrefix="1" applyFont="1" applyBorder="1" applyAlignment="1">
      <alignment horizontal="center" vertical="center" wrapText="1"/>
    </xf>
    <xf numFmtId="0" fontId="45" fillId="0" borderId="11" xfId="0" quotePrefix="1" applyFont="1" applyBorder="1" applyAlignment="1">
      <alignment horizontal="center" vertical="center" wrapText="1"/>
    </xf>
    <xf numFmtId="0" fontId="3" fillId="0" borderId="0" xfId="0" applyFont="1" applyBorder="1" applyAlignment="1" applyProtection="1">
      <alignment horizontal="right"/>
      <protection locked="0"/>
    </xf>
    <xf numFmtId="0" fontId="3" fillId="0" borderId="14" xfId="0" applyFont="1" applyBorder="1" applyAlignment="1">
      <alignment horizontal="center" vertical="top" wrapText="1"/>
    </xf>
    <xf numFmtId="0" fontId="3" fillId="0" borderId="15" xfId="0" applyFont="1" applyBorder="1" applyAlignment="1">
      <alignment horizontal="center" vertical="top" wrapText="1"/>
    </xf>
    <xf numFmtId="0" fontId="3" fillId="0" borderId="19" xfId="0" quotePrefix="1" applyFont="1" applyBorder="1" applyAlignment="1">
      <alignment horizontal="center" vertical="center" wrapText="1"/>
    </xf>
    <xf numFmtId="0" fontId="3" fillId="0" borderId="16" xfId="0" quotePrefix="1" applyFont="1" applyBorder="1" applyAlignment="1">
      <alignment horizontal="center" vertical="center" wrapText="1"/>
    </xf>
    <xf numFmtId="0" fontId="3" fillId="0" borderId="12" xfId="0" quotePrefix="1" applyFont="1" applyBorder="1" applyAlignment="1">
      <alignment horizontal="center" vertical="center" wrapText="1"/>
    </xf>
    <xf numFmtId="0" fontId="107" fillId="0" borderId="23" xfId="0" applyFont="1" applyBorder="1" applyAlignment="1">
      <alignment horizontal="center" vertical="center"/>
    </xf>
    <xf numFmtId="0" fontId="107" fillId="0" borderId="24" xfId="0" applyFont="1" applyFill="1" applyBorder="1" applyAlignment="1">
      <alignment horizontal="center" vertical="center"/>
    </xf>
    <xf numFmtId="2" fontId="107" fillId="0" borderId="11" xfId="0" applyNumberFormat="1" applyFont="1" applyBorder="1" applyAlignment="1">
      <alignment horizontal="center" vertical="center"/>
    </xf>
    <xf numFmtId="0" fontId="74" fillId="0" borderId="0" xfId="0" applyFont="1" applyBorder="1" applyAlignment="1">
      <alignment horizontal="center" vertical="center"/>
    </xf>
    <xf numFmtId="0" fontId="107" fillId="0" borderId="0" xfId="0" applyFont="1" applyBorder="1" applyAlignment="1" applyProtection="1">
      <alignment horizontal="left"/>
      <protection locked="0"/>
    </xf>
    <xf numFmtId="2" fontId="107" fillId="0" borderId="0" xfId="0" applyNumberFormat="1" applyFont="1" applyFill="1" applyBorder="1" applyAlignment="1" applyProtection="1">
      <alignment horizontal="center" vertical="center"/>
      <protection locked="0"/>
    </xf>
    <xf numFmtId="0" fontId="3" fillId="0" borderId="18" xfId="0" applyFont="1" applyBorder="1" applyAlignment="1">
      <alignment vertical="center"/>
    </xf>
    <xf numFmtId="164" fontId="107" fillId="0" borderId="12" xfId="0" applyNumberFormat="1" applyFont="1" applyFill="1" applyBorder="1" applyAlignment="1" applyProtection="1">
      <alignment horizontal="center" vertical="center"/>
      <protection locked="0"/>
    </xf>
    <xf numFmtId="164" fontId="107" fillId="0" borderId="16" xfId="0" applyNumberFormat="1" applyFont="1" applyBorder="1" applyAlignment="1" applyProtection="1">
      <alignment horizontal="center" vertical="center"/>
      <protection locked="0"/>
    </xf>
    <xf numFmtId="0" fontId="5" fillId="0" borderId="10" xfId="0" applyFont="1" applyBorder="1" applyAlignment="1">
      <alignment horizontal="left" vertical="center" wrapText="1"/>
    </xf>
    <xf numFmtId="164" fontId="2" fillId="0" borderId="13" xfId="0" applyNumberFormat="1" applyFont="1" applyBorder="1" applyAlignment="1">
      <alignment horizontal="center" vertical="center"/>
    </xf>
    <xf numFmtId="0" fontId="107" fillId="0" borderId="19" xfId="0" quotePrefix="1" applyFont="1" applyBorder="1" applyAlignment="1">
      <alignment horizontal="center" vertical="center"/>
    </xf>
    <xf numFmtId="164" fontId="107" fillId="0" borderId="12" xfId="0" applyNumberFormat="1" applyFont="1" applyBorder="1" applyAlignment="1">
      <alignment horizontal="center" vertical="center"/>
    </xf>
    <xf numFmtId="0" fontId="107" fillId="0" borderId="0" xfId="0" applyFont="1" applyAlignment="1">
      <alignment horizontal="left" indent="1"/>
    </xf>
    <xf numFmtId="0" fontId="3" fillId="0" borderId="19" xfId="0" quotePrefix="1" applyFont="1" applyBorder="1" applyAlignment="1">
      <alignment vertical="center"/>
    </xf>
    <xf numFmtId="0" fontId="3" fillId="0" borderId="14" xfId="0" applyFont="1" applyBorder="1"/>
    <xf numFmtId="0" fontId="5" fillId="0" borderId="15" xfId="0" applyFont="1" applyBorder="1" applyAlignment="1">
      <alignment horizontal="left" vertical="top" wrapText="1"/>
    </xf>
    <xf numFmtId="0" fontId="107" fillId="0" borderId="14" xfId="0" applyFont="1" applyBorder="1"/>
    <xf numFmtId="0" fontId="74" fillId="0" borderId="10" xfId="0" applyFont="1" applyBorder="1" applyAlignment="1">
      <alignment horizontal="left" vertical="top" wrapText="1"/>
    </xf>
    <xf numFmtId="0" fontId="2" fillId="0" borderId="13" xfId="0" applyFont="1" applyFill="1" applyBorder="1" applyAlignment="1">
      <alignment horizontal="center" vertical="center"/>
    </xf>
    <xf numFmtId="0" fontId="3" fillId="0" borderId="14" xfId="0" quotePrefix="1" applyFont="1" applyFill="1" applyBorder="1" applyAlignment="1">
      <alignment horizontal="center" vertical="center"/>
    </xf>
    <xf numFmtId="0" fontId="3" fillId="0" borderId="13" xfId="0" quotePrefix="1" applyFont="1" applyFill="1" applyBorder="1" applyAlignment="1">
      <alignment horizontal="center" vertical="center"/>
    </xf>
    <xf numFmtId="0" fontId="45" fillId="0" borderId="0" xfId="0" applyFont="1" applyFill="1"/>
    <xf numFmtId="2" fontId="107" fillId="0" borderId="0" xfId="0" applyNumberFormat="1" applyFont="1" applyFill="1" applyBorder="1" applyAlignment="1">
      <alignment horizontal="center" vertical="center"/>
    </xf>
    <xf numFmtId="2" fontId="107" fillId="0" borderId="20" xfId="0" applyNumberFormat="1" applyFont="1" applyFill="1" applyBorder="1" applyAlignment="1">
      <alignment horizontal="center" vertical="center"/>
    </xf>
    <xf numFmtId="2" fontId="107" fillId="0" borderId="19" xfId="0" applyNumberFormat="1" applyFont="1" applyFill="1" applyBorder="1" applyAlignment="1">
      <alignment horizontal="center" vertical="center"/>
    </xf>
    <xf numFmtId="2" fontId="107" fillId="0" borderId="10" xfId="0" applyNumberFormat="1" applyFont="1" applyFill="1" applyBorder="1" applyAlignment="1">
      <alignment horizontal="center" vertical="center"/>
    </xf>
    <xf numFmtId="2" fontId="107" fillId="0" borderId="14" xfId="0" applyNumberFormat="1" applyFont="1" applyFill="1" applyBorder="1" applyAlignment="1">
      <alignment horizontal="center" vertical="center"/>
    </xf>
    <xf numFmtId="0" fontId="3" fillId="0" borderId="18" xfId="0" applyFont="1" applyBorder="1" applyAlignment="1" applyProtection="1">
      <alignment vertical="center"/>
      <protection locked="0"/>
    </xf>
    <xf numFmtId="0" fontId="3" fillId="0" borderId="16" xfId="0" applyFont="1" applyBorder="1" applyAlignment="1" applyProtection="1">
      <alignment vertical="center"/>
      <protection locked="0"/>
    </xf>
    <xf numFmtId="2" fontId="107" fillId="0" borderId="0" xfId="0" applyNumberFormat="1" applyFont="1" applyAlignment="1" applyProtection="1">
      <alignment horizontal="center" vertical="center"/>
      <protection locked="0"/>
    </xf>
    <xf numFmtId="2" fontId="107" fillId="0" borderId="0" xfId="0" applyNumberFormat="1" applyFont="1" applyFill="1" applyBorder="1" applyAlignment="1">
      <alignment horizontal="center"/>
    </xf>
    <xf numFmtId="0" fontId="2" fillId="0" borderId="17" xfId="0" applyFont="1" applyBorder="1" applyAlignment="1">
      <alignment vertical="center"/>
    </xf>
    <xf numFmtId="2" fontId="2" fillId="0" borderId="17" xfId="0" applyNumberFormat="1" applyFont="1" applyBorder="1" applyAlignment="1" applyProtection="1">
      <alignment horizontal="center" vertical="center"/>
    </xf>
    <xf numFmtId="2" fontId="2" fillId="0" borderId="23" xfId="0" applyNumberFormat="1" applyFont="1" applyBorder="1" applyAlignment="1" applyProtection="1">
      <alignment horizontal="center" vertical="center"/>
    </xf>
    <xf numFmtId="2" fontId="2" fillId="0" borderId="11" xfId="0" applyNumberFormat="1" applyFont="1" applyBorder="1" applyAlignment="1" applyProtection="1">
      <alignment horizontal="center" vertical="center"/>
    </xf>
    <xf numFmtId="0" fontId="107" fillId="0" borderId="19" xfId="0" quotePrefix="1" applyFont="1" applyBorder="1" applyAlignment="1">
      <alignment vertical="center"/>
    </xf>
    <xf numFmtId="2" fontId="107" fillId="0" borderId="12" xfId="0" applyNumberFormat="1" applyFont="1" applyFill="1" applyBorder="1" applyAlignment="1">
      <alignment horizontal="center" vertical="center"/>
    </xf>
    <xf numFmtId="0" fontId="107" fillId="0" borderId="0" xfId="0" applyFont="1" applyAlignment="1">
      <alignment horizontal="right" vertical="center"/>
    </xf>
    <xf numFmtId="0" fontId="3" fillId="0" borderId="11" xfId="0" quotePrefix="1" applyNumberFormat="1" applyFont="1" applyBorder="1" applyAlignment="1">
      <alignment horizontal="center" vertical="center"/>
    </xf>
    <xf numFmtId="0" fontId="3" fillId="0" borderId="18" xfId="0" applyFont="1" applyBorder="1" applyAlignment="1">
      <alignment horizontal="left" vertical="center"/>
    </xf>
    <xf numFmtId="0" fontId="3" fillId="0" borderId="18" xfId="0" quotePrefix="1" applyFont="1" applyBorder="1" applyAlignment="1">
      <alignment horizontal="center" vertical="center"/>
    </xf>
    <xf numFmtId="165" fontId="107" fillId="0" borderId="18" xfId="0" applyNumberFormat="1" applyFont="1" applyBorder="1" applyAlignment="1">
      <alignment horizontal="center" vertical="center"/>
    </xf>
    <xf numFmtId="165" fontId="107" fillId="0" borderId="12" xfId="0" applyNumberFormat="1" applyFont="1" applyBorder="1" applyAlignment="1">
      <alignment horizontal="center" vertical="center"/>
    </xf>
    <xf numFmtId="165" fontId="107" fillId="0" borderId="13" xfId="0" applyNumberFormat="1" applyFont="1" applyBorder="1" applyAlignment="1">
      <alignment horizontal="center" vertical="center"/>
    </xf>
    <xf numFmtId="0" fontId="3" fillId="0" borderId="0" xfId="0" applyFont="1" applyFill="1" applyBorder="1"/>
    <xf numFmtId="0" fontId="2" fillId="0" borderId="18" xfId="0" applyFont="1" applyBorder="1" applyAlignment="1">
      <alignment horizontal="left" vertical="center"/>
    </xf>
    <xf numFmtId="0" fontId="109" fillId="0" borderId="20" xfId="0" applyFont="1" applyBorder="1" applyAlignment="1">
      <alignment horizontal="left" vertical="center"/>
    </xf>
    <xf numFmtId="0" fontId="109" fillId="0" borderId="18" xfId="0" applyFont="1" applyBorder="1" applyAlignment="1">
      <alignment horizontal="left" vertical="center"/>
    </xf>
    <xf numFmtId="0" fontId="109" fillId="0" borderId="22" xfId="0" applyFont="1" applyBorder="1" applyAlignment="1">
      <alignment horizontal="left" vertical="center"/>
    </xf>
    <xf numFmtId="2" fontId="107" fillId="0" borderId="12" xfId="0" applyNumberFormat="1" applyFont="1" applyFill="1" applyBorder="1" applyAlignment="1" applyProtection="1">
      <alignment horizontal="center" vertical="center"/>
      <protection locked="0"/>
    </xf>
    <xf numFmtId="0" fontId="2" fillId="0" borderId="12" xfId="0" applyFont="1" applyBorder="1" applyAlignment="1">
      <alignment horizontal="left" vertical="center"/>
    </xf>
    <xf numFmtId="0" fontId="8" fillId="0" borderId="0" xfId="0" applyFont="1" applyBorder="1" applyAlignment="1">
      <alignment horizontal="center" vertical="center"/>
    </xf>
    <xf numFmtId="165" fontId="107" fillId="0" borderId="12" xfId="0" applyNumberFormat="1" applyFont="1" applyFill="1" applyBorder="1" applyAlignment="1" applyProtection="1">
      <alignment horizontal="center" vertical="center"/>
      <protection locked="0"/>
    </xf>
    <xf numFmtId="1" fontId="107" fillId="0" borderId="12" xfId="0" applyNumberFormat="1" applyFont="1" applyFill="1" applyBorder="1" applyAlignment="1" applyProtection="1">
      <alignment horizontal="center" vertical="center"/>
      <protection locked="0"/>
    </xf>
    <xf numFmtId="1" fontId="107" fillId="0" borderId="13" xfId="0" applyNumberFormat="1" applyFont="1" applyFill="1" applyBorder="1" applyAlignment="1" applyProtection="1">
      <alignment horizontal="center" vertical="center"/>
      <protection locked="0"/>
    </xf>
    <xf numFmtId="0" fontId="58" fillId="0" borderId="12" xfId="0" applyFont="1" applyFill="1" applyBorder="1" applyAlignment="1">
      <alignment horizontal="center" vertical="center"/>
    </xf>
    <xf numFmtId="164" fontId="0" fillId="0" borderId="12" xfId="0" applyNumberFormat="1" applyBorder="1" applyAlignment="1">
      <alignment horizontal="center" vertical="center"/>
    </xf>
    <xf numFmtId="164" fontId="0" fillId="0" borderId="16" xfId="0" applyNumberFormat="1" applyBorder="1" applyAlignment="1" applyProtection="1">
      <alignment horizontal="center" vertical="center"/>
      <protection locked="0"/>
    </xf>
    <xf numFmtId="164" fontId="107" fillId="24" borderId="12" xfId="0" applyNumberFormat="1" applyFont="1" applyFill="1" applyBorder="1" applyAlignment="1" applyProtection="1">
      <alignment horizontal="center" vertical="center"/>
      <protection locked="0"/>
    </xf>
    <xf numFmtId="168" fontId="3" fillId="0" borderId="19" xfId="0" applyNumberFormat="1" applyFont="1" applyBorder="1" applyAlignment="1">
      <alignment horizontal="center" vertical="center"/>
    </xf>
    <xf numFmtId="0" fontId="110" fillId="0" borderId="17" xfId="0" applyFont="1" applyBorder="1" applyAlignment="1">
      <alignment horizontal="center" vertical="center"/>
    </xf>
    <xf numFmtId="0" fontId="110" fillId="0" borderId="15" xfId="0" applyFont="1" applyBorder="1" applyAlignment="1">
      <alignment horizontal="center" vertical="center"/>
    </xf>
    <xf numFmtId="0" fontId="110" fillId="0" borderId="11" xfId="0" applyFont="1" applyBorder="1" applyAlignment="1">
      <alignment horizontal="center" vertical="center"/>
    </xf>
    <xf numFmtId="0" fontId="110" fillId="0" borderId="16" xfId="0" applyFont="1" applyBorder="1" applyAlignment="1">
      <alignment horizontal="center" vertical="center"/>
    </xf>
    <xf numFmtId="0" fontId="110" fillId="0" borderId="17" xfId="0" quotePrefix="1" applyFont="1" applyBorder="1" applyAlignment="1">
      <alignment horizontal="center" vertical="center"/>
    </xf>
    <xf numFmtId="0" fontId="110" fillId="0" borderId="11" xfId="0" quotePrefix="1" applyFont="1" applyBorder="1" applyAlignment="1">
      <alignment horizontal="center" vertical="center"/>
    </xf>
    <xf numFmtId="0" fontId="110" fillId="0" borderId="15" xfId="0" quotePrefix="1" applyFont="1" applyBorder="1" applyAlignment="1">
      <alignment horizontal="center" vertical="center"/>
    </xf>
    <xf numFmtId="0" fontId="110" fillId="0" borderId="11" xfId="0" quotePrefix="1" applyFont="1" applyBorder="1" applyAlignment="1">
      <alignment horizontal="center" vertical="center" wrapText="1"/>
    </xf>
    <xf numFmtId="0" fontId="110" fillId="0" borderId="23" xfId="0" quotePrefix="1" applyFont="1" applyBorder="1" applyAlignment="1">
      <alignment horizontal="center" vertical="center"/>
    </xf>
    <xf numFmtId="167" fontId="0" fillId="0" borderId="16" xfId="0" applyNumberFormat="1" applyBorder="1" applyAlignment="1">
      <alignment horizontal="center" vertical="center"/>
    </xf>
    <xf numFmtId="165" fontId="3" fillId="0" borderId="15" xfId="0" applyNumberFormat="1" applyFont="1" applyBorder="1" applyAlignment="1">
      <alignment horizontal="center" vertical="center"/>
    </xf>
    <xf numFmtId="0" fontId="8" fillId="0" borderId="0" xfId="0" applyFont="1" applyBorder="1" applyAlignment="1">
      <alignment horizontal="left" vertical="center"/>
    </xf>
    <xf numFmtId="0" fontId="8" fillId="0" borderId="0" xfId="0" applyFont="1" applyAlignment="1">
      <alignment horizontal="left" vertical="center"/>
    </xf>
    <xf numFmtId="1" fontId="0" fillId="0" borderId="18" xfId="0" applyNumberFormat="1" applyBorder="1" applyAlignment="1">
      <alignment horizontal="center" vertical="center"/>
    </xf>
    <xf numFmtId="168" fontId="0" fillId="0" borderId="12" xfId="0" applyNumberFormat="1" applyBorder="1" applyAlignment="1">
      <alignment horizontal="center" vertical="center"/>
    </xf>
    <xf numFmtId="164" fontId="107" fillId="0" borderId="12" xfId="0" applyNumberFormat="1" applyFont="1" applyFill="1" applyBorder="1" applyAlignment="1">
      <alignment horizontal="center" vertical="center"/>
    </xf>
    <xf numFmtId="0" fontId="58" fillId="0" borderId="0" xfId="0" quotePrefix="1" applyFont="1" applyFill="1" applyBorder="1" applyAlignment="1">
      <alignment horizontal="center" vertical="center"/>
    </xf>
    <xf numFmtId="0" fontId="8" fillId="0" borderId="22" xfId="0" applyFont="1" applyBorder="1" applyAlignment="1">
      <alignment vertical="center" wrapText="1"/>
    </xf>
    <xf numFmtId="0" fontId="62" fillId="0" borderId="22" xfId="0" applyFont="1" applyBorder="1" applyAlignment="1">
      <alignment horizontal="right" vertical="center"/>
    </xf>
    <xf numFmtId="0" fontId="58" fillId="0" borderId="20" xfId="0" applyFont="1" applyBorder="1" applyAlignment="1">
      <alignment horizontal="center" vertical="center"/>
    </xf>
    <xf numFmtId="0" fontId="111" fillId="0" borderId="0" xfId="0" applyFont="1" applyFill="1" applyBorder="1" applyAlignment="1">
      <alignment horizontal="left" vertical="center"/>
    </xf>
    <xf numFmtId="0" fontId="2" fillId="0" borderId="12" xfId="0" applyFont="1" applyFill="1" applyBorder="1" applyAlignment="1">
      <alignment horizontal="center" vertical="center"/>
    </xf>
    <xf numFmtId="0" fontId="107" fillId="0" borderId="12" xfId="0" applyFont="1" applyBorder="1" applyAlignment="1">
      <alignment vertical="center"/>
    </xf>
    <xf numFmtId="0" fontId="107" fillId="0" borderId="22" xfId="0" applyFont="1" applyBorder="1" applyAlignment="1" applyProtection="1">
      <alignment horizontal="right" vertical="center"/>
      <protection locked="0"/>
    </xf>
    <xf numFmtId="0" fontId="45" fillId="0" borderId="0" xfId="0" applyFont="1" applyAlignment="1">
      <alignment vertical="center"/>
    </xf>
    <xf numFmtId="0" fontId="3" fillId="0" borderId="15" xfId="0" applyFont="1" applyBorder="1" applyAlignment="1">
      <alignment vertical="center"/>
    </xf>
    <xf numFmtId="1" fontId="3" fillId="0" borderId="18" xfId="0" applyNumberFormat="1" applyFont="1" applyBorder="1" applyAlignment="1">
      <alignment horizontal="center" vertical="center" wrapText="1"/>
    </xf>
    <xf numFmtId="0" fontId="0" fillId="0" borderId="21" xfId="0" applyBorder="1" applyAlignment="1">
      <alignment horizontal="center" vertical="center"/>
    </xf>
    <xf numFmtId="2" fontId="0" fillId="0" borderId="16" xfId="0" applyNumberFormat="1" applyBorder="1" applyAlignment="1">
      <alignment horizontal="center" vertical="center"/>
    </xf>
    <xf numFmtId="0" fontId="107" fillId="0" borderId="12" xfId="0" quotePrefix="1" applyFont="1" applyBorder="1" applyAlignment="1" applyProtection="1">
      <alignment horizontal="center" vertical="center"/>
      <protection locked="0"/>
    </xf>
    <xf numFmtId="0" fontId="21" fillId="0" borderId="17" xfId="0" applyFont="1" applyBorder="1" applyAlignment="1">
      <alignment horizontal="center" vertical="center"/>
    </xf>
    <xf numFmtId="0" fontId="18" fillId="0" borderId="13" xfId="0" quotePrefix="1" applyFont="1" applyBorder="1" applyAlignment="1">
      <alignment horizontal="center" vertical="center"/>
    </xf>
    <xf numFmtId="0" fontId="18" fillId="0" borderId="15" xfId="0" quotePrefix="1" applyFont="1" applyBorder="1" applyAlignment="1">
      <alignment horizontal="center" vertical="center"/>
    </xf>
    <xf numFmtId="0" fontId="21" fillId="0" borderId="12" xfId="0" applyFont="1" applyBorder="1" applyAlignment="1">
      <alignment vertical="center"/>
    </xf>
    <xf numFmtId="0" fontId="29" fillId="0" borderId="12" xfId="0" applyFont="1" applyBorder="1" applyAlignment="1">
      <alignment vertical="center"/>
    </xf>
    <xf numFmtId="0" fontId="29" fillId="0" borderId="12" xfId="0" applyFont="1" applyFill="1" applyBorder="1" applyAlignment="1">
      <alignment horizontal="center" vertical="center"/>
    </xf>
    <xf numFmtId="0" fontId="29" fillId="0" borderId="12" xfId="0" applyFont="1" applyBorder="1" applyAlignment="1">
      <alignment horizontal="center" vertical="center"/>
    </xf>
    <xf numFmtId="0" fontId="64" fillId="0" borderId="12" xfId="0" quotePrefix="1" applyFont="1" applyBorder="1" applyAlignment="1">
      <alignment horizontal="center" vertical="center"/>
    </xf>
    <xf numFmtId="0" fontId="29" fillId="0" borderId="12" xfId="0" applyFont="1" applyBorder="1" applyAlignment="1">
      <alignment vertical="center" wrapText="1"/>
    </xf>
    <xf numFmtId="0" fontId="29" fillId="0" borderId="12" xfId="0" applyFont="1" applyBorder="1" applyAlignment="1">
      <alignment horizontal="left" vertical="center"/>
    </xf>
    <xf numFmtId="0" fontId="29" fillId="0" borderId="13" xfId="0" applyFont="1" applyBorder="1" applyAlignment="1">
      <alignment horizontal="left" vertical="center"/>
    </xf>
    <xf numFmtId="0" fontId="64" fillId="0" borderId="13" xfId="0" applyFont="1" applyBorder="1" applyAlignment="1">
      <alignment horizontal="center" vertical="center"/>
    </xf>
    <xf numFmtId="2" fontId="72" fillId="0" borderId="0" xfId="0" applyNumberFormat="1" applyFont="1" applyBorder="1" applyAlignment="1">
      <alignment horizontal="right" vertical="center"/>
    </xf>
    <xf numFmtId="0" fontId="21" fillId="0" borderId="18" xfId="0" applyFont="1" applyBorder="1" applyAlignment="1">
      <alignment vertical="center"/>
    </xf>
    <xf numFmtId="0" fontId="26" fillId="0" borderId="18" xfId="0" applyFont="1" applyBorder="1" applyAlignment="1">
      <alignment horizontal="center" vertical="center"/>
    </xf>
    <xf numFmtId="0" fontId="26" fillId="0" borderId="12" xfId="0" quotePrefix="1" applyFont="1" applyBorder="1" applyAlignment="1">
      <alignment horizontal="center" vertical="center"/>
    </xf>
    <xf numFmtId="17" fontId="59" fillId="0" borderId="12" xfId="0" quotePrefix="1" applyNumberFormat="1" applyFont="1" applyBorder="1" applyAlignment="1">
      <alignment horizontal="center" vertical="center"/>
    </xf>
    <xf numFmtId="0" fontId="29" fillId="0" borderId="13" xfId="0" applyFont="1" applyBorder="1" applyAlignment="1">
      <alignment vertical="center"/>
    </xf>
    <xf numFmtId="0" fontId="26" fillId="0" borderId="13" xfId="0" applyFont="1" applyBorder="1" applyAlignment="1">
      <alignment horizontal="center" vertical="center"/>
    </xf>
    <xf numFmtId="0" fontId="102" fillId="0" borderId="0" xfId="0" applyFont="1" applyBorder="1" applyAlignment="1">
      <alignment vertical="center"/>
    </xf>
    <xf numFmtId="0" fontId="21" fillId="0" borderId="0" xfId="0" applyFont="1" applyAlignment="1">
      <alignment horizontal="right" vertical="center"/>
    </xf>
    <xf numFmtId="0" fontId="29" fillId="0" borderId="0" xfId="0" applyFont="1" applyAlignment="1">
      <alignment vertical="center"/>
    </xf>
    <xf numFmtId="0" fontId="59" fillId="0" borderId="0" xfId="0" applyFont="1" applyAlignment="1">
      <alignment horizontal="right" vertical="center"/>
    </xf>
    <xf numFmtId="0" fontId="3" fillId="0" borderId="10" xfId="0" applyFont="1" applyBorder="1" applyAlignment="1">
      <alignment horizontal="left" vertical="center"/>
    </xf>
    <xf numFmtId="1" fontId="0" fillId="0" borderId="12" xfId="0" quotePrefix="1" applyNumberFormat="1" applyBorder="1" applyAlignment="1">
      <alignment horizontal="center" vertical="center"/>
    </xf>
    <xf numFmtId="1" fontId="0" fillId="0" borderId="13" xfId="0" quotePrefix="1" applyNumberFormat="1" applyBorder="1" applyAlignment="1">
      <alignment horizontal="center" vertical="center"/>
    </xf>
    <xf numFmtId="0" fontId="58" fillId="0" borderId="0" xfId="0" applyFont="1" applyFill="1" applyBorder="1" applyAlignment="1">
      <alignment horizontal="left" vertical="center"/>
    </xf>
    <xf numFmtId="0" fontId="5" fillId="0" borderId="11" xfId="0" applyFont="1" applyBorder="1" applyAlignment="1">
      <alignment vertical="center"/>
    </xf>
    <xf numFmtId="0" fontId="107" fillId="0" borderId="18" xfId="0" applyFont="1" applyFill="1" applyBorder="1" applyAlignment="1">
      <alignment horizontal="center" vertical="center"/>
    </xf>
    <xf numFmtId="0" fontId="3" fillId="0" borderId="13" xfId="0" applyFont="1" applyBorder="1" applyAlignment="1">
      <alignment horizontal="center" vertical="center"/>
    </xf>
    <xf numFmtId="0" fontId="3" fillId="0" borderId="12" xfId="0" applyFont="1" applyBorder="1" applyAlignment="1">
      <alignment horizontal="center" vertical="center"/>
    </xf>
    <xf numFmtId="0" fontId="3" fillId="0" borderId="0" xfId="0" applyFont="1" applyBorder="1" applyAlignment="1">
      <alignment horizontal="center" vertical="center"/>
    </xf>
    <xf numFmtId="0" fontId="3" fillId="0" borderId="10" xfId="0" applyFont="1" applyBorder="1" applyAlignment="1">
      <alignment horizontal="center" vertical="center"/>
    </xf>
    <xf numFmtId="0" fontId="2" fillId="0" borderId="16" xfId="0" applyFont="1" applyBorder="1" applyAlignment="1" applyProtection="1">
      <alignment horizontal="center" vertical="center"/>
      <protection locked="0"/>
    </xf>
    <xf numFmtId="0" fontId="0" fillId="0" borderId="0" xfId="0" applyBorder="1" applyAlignment="1">
      <alignment horizontal="center" vertical="center"/>
    </xf>
    <xf numFmtId="0" fontId="3" fillId="0" borderId="12" xfId="0" applyFont="1" applyBorder="1" applyAlignment="1">
      <alignment horizontal="center" vertical="center"/>
    </xf>
    <xf numFmtId="0" fontId="3" fillId="0" borderId="19" xfId="0" applyFont="1" applyBorder="1" applyAlignment="1" applyProtection="1">
      <alignment horizontal="center" vertical="center"/>
      <protection locked="0"/>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3" fillId="0" borderId="13" xfId="0" applyFont="1" applyBorder="1" applyAlignment="1">
      <alignment horizontal="center" vertical="center"/>
    </xf>
    <xf numFmtId="0" fontId="3" fillId="0" borderId="19" xfId="0" applyFont="1" applyBorder="1" applyAlignment="1" applyProtection="1">
      <alignment horizontal="center" vertical="center"/>
      <protection locked="0"/>
    </xf>
    <xf numFmtId="0" fontId="2" fillId="0" borderId="16" xfId="0" applyFont="1" applyBorder="1" applyAlignment="1" applyProtection="1">
      <alignment horizontal="center" vertical="center"/>
      <protection locked="0"/>
    </xf>
    <xf numFmtId="0" fontId="3" fillId="0" borderId="19" xfId="0" applyFont="1" applyBorder="1" applyAlignment="1" applyProtection="1">
      <alignment horizontal="center" vertical="center"/>
      <protection locked="0"/>
    </xf>
    <xf numFmtId="0" fontId="107" fillId="0" borderId="0" xfId="0" applyFont="1" applyBorder="1" applyAlignment="1">
      <alignment wrapText="1"/>
    </xf>
    <xf numFmtId="0" fontId="3" fillId="0" borderId="12" xfId="0" applyFont="1" applyBorder="1" applyAlignment="1" applyProtection="1">
      <alignment horizontal="center"/>
      <protection locked="0"/>
    </xf>
    <xf numFmtId="0" fontId="3" fillId="0" borderId="0" xfId="0" applyFont="1" applyAlignment="1">
      <alignment horizontal="left" indent="1"/>
    </xf>
    <xf numFmtId="0" fontId="0" fillId="0" borderId="14" xfId="0" applyBorder="1" applyAlignment="1">
      <alignment horizontal="center" vertical="center"/>
    </xf>
    <xf numFmtId="0" fontId="0" fillId="0" borderId="19" xfId="0" applyBorder="1" applyAlignment="1">
      <alignment horizontal="center" vertical="center"/>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3" fillId="0" borderId="19" xfId="0" applyFont="1" applyBorder="1" applyAlignment="1">
      <alignment horizontal="center" vertical="center"/>
    </xf>
    <xf numFmtId="0" fontId="3" fillId="0" borderId="16" xfId="0" applyFont="1" applyBorder="1" applyAlignment="1">
      <alignment horizontal="center" vertical="center"/>
    </xf>
    <xf numFmtId="0" fontId="2" fillId="0" borderId="24" xfId="0" applyFont="1" applyBorder="1" applyAlignment="1">
      <alignment horizontal="center" vertical="center"/>
    </xf>
    <xf numFmtId="0" fontId="2" fillId="0" borderId="17" xfId="0" applyFont="1" applyBorder="1" applyAlignment="1">
      <alignment horizontal="center" vertical="center"/>
    </xf>
    <xf numFmtId="0" fontId="2" fillId="0" borderId="0" xfId="0" applyFont="1" applyBorder="1" applyAlignment="1">
      <alignment horizontal="center" vertical="center"/>
    </xf>
    <xf numFmtId="0" fontId="8" fillId="0" borderId="0" xfId="0" applyFont="1" applyAlignment="1">
      <alignment horizontal="right"/>
    </xf>
    <xf numFmtId="0" fontId="3" fillId="0" borderId="12" xfId="0" applyFont="1" applyBorder="1" applyAlignment="1">
      <alignment horizontal="center" vertical="center"/>
    </xf>
    <xf numFmtId="0" fontId="45" fillId="0" borderId="12" xfId="0" applyFont="1" applyBorder="1" applyAlignment="1">
      <alignment horizontal="left" vertical="center"/>
    </xf>
    <xf numFmtId="0" fontId="45" fillId="0" borderId="16" xfId="0" applyFont="1" applyBorder="1" applyAlignment="1">
      <alignment horizontal="center" vertical="center"/>
    </xf>
    <xf numFmtId="0" fontId="45" fillId="0" borderId="12" xfId="0" applyFont="1" applyBorder="1" applyAlignment="1">
      <alignment horizontal="center" vertical="center"/>
    </xf>
    <xf numFmtId="0" fontId="45" fillId="0" borderId="0" xfId="0" applyFont="1" applyBorder="1" applyAlignment="1">
      <alignment horizontal="center" vertical="center"/>
    </xf>
    <xf numFmtId="0" fontId="45" fillId="0" borderId="19" xfId="0" applyFont="1" applyBorder="1" applyAlignment="1">
      <alignment horizontal="center" vertical="center"/>
    </xf>
    <xf numFmtId="0" fontId="45" fillId="0" borderId="16" xfId="0" applyFont="1" applyBorder="1" applyAlignment="1">
      <alignment horizontal="left" vertical="center"/>
    </xf>
    <xf numFmtId="0" fontId="45" fillId="0" borderId="12" xfId="0" applyFont="1" applyBorder="1" applyAlignment="1">
      <alignment vertical="center" wrapText="1"/>
    </xf>
    <xf numFmtId="0" fontId="3" fillId="0" borderId="12" xfId="0" applyFont="1" applyBorder="1" applyAlignment="1">
      <alignment horizontal="left" vertical="center" wrapText="1"/>
    </xf>
    <xf numFmtId="0" fontId="3" fillId="0" borderId="12" xfId="0" applyFont="1" applyBorder="1" applyAlignment="1">
      <alignment horizontal="left" vertical="center"/>
    </xf>
    <xf numFmtId="0" fontId="3" fillId="0" borderId="0" xfId="0" applyFont="1" applyBorder="1" applyAlignment="1">
      <alignment horizontal="center" vertical="center"/>
    </xf>
    <xf numFmtId="0" fontId="2" fillId="0" borderId="16" xfId="0" applyFont="1" applyBorder="1" applyAlignment="1">
      <alignment horizontal="center" vertical="center"/>
    </xf>
    <xf numFmtId="0" fontId="3" fillId="0" borderId="12" xfId="0" applyFont="1" applyBorder="1" applyAlignment="1">
      <alignment vertical="center" wrapText="1"/>
    </xf>
    <xf numFmtId="169" fontId="0" fillId="0" borderId="0" xfId="43" applyNumberFormat="1" applyFont="1"/>
    <xf numFmtId="0" fontId="3" fillId="0" borderId="12" xfId="0" applyFont="1" applyBorder="1" applyAlignment="1">
      <alignment horizontal="center" vertical="center"/>
    </xf>
    <xf numFmtId="0" fontId="3" fillId="0" borderId="19" xfId="0" applyFont="1" applyBorder="1" applyAlignment="1" applyProtection="1">
      <alignment horizontal="center" vertical="center"/>
      <protection locked="0"/>
    </xf>
    <xf numFmtId="2" fontId="3" fillId="0" borderId="21" xfId="0" applyNumberFormat="1" applyFont="1" applyBorder="1" applyAlignment="1">
      <alignment horizontal="center" vertical="center"/>
    </xf>
    <xf numFmtId="2" fontId="3" fillId="0" borderId="0" xfId="0" applyNumberFormat="1" applyFont="1" applyAlignment="1" applyProtection="1">
      <alignment horizontal="center" vertical="center"/>
      <protection locked="0"/>
    </xf>
    <xf numFmtId="2" fontId="3" fillId="0" borderId="10" xfId="0" applyNumberFormat="1" applyFont="1" applyBorder="1" applyAlignment="1" applyProtection="1">
      <alignment horizontal="center" vertical="center"/>
      <protection locked="0"/>
    </xf>
    <xf numFmtId="2" fontId="3" fillId="0" borderId="16" xfId="0" applyNumberFormat="1" applyFont="1" applyBorder="1" applyAlignment="1" applyProtection="1">
      <alignment horizontal="center" vertical="center"/>
      <protection locked="0"/>
    </xf>
    <xf numFmtId="2" fontId="3" fillId="0" borderId="15" xfId="0" applyNumberFormat="1" applyFont="1" applyBorder="1" applyAlignment="1" applyProtection="1">
      <alignment horizontal="center" vertical="center"/>
      <protection locked="0"/>
    </xf>
    <xf numFmtId="0" fontId="3" fillId="0" borderId="12" xfId="0" applyFont="1" applyBorder="1" applyAlignment="1">
      <alignment horizontal="center" vertical="center"/>
    </xf>
    <xf numFmtId="1" fontId="3" fillId="0" borderId="12" xfId="0" quotePrefix="1" applyNumberFormat="1" applyFont="1" applyBorder="1" applyAlignment="1">
      <alignment horizontal="center" vertical="center"/>
    </xf>
    <xf numFmtId="0" fontId="3" fillId="0" borderId="16" xfId="0" quotePrefix="1" applyFont="1" applyBorder="1" applyAlignment="1">
      <alignment horizontal="center" vertical="center"/>
    </xf>
    <xf numFmtId="0" fontId="3" fillId="0" borderId="16" xfId="0" quotePrefix="1" applyFont="1" applyBorder="1" applyAlignment="1">
      <alignment horizontal="center" vertical="center"/>
    </xf>
    <xf numFmtId="165" fontId="3" fillId="0" borderId="16" xfId="0" quotePrefix="1" applyNumberFormat="1" applyFont="1" applyBorder="1" applyAlignment="1">
      <alignment horizontal="center" vertical="center"/>
    </xf>
    <xf numFmtId="167" fontId="0" fillId="0" borderId="16" xfId="0" quotePrefix="1" applyNumberFormat="1" applyBorder="1" applyAlignment="1">
      <alignment horizontal="center" vertical="center"/>
    </xf>
    <xf numFmtId="165" fontId="0" fillId="0" borderId="16" xfId="0" quotePrefix="1" applyNumberFormat="1" applyBorder="1" applyAlignment="1">
      <alignment horizontal="center" vertical="center"/>
    </xf>
    <xf numFmtId="165" fontId="3" fillId="0" borderId="13" xfId="0" quotePrefix="1" applyNumberFormat="1" applyFont="1" applyBorder="1" applyAlignment="1">
      <alignment horizontal="center" vertical="center"/>
    </xf>
    <xf numFmtId="1" fontId="3" fillId="0" borderId="13" xfId="0" quotePrefix="1" applyNumberFormat="1" applyFont="1" applyBorder="1" applyAlignment="1">
      <alignment horizontal="center" vertical="center"/>
    </xf>
    <xf numFmtId="165" fontId="3" fillId="0" borderId="12" xfId="0" quotePrefix="1" applyNumberFormat="1" applyFont="1" applyBorder="1" applyAlignment="1">
      <alignment horizontal="center" vertical="center"/>
    </xf>
    <xf numFmtId="0" fontId="3" fillId="0" borderId="16" xfId="0" quotePrefix="1" applyFont="1" applyBorder="1" applyAlignment="1">
      <alignment horizontal="center" vertical="center"/>
    </xf>
    <xf numFmtId="0" fontId="0" fillId="0" borderId="16" xfId="0" quotePrefix="1" applyBorder="1" applyAlignment="1">
      <alignment horizontal="center" vertical="center"/>
    </xf>
    <xf numFmtId="1" fontId="8" fillId="0" borderId="0" xfId="0" quotePrefix="1" applyNumberFormat="1" applyFont="1" applyBorder="1" applyAlignment="1">
      <alignment horizontal="center" vertical="center"/>
    </xf>
    <xf numFmtId="1" fontId="3" fillId="0" borderId="19" xfId="0" quotePrefix="1" applyNumberFormat="1" applyFont="1" applyBorder="1" applyAlignment="1">
      <alignment horizontal="center" vertical="center"/>
    </xf>
    <xf numFmtId="165" fontId="3" fillId="0" borderId="19" xfId="0" quotePrefix="1" applyNumberFormat="1" applyFont="1" applyBorder="1" applyAlignment="1">
      <alignment horizontal="center" vertical="center"/>
    </xf>
    <xf numFmtId="1" fontId="3" fillId="0" borderId="14" xfId="0" quotePrefix="1" applyNumberFormat="1" applyFont="1" applyBorder="1" applyAlignment="1">
      <alignment horizontal="center" vertical="center"/>
    </xf>
    <xf numFmtId="165" fontId="3" fillId="0" borderId="14" xfId="0" applyNumberFormat="1" applyFont="1" applyBorder="1" applyAlignment="1">
      <alignment horizontal="center" vertical="center"/>
    </xf>
    <xf numFmtId="1" fontId="3" fillId="0" borderId="10" xfId="0" quotePrefix="1" applyNumberFormat="1" applyFont="1" applyBorder="1" applyAlignment="1">
      <alignment horizontal="center" vertical="center"/>
    </xf>
    <xf numFmtId="165" fontId="3" fillId="0" borderId="15" xfId="0" quotePrefix="1" applyNumberFormat="1" applyFont="1" applyBorder="1" applyAlignment="1">
      <alignment horizontal="center" vertical="center"/>
    </xf>
    <xf numFmtId="0" fontId="3" fillId="0" borderId="16" xfId="0" applyFont="1" applyBorder="1" applyAlignment="1">
      <alignment horizontal="center" vertical="center"/>
    </xf>
    <xf numFmtId="0" fontId="2" fillId="0" borderId="16" xfId="0" applyFont="1" applyBorder="1" applyAlignment="1">
      <alignment horizontal="center" vertical="center"/>
    </xf>
    <xf numFmtId="0" fontId="18" fillId="0" borderId="17" xfId="0" applyFont="1" applyBorder="1" applyAlignment="1">
      <alignment horizontal="center" vertical="center"/>
    </xf>
    <xf numFmtId="0" fontId="18" fillId="0" borderId="11" xfId="0" applyFont="1" applyBorder="1" applyAlignment="1">
      <alignment horizontal="center" vertical="center"/>
    </xf>
    <xf numFmtId="0" fontId="0" fillId="0" borderId="16" xfId="0" applyBorder="1" applyAlignment="1">
      <alignment horizontal="center" vertical="center"/>
    </xf>
    <xf numFmtId="0" fontId="21" fillId="0" borderId="16" xfId="0" applyFont="1" applyBorder="1" applyAlignment="1">
      <alignment horizontal="center" vertical="center"/>
    </xf>
    <xf numFmtId="164" fontId="3" fillId="0" borderId="12" xfId="0" quotePrefix="1" applyNumberFormat="1" applyFont="1" applyFill="1" applyBorder="1" applyAlignment="1" applyProtection="1">
      <alignment horizontal="center" vertical="center"/>
      <protection locked="0"/>
    </xf>
    <xf numFmtId="164" fontId="3" fillId="0" borderId="16" xfId="0" quotePrefix="1" applyNumberFormat="1" applyFont="1" applyBorder="1" applyAlignment="1" applyProtection="1">
      <alignment horizontal="center" vertical="center"/>
      <protection locked="0"/>
    </xf>
    <xf numFmtId="164" fontId="0" fillId="0" borderId="12" xfId="0" quotePrefix="1" applyNumberFormat="1" applyBorder="1" applyAlignment="1">
      <alignment horizontal="center" vertical="center"/>
    </xf>
    <xf numFmtId="164" fontId="0" fillId="0" borderId="16" xfId="0" quotePrefix="1" applyNumberFormat="1" applyBorder="1" applyAlignment="1" applyProtection="1">
      <alignment horizontal="center" vertical="center"/>
      <protection locked="0"/>
    </xf>
    <xf numFmtId="0" fontId="2" fillId="0" borderId="12" xfId="0" quotePrefix="1" applyFont="1" applyFill="1" applyBorder="1" applyAlignment="1">
      <alignment horizontal="center" vertical="center"/>
    </xf>
    <xf numFmtId="0" fontId="3" fillId="0" borderId="12" xfId="0" applyFont="1" applyBorder="1" applyAlignment="1">
      <alignment horizontal="center" vertical="center"/>
    </xf>
    <xf numFmtId="0" fontId="45" fillId="0" borderId="12" xfId="0" applyFont="1" applyBorder="1" applyAlignment="1">
      <alignment horizontal="center" vertical="center"/>
    </xf>
    <xf numFmtId="0" fontId="0" fillId="0" borderId="13" xfId="0" quotePrefix="1" applyBorder="1" applyAlignment="1">
      <alignment horizontal="center" vertical="center"/>
    </xf>
    <xf numFmtId="2" fontId="3" fillId="0" borderId="16" xfId="0" quotePrefix="1" applyNumberFormat="1" applyFont="1" applyBorder="1" applyAlignment="1">
      <alignment horizontal="center" vertical="center"/>
    </xf>
    <xf numFmtId="0" fontId="18" fillId="0" borderId="17" xfId="0" applyFont="1" applyBorder="1" applyAlignment="1">
      <alignment horizontal="center" vertical="center"/>
    </xf>
    <xf numFmtId="0" fontId="0" fillId="0" borderId="10" xfId="0" quotePrefix="1" applyBorder="1" applyAlignment="1">
      <alignment horizontal="center" vertical="center"/>
    </xf>
    <xf numFmtId="0" fontId="0" fillId="0" borderId="0" xfId="0" quotePrefix="1" applyBorder="1" applyAlignment="1">
      <alignment horizontal="center" vertical="center"/>
    </xf>
    <xf numFmtId="0" fontId="0" fillId="0" borderId="15" xfId="0" quotePrefix="1" applyBorder="1" applyAlignment="1">
      <alignment horizontal="center" vertical="center"/>
    </xf>
    <xf numFmtId="0" fontId="3" fillId="0" borderId="18" xfId="0" applyFont="1" applyBorder="1" applyAlignment="1">
      <alignment horizontal="center" vertical="center"/>
    </xf>
    <xf numFmtId="0" fontId="3" fillId="0" borderId="12" xfId="0" applyFont="1" applyBorder="1" applyAlignment="1">
      <alignment horizontal="center" vertical="center"/>
    </xf>
    <xf numFmtId="0" fontId="8" fillId="0" borderId="0" xfId="0" applyFont="1" applyAlignment="1">
      <alignment vertical="center"/>
    </xf>
    <xf numFmtId="0" fontId="62" fillId="0" borderId="0" xfId="0" applyFont="1" applyAlignment="1">
      <alignment horizontal="left" vertical="center"/>
    </xf>
    <xf numFmtId="0" fontId="18" fillId="0" borderId="11" xfId="0" applyFont="1" applyBorder="1" applyAlignment="1">
      <alignment horizontal="center" vertical="center"/>
    </xf>
    <xf numFmtId="0" fontId="0" fillId="0" borderId="20" xfId="0" applyBorder="1" applyAlignment="1">
      <alignment horizontal="center" vertical="center"/>
    </xf>
    <xf numFmtId="0" fontId="0" fillId="0" borderId="19" xfId="0" applyBorder="1" applyAlignment="1">
      <alignment horizontal="center" vertical="center"/>
    </xf>
    <xf numFmtId="0" fontId="18" fillId="0" borderId="23" xfId="0" quotePrefix="1" applyFont="1" applyBorder="1" applyAlignment="1">
      <alignment horizontal="center" vertical="center"/>
    </xf>
    <xf numFmtId="0" fontId="62" fillId="0" borderId="0" xfId="0" applyFont="1" applyAlignment="1">
      <alignment vertical="top" wrapText="1"/>
    </xf>
    <xf numFmtId="0" fontId="18" fillId="0" borderId="21" xfId="0" quotePrefix="1" applyFont="1" applyBorder="1" applyAlignment="1">
      <alignment horizontal="center" vertical="center"/>
    </xf>
    <xf numFmtId="0" fontId="35" fillId="0" borderId="0" xfId="0" applyFont="1" applyAlignment="1">
      <alignment vertical="center"/>
    </xf>
    <xf numFmtId="0" fontId="62" fillId="0" borderId="0" xfId="0" applyFont="1" applyFill="1" applyBorder="1" applyAlignment="1">
      <alignment horizontal="right" vertical="center"/>
    </xf>
    <xf numFmtId="0" fontId="59" fillId="0" borderId="18" xfId="0" applyFont="1" applyBorder="1" applyAlignment="1">
      <alignment horizontal="center" vertical="center" shrinkToFit="1"/>
    </xf>
    <xf numFmtId="0" fontId="3" fillId="0" borderId="13" xfId="0" quotePrefix="1" applyFont="1" applyBorder="1" applyAlignment="1">
      <alignment horizontal="center"/>
    </xf>
    <xf numFmtId="164" fontId="3" fillId="0" borderId="12" xfId="0" applyNumberFormat="1" applyFont="1" applyFill="1" applyBorder="1" applyAlignment="1" applyProtection="1">
      <alignment horizontal="center" vertical="center"/>
      <protection locked="0"/>
    </xf>
    <xf numFmtId="0" fontId="3" fillId="0" borderId="19" xfId="0" applyFont="1" applyBorder="1" applyAlignment="1">
      <alignment horizontal="center" vertical="center"/>
    </xf>
    <xf numFmtId="0" fontId="3" fillId="0" borderId="12" xfId="0" applyFont="1" applyBorder="1" applyAlignment="1">
      <alignment horizontal="center" vertical="center"/>
    </xf>
    <xf numFmtId="0" fontId="0" fillId="0" borderId="0" xfId="0"/>
    <xf numFmtId="0" fontId="0" fillId="0" borderId="0" xfId="0" applyBorder="1" applyAlignment="1">
      <alignment horizontal="center" vertical="center"/>
    </xf>
    <xf numFmtId="0" fontId="59" fillId="0" borderId="19" xfId="0" applyFont="1" applyBorder="1" applyAlignment="1">
      <alignment horizontal="center" vertical="center"/>
    </xf>
    <xf numFmtId="0" fontId="59" fillId="0" borderId="0" xfId="0" applyFont="1" applyBorder="1" applyAlignment="1">
      <alignment horizontal="center" vertical="center"/>
    </xf>
    <xf numFmtId="0" fontId="0" fillId="0" borderId="19" xfId="0" applyBorder="1" applyAlignment="1">
      <alignment vertical="center"/>
    </xf>
    <xf numFmtId="0" fontId="3" fillId="0" borderId="13" xfId="0" applyFont="1" applyBorder="1" applyAlignment="1">
      <alignment horizontal="center" vertical="center"/>
    </xf>
    <xf numFmtId="0" fontId="1" fillId="0" borderId="12" xfId="0" applyFont="1" applyBorder="1" applyAlignment="1">
      <alignment horizontal="center" vertical="center"/>
    </xf>
    <xf numFmtId="0" fontId="0" fillId="0" borderId="16" xfId="0" applyBorder="1" applyAlignment="1">
      <alignment horizontal="center" vertical="center"/>
    </xf>
    <xf numFmtId="0" fontId="50" fillId="0" borderId="0" xfId="0" applyFont="1" applyBorder="1" applyAlignment="1">
      <alignment horizontal="center" vertical="center"/>
    </xf>
    <xf numFmtId="0" fontId="0" fillId="0" borderId="14" xfId="0" applyBorder="1" applyAlignment="1">
      <alignment horizontal="center" vertical="center"/>
    </xf>
    <xf numFmtId="0" fontId="58" fillId="0" borderId="13" xfId="0" quotePrefix="1" applyFont="1" applyBorder="1" applyAlignment="1">
      <alignment horizontal="center" vertical="center"/>
    </xf>
    <xf numFmtId="0" fontId="1" fillId="0" borderId="10" xfId="0" applyFont="1" applyBorder="1" applyAlignment="1">
      <alignment horizontal="center" vertical="center"/>
    </xf>
    <xf numFmtId="0" fontId="1" fillId="0" borderId="15" xfId="0" applyFont="1" applyBorder="1" applyAlignment="1">
      <alignment horizontal="center" vertical="center"/>
    </xf>
    <xf numFmtId="0" fontId="1" fillId="0" borderId="0" xfId="0" applyFont="1" applyBorder="1" applyAlignment="1">
      <alignment horizontal="right" vertical="center"/>
    </xf>
    <xf numFmtId="0" fontId="2" fillId="0" borderId="14" xfId="0" quotePrefix="1" applyFont="1" applyBorder="1" applyAlignment="1" applyProtection="1">
      <alignment horizontal="center" vertical="center"/>
      <protection locked="0"/>
    </xf>
    <xf numFmtId="0" fontId="2" fillId="0" borderId="13" xfId="0" quotePrefix="1" applyFont="1" applyBorder="1" applyAlignment="1" applyProtection="1">
      <alignment horizontal="center" vertical="center"/>
      <protection locked="0"/>
    </xf>
    <xf numFmtId="0" fontId="2" fillId="0" borderId="13" xfId="0" applyFont="1" applyBorder="1" applyAlignment="1" applyProtection="1">
      <alignment horizontal="center" vertical="center"/>
      <protection locked="0"/>
    </xf>
    <xf numFmtId="0" fontId="1" fillId="0" borderId="13" xfId="0" applyFont="1" applyBorder="1" applyAlignment="1">
      <alignment horizontal="center" vertical="center"/>
    </xf>
    <xf numFmtId="0" fontId="1" fillId="0" borderId="21" xfId="0" applyFont="1" applyBorder="1" applyAlignment="1" applyProtection="1">
      <alignment horizontal="center" vertical="center"/>
      <protection locked="0"/>
    </xf>
    <xf numFmtId="0" fontId="1" fillId="0" borderId="16" xfId="0" applyFont="1" applyBorder="1" applyAlignment="1" applyProtection="1">
      <alignment horizontal="center" vertical="center"/>
      <protection locked="0"/>
    </xf>
    <xf numFmtId="0" fontId="1" fillId="0" borderId="12" xfId="0" applyFont="1" applyBorder="1" applyAlignment="1" applyProtection="1">
      <alignment horizontal="center" vertical="center"/>
      <protection locked="0"/>
    </xf>
    <xf numFmtId="0" fontId="99" fillId="0" borderId="0" xfId="0" applyFont="1" applyAlignment="1">
      <alignment horizontal="center"/>
    </xf>
    <xf numFmtId="0" fontId="100" fillId="0" borderId="0" xfId="0" applyFont="1" applyAlignment="1">
      <alignment horizontal="center"/>
    </xf>
    <xf numFmtId="0" fontId="33" fillId="0" borderId="0" xfId="0" applyFont="1" applyAlignment="1">
      <alignment horizontal="center"/>
    </xf>
    <xf numFmtId="0" fontId="37" fillId="0" borderId="0" xfId="0" applyFont="1" applyAlignment="1">
      <alignment horizontal="center"/>
    </xf>
    <xf numFmtId="0" fontId="38" fillId="0" borderId="0" xfId="0" applyFont="1" applyAlignment="1">
      <alignment horizontal="center"/>
    </xf>
    <xf numFmtId="0" fontId="39" fillId="0" borderId="0" xfId="0" applyFont="1" applyAlignment="1">
      <alignment horizontal="center"/>
    </xf>
    <xf numFmtId="0" fontId="101" fillId="0" borderId="0" xfId="0" applyFont="1" applyAlignment="1">
      <alignment horizontal="center"/>
    </xf>
    <xf numFmtId="0" fontId="40" fillId="0" borderId="0" xfId="0" applyFont="1" applyAlignment="1">
      <alignment horizontal="center" vertical="top"/>
    </xf>
    <xf numFmtId="0" fontId="34" fillId="0" borderId="0" xfId="0" applyFont="1" applyAlignment="1">
      <alignment horizontal="center"/>
    </xf>
    <xf numFmtId="0" fontId="44" fillId="0" borderId="0" xfId="0" applyFont="1" applyAlignment="1">
      <alignment horizontal="center"/>
    </xf>
    <xf numFmtId="0" fontId="70" fillId="0" borderId="0" xfId="0" applyFont="1" applyAlignment="1">
      <alignment horizontal="justify" vertical="justify" wrapText="1"/>
    </xf>
    <xf numFmtId="0" fontId="71" fillId="0" borderId="0" xfId="0" applyFont="1" applyAlignment="1">
      <alignment horizontal="justify" vertical="justify" wrapText="1"/>
    </xf>
    <xf numFmtId="0" fontId="0" fillId="0" borderId="0" xfId="0" applyAlignment="1">
      <alignment wrapText="1"/>
    </xf>
    <xf numFmtId="0" fontId="104" fillId="0" borderId="0" xfId="0" applyFont="1" applyAlignment="1">
      <alignment horizontal="left"/>
    </xf>
    <xf numFmtId="0" fontId="48" fillId="0" borderId="10" xfId="0" applyFont="1" applyBorder="1" applyAlignment="1">
      <alignment horizontal="right" vertical="top"/>
    </xf>
    <xf numFmtId="0" fontId="48" fillId="0" borderId="0" xfId="0" applyFont="1" applyBorder="1" applyAlignment="1">
      <alignment horizontal="right" vertical="top"/>
    </xf>
    <xf numFmtId="0" fontId="47" fillId="0" borderId="10" xfId="0" applyFont="1" applyBorder="1" applyAlignment="1">
      <alignment horizontal="center"/>
    </xf>
    <xf numFmtId="0" fontId="0" fillId="0" borderId="22" xfId="0" applyBorder="1" applyAlignment="1">
      <alignment horizontal="center"/>
    </xf>
    <xf numFmtId="0" fontId="24" fillId="0" borderId="0" xfId="0" applyFont="1" applyBorder="1" applyAlignment="1">
      <alignment horizontal="center"/>
    </xf>
    <xf numFmtId="0" fontId="31" fillId="0" borderId="0" xfId="0" applyFont="1" applyAlignment="1">
      <alignment horizontal="center" vertical="center"/>
    </xf>
    <xf numFmtId="0" fontId="36" fillId="0" borderId="0" xfId="0" applyFont="1" applyAlignment="1">
      <alignment horizontal="center" vertical="center"/>
    </xf>
    <xf numFmtId="0" fontId="49" fillId="0" borderId="0" xfId="0" applyFont="1" applyAlignment="1">
      <alignment horizontal="right" vertical="center"/>
    </xf>
    <xf numFmtId="0" fontId="0" fillId="0" borderId="0" xfId="0" applyAlignment="1">
      <alignment horizontal="center" vertical="center"/>
    </xf>
    <xf numFmtId="0" fontId="58" fillId="0" borderId="0" xfId="0" applyFont="1" applyFill="1" applyBorder="1" applyAlignment="1">
      <alignment horizontal="center" vertical="center"/>
    </xf>
    <xf numFmtId="0" fontId="3" fillId="0" borderId="19" xfId="0" applyFont="1" applyBorder="1" applyAlignment="1">
      <alignment horizontal="center" vertical="center"/>
    </xf>
    <xf numFmtId="0" fontId="3" fillId="0" borderId="16" xfId="0" applyFont="1" applyBorder="1" applyAlignment="1">
      <alignment horizontal="center" vertical="center"/>
    </xf>
    <xf numFmtId="0" fontId="2" fillId="0" borderId="24" xfId="0" applyFont="1" applyBorder="1" applyAlignment="1">
      <alignment horizontal="center" vertical="center"/>
    </xf>
    <xf numFmtId="0" fontId="2" fillId="0" borderId="17" xfId="0" applyFont="1" applyBorder="1" applyAlignment="1">
      <alignment horizontal="center" vertical="center"/>
    </xf>
    <xf numFmtId="0" fontId="50" fillId="0" borderId="0" xfId="0" applyFont="1" applyAlignment="1">
      <alignment horizontal="center" vertical="center"/>
    </xf>
    <xf numFmtId="0" fontId="3" fillId="0" borderId="24" xfId="0" quotePrefix="1" applyFont="1" applyBorder="1" applyAlignment="1">
      <alignment horizontal="center" vertical="center"/>
    </xf>
    <xf numFmtId="0" fontId="3" fillId="0" borderId="17" xfId="0" quotePrefix="1" applyFont="1" applyBorder="1" applyAlignment="1">
      <alignment horizontal="center" vertical="center"/>
    </xf>
    <xf numFmtId="0" fontId="3" fillId="0" borderId="19" xfId="0" applyFont="1" applyFill="1" applyBorder="1" applyAlignment="1">
      <alignment horizontal="center" vertical="center"/>
    </xf>
    <xf numFmtId="0" fontId="3" fillId="0" borderId="16" xfId="0" applyFont="1" applyFill="1" applyBorder="1" applyAlignment="1">
      <alignment horizontal="center" vertical="center"/>
    </xf>
    <xf numFmtId="0" fontId="2" fillId="0" borderId="0" xfId="0" applyFont="1" applyBorder="1" applyAlignment="1">
      <alignment horizontal="center" vertical="center"/>
    </xf>
    <xf numFmtId="0" fontId="3" fillId="0" borderId="23" xfId="0" applyFont="1" applyBorder="1" applyAlignment="1">
      <alignment horizontal="center" vertical="center"/>
    </xf>
    <xf numFmtId="0" fontId="3" fillId="0" borderId="17" xfId="0" applyFont="1" applyBorder="1" applyAlignment="1">
      <alignment horizontal="center" vertical="center"/>
    </xf>
    <xf numFmtId="0" fontId="8" fillId="0" borderId="0" xfId="0" applyFont="1" applyAlignment="1">
      <alignment horizontal="right"/>
    </xf>
    <xf numFmtId="0" fontId="3" fillId="0" borderId="20" xfId="0" applyFont="1" applyBorder="1" applyAlignment="1">
      <alignment horizontal="center" vertical="center"/>
    </xf>
    <xf numFmtId="0" fontId="3" fillId="0" borderId="21" xfId="0" applyFont="1" applyBorder="1" applyAlignment="1">
      <alignment horizontal="center" vertical="center"/>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3" fillId="0" borderId="24" xfId="0" applyFont="1" applyBorder="1" applyAlignment="1">
      <alignment horizontal="center" vertical="center"/>
    </xf>
    <xf numFmtId="0" fontId="3" fillId="0" borderId="18"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8" xfId="0" applyFont="1" applyBorder="1" applyAlignment="1">
      <alignment horizontal="center" vertical="center"/>
    </xf>
    <xf numFmtId="0" fontId="3" fillId="0" borderId="13" xfId="0" applyFont="1" applyBorder="1" applyAlignment="1">
      <alignment horizontal="center" vertical="center"/>
    </xf>
    <xf numFmtId="0" fontId="3" fillId="0" borderId="12" xfId="0" applyFont="1" applyBorder="1" applyAlignment="1">
      <alignment horizontal="center" vertical="center"/>
    </xf>
    <xf numFmtId="0" fontId="50" fillId="0" borderId="0" xfId="0" applyFont="1" applyBorder="1" applyAlignment="1">
      <alignment horizontal="center" vertical="center"/>
    </xf>
    <xf numFmtId="0" fontId="8" fillId="0" borderId="22" xfId="0" applyFont="1" applyBorder="1" applyAlignment="1">
      <alignment horizontal="left"/>
    </xf>
    <xf numFmtId="0" fontId="45" fillId="0" borderId="16" xfId="0" applyFont="1" applyBorder="1" applyAlignment="1">
      <alignment horizontal="center" vertical="center"/>
    </xf>
    <xf numFmtId="0" fontId="45" fillId="0" borderId="19" xfId="0" applyFont="1" applyBorder="1" applyAlignment="1">
      <alignment horizontal="center" vertical="center"/>
    </xf>
    <xf numFmtId="0" fontId="45" fillId="0" borderId="12" xfId="0" applyFont="1" applyBorder="1" applyAlignment="1">
      <alignment horizontal="center" vertical="center"/>
    </xf>
    <xf numFmtId="0" fontId="45" fillId="0" borderId="0" xfId="0" applyFont="1" applyBorder="1" applyAlignment="1">
      <alignment horizontal="center" vertical="center"/>
    </xf>
    <xf numFmtId="0" fontId="2" fillId="0" borderId="12" xfId="0" applyFont="1" applyBorder="1" applyAlignment="1">
      <alignment vertical="center" wrapText="1"/>
    </xf>
    <xf numFmtId="0" fontId="45" fillId="0" borderId="12" xfId="0" applyFont="1" applyBorder="1" applyAlignment="1">
      <alignment vertical="center" wrapText="1"/>
    </xf>
    <xf numFmtId="0" fontId="3" fillId="0" borderId="12" xfId="0" applyFont="1" applyBorder="1" applyAlignment="1">
      <alignment horizontal="left" vertical="center"/>
    </xf>
    <xf numFmtId="0" fontId="45" fillId="0" borderId="12" xfId="0" applyFont="1" applyBorder="1" applyAlignment="1">
      <alignment horizontal="left" vertical="center"/>
    </xf>
    <xf numFmtId="0" fontId="2" fillId="0" borderId="18" xfId="0" applyFont="1" applyBorder="1" applyAlignment="1">
      <alignment horizontal="left" vertical="center" wrapText="1"/>
    </xf>
    <xf numFmtId="0" fontId="2" fillId="0" borderId="12" xfId="0" applyFont="1" applyBorder="1" applyAlignment="1">
      <alignment horizontal="left" vertical="center" wrapText="1"/>
    </xf>
    <xf numFmtId="0" fontId="3" fillId="0" borderId="12" xfId="0" applyFont="1" applyBorder="1" applyAlignment="1">
      <alignment horizontal="left" vertical="center" wrapText="1"/>
    </xf>
    <xf numFmtId="0" fontId="45" fillId="0" borderId="12" xfId="0" applyFont="1" applyBorder="1" applyAlignment="1">
      <alignment horizontal="left" vertical="center" wrapText="1"/>
    </xf>
    <xf numFmtId="0" fontId="45" fillId="0" borderId="16" xfId="0" applyFont="1" applyBorder="1" applyAlignment="1">
      <alignment horizontal="left" vertical="center"/>
    </xf>
    <xf numFmtId="0" fontId="6" fillId="0" borderId="20" xfId="0" applyFont="1" applyBorder="1" applyAlignment="1">
      <alignment horizontal="center" vertical="center"/>
    </xf>
    <xf numFmtId="0" fontId="6" fillId="0" borderId="21" xfId="0" applyFont="1" applyBorder="1" applyAlignment="1">
      <alignment horizontal="center" vertical="center"/>
    </xf>
    <xf numFmtId="0" fontId="45" fillId="0" borderId="18" xfId="0" applyFont="1" applyBorder="1" applyAlignment="1">
      <alignment horizontal="center" vertical="center" wrapText="1"/>
    </xf>
    <xf numFmtId="0" fontId="45" fillId="0" borderId="13" xfId="0" applyFont="1" applyBorder="1" applyAlignment="1">
      <alignment horizontal="center" vertical="center" wrapText="1"/>
    </xf>
    <xf numFmtId="0" fontId="45" fillId="0" borderId="20" xfId="0" applyFont="1" applyBorder="1" applyAlignment="1">
      <alignment horizontal="center" vertical="center" wrapText="1"/>
    </xf>
    <xf numFmtId="0" fontId="45" fillId="0" borderId="14" xfId="0" applyFont="1" applyBorder="1" applyAlignment="1">
      <alignment horizontal="center" vertical="center" wrapText="1"/>
    </xf>
    <xf numFmtId="0" fontId="45" fillId="0" borderId="13" xfId="0" applyFont="1" applyBorder="1" applyAlignment="1">
      <alignment horizontal="center" vertical="center"/>
    </xf>
    <xf numFmtId="0" fontId="5" fillId="0" borderId="10" xfId="0" applyFont="1" applyBorder="1" applyAlignment="1" applyProtection="1">
      <alignment horizontal="center"/>
    </xf>
    <xf numFmtId="0" fontId="45" fillId="0" borderId="18" xfId="0" applyFont="1" applyFill="1" applyBorder="1" applyAlignment="1">
      <alignment horizontal="center" vertical="center"/>
    </xf>
    <xf numFmtId="0" fontId="45" fillId="0" borderId="12" xfId="0" applyFont="1" applyFill="1" applyBorder="1" applyAlignment="1">
      <alignment horizontal="center" vertical="center"/>
    </xf>
    <xf numFmtId="0" fontId="45" fillId="0" borderId="13" xfId="0" applyFont="1" applyFill="1" applyBorder="1" applyAlignment="1">
      <alignment horizontal="center" vertical="center"/>
    </xf>
    <xf numFmtId="0" fontId="45" fillId="0" borderId="20" xfId="0" applyFont="1" applyBorder="1" applyAlignment="1">
      <alignment horizontal="center" vertical="center"/>
    </xf>
    <xf numFmtId="0" fontId="45" fillId="0" borderId="14" xfId="0" applyFont="1" applyBorder="1" applyAlignment="1">
      <alignment horizontal="center" vertical="center"/>
    </xf>
    <xf numFmtId="0" fontId="45" fillId="0" borderId="12" xfId="0" applyFont="1" applyBorder="1" applyAlignment="1">
      <alignment horizontal="center" vertical="center" wrapText="1"/>
    </xf>
    <xf numFmtId="0" fontId="45" fillId="0" borderId="24" xfId="0" applyFont="1" applyBorder="1" applyAlignment="1">
      <alignment horizontal="center" vertical="center"/>
    </xf>
    <xf numFmtId="0" fontId="45" fillId="0" borderId="23" xfId="0" applyFont="1" applyBorder="1" applyAlignment="1">
      <alignment horizontal="center" vertical="center"/>
    </xf>
    <xf numFmtId="0" fontId="45" fillId="0" borderId="17" xfId="0" applyFont="1" applyBorder="1" applyAlignment="1">
      <alignment horizontal="center" vertical="center"/>
    </xf>
    <xf numFmtId="0" fontId="6" fillId="0" borderId="18" xfId="0" applyFont="1" applyBorder="1" applyAlignment="1">
      <alignment horizontal="center" vertical="center"/>
    </xf>
    <xf numFmtId="0" fontId="6" fillId="0" borderId="12" xfId="0" applyFont="1" applyBorder="1" applyAlignment="1">
      <alignment horizontal="center" vertical="center"/>
    </xf>
    <xf numFmtId="0" fontId="6" fillId="0" borderId="18" xfId="0" applyFont="1" applyBorder="1" applyAlignment="1">
      <alignment horizontal="center" vertical="center" wrapText="1"/>
    </xf>
    <xf numFmtId="0" fontId="6" fillId="0" borderId="12" xfId="0" applyFont="1" applyBorder="1" applyAlignment="1">
      <alignment horizontal="center" vertical="center" wrapText="1"/>
    </xf>
    <xf numFmtId="0" fontId="45" fillId="0" borderId="10" xfId="0" applyFont="1" applyBorder="1" applyAlignment="1">
      <alignment horizontal="center" vertical="center"/>
    </xf>
    <xf numFmtId="0" fontId="6" fillId="0" borderId="16"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20" xfId="0" applyFont="1" applyBorder="1" applyAlignment="1">
      <alignment horizontal="center" vertical="center" shrinkToFit="1"/>
    </xf>
    <xf numFmtId="0" fontId="6" fillId="0" borderId="21" xfId="0" applyFont="1" applyBorder="1" applyAlignment="1">
      <alignment horizontal="center" vertical="center" shrinkToFit="1"/>
    </xf>
    <xf numFmtId="0" fontId="3" fillId="0" borderId="19" xfId="0" applyFont="1" applyBorder="1" applyAlignment="1">
      <alignment horizontal="left" vertical="center"/>
    </xf>
    <xf numFmtId="0" fontId="107" fillId="0" borderId="16" xfId="0" applyFont="1" applyBorder="1" applyAlignment="1">
      <alignment horizontal="left" vertical="center"/>
    </xf>
    <xf numFmtId="0" fontId="3" fillId="0" borderId="24"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24" xfId="0" quotePrefix="1" applyFont="1" applyBorder="1" applyAlignment="1">
      <alignment horizontal="center" vertical="center" wrapText="1"/>
    </xf>
    <xf numFmtId="0" fontId="3" fillId="0" borderId="17" xfId="0" quotePrefix="1" applyFont="1" applyBorder="1" applyAlignment="1">
      <alignment horizontal="center" vertical="center" wrapText="1"/>
    </xf>
    <xf numFmtId="0" fontId="2" fillId="0" borderId="19" xfId="0" applyFont="1" applyBorder="1" applyAlignment="1">
      <alignment horizontal="left" vertical="center"/>
    </xf>
    <xf numFmtId="0" fontId="3" fillId="0" borderId="16" xfId="0" applyFont="1" applyBorder="1" applyAlignment="1">
      <alignment horizontal="left" vertical="center"/>
    </xf>
    <xf numFmtId="0" fontId="8" fillId="0" borderId="22" xfId="0" applyFont="1" applyBorder="1" applyAlignment="1">
      <alignment horizontal="left" vertical="top" wrapText="1"/>
    </xf>
    <xf numFmtId="0" fontId="8" fillId="0" borderId="0" xfId="0" applyFont="1" applyBorder="1" applyAlignment="1">
      <alignment horizontal="left" vertical="top" wrapText="1"/>
    </xf>
    <xf numFmtId="0" fontId="2" fillId="0" borderId="24"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0" xfId="0" applyFont="1" applyBorder="1" applyAlignment="1">
      <alignment horizontal="center" vertical="center" wrapText="1"/>
    </xf>
    <xf numFmtId="0" fontId="50" fillId="0" borderId="0" xfId="0" applyFont="1" applyBorder="1" applyAlignment="1">
      <alignment horizontal="center" vertical="center" wrapText="1"/>
    </xf>
    <xf numFmtId="0" fontId="3" fillId="0" borderId="24" xfId="0" applyFont="1" applyBorder="1" applyAlignment="1" applyProtection="1">
      <alignment horizontal="center" vertical="center"/>
    </xf>
    <xf numFmtId="0" fontId="3" fillId="0" borderId="23" xfId="0" applyFont="1" applyBorder="1" applyAlignment="1" applyProtection="1">
      <alignment horizontal="center" vertical="center"/>
    </xf>
    <xf numFmtId="0" fontId="3" fillId="0" borderId="17" xfId="0" applyFont="1" applyBorder="1" applyAlignment="1" applyProtection="1">
      <alignment horizontal="center" vertical="center"/>
    </xf>
    <xf numFmtId="0" fontId="8" fillId="0" borderId="0" xfId="0" applyFont="1" applyBorder="1" applyAlignment="1">
      <alignment horizontal="right" vertical="center"/>
    </xf>
    <xf numFmtId="0" fontId="3" fillId="0" borderId="12" xfId="0" applyFont="1" applyBorder="1" applyAlignment="1">
      <alignment horizontal="center" vertical="center" wrapText="1"/>
    </xf>
    <xf numFmtId="0" fontId="50" fillId="0" borderId="0" xfId="0" applyFont="1" applyBorder="1" applyAlignment="1">
      <alignment horizontal="center" vertical="top" wrapText="1"/>
    </xf>
    <xf numFmtId="0" fontId="8" fillId="0" borderId="22" xfId="0" applyFont="1" applyBorder="1" applyAlignment="1">
      <alignment horizontal="right"/>
    </xf>
    <xf numFmtId="0" fontId="6" fillId="0" borderId="24" xfId="0" applyFont="1" applyBorder="1" applyAlignment="1">
      <alignment horizontal="center" vertical="center"/>
    </xf>
    <xf numFmtId="0" fontId="6" fillId="0" borderId="17" xfId="0" applyFont="1" applyBorder="1" applyAlignment="1">
      <alignment horizontal="center" vertical="center"/>
    </xf>
    <xf numFmtId="0" fontId="53" fillId="0" borderId="24" xfId="0" applyFont="1" applyBorder="1" applyAlignment="1">
      <alignment horizontal="center" vertical="center"/>
    </xf>
    <xf numFmtId="0" fontId="53" fillId="0" borderId="17" xfId="0" applyFont="1" applyBorder="1" applyAlignment="1">
      <alignment horizontal="center" vertical="center"/>
    </xf>
    <xf numFmtId="0" fontId="6" fillId="0" borderId="13" xfId="0" applyFont="1" applyBorder="1" applyAlignment="1">
      <alignment horizontal="center" vertical="center" wrapText="1"/>
    </xf>
    <xf numFmtId="0" fontId="6" fillId="0" borderId="14" xfId="0" applyFont="1" applyBorder="1" applyAlignment="1">
      <alignment horizontal="center" vertical="center"/>
    </xf>
    <xf numFmtId="0" fontId="6" fillId="0" borderId="15" xfId="0" applyFont="1" applyBorder="1" applyAlignment="1">
      <alignment horizontal="center" vertical="center"/>
    </xf>
    <xf numFmtId="0" fontId="45" fillId="0" borderId="22" xfId="0" applyFont="1" applyBorder="1" applyAlignment="1">
      <alignment horizontal="center" vertical="center"/>
    </xf>
    <xf numFmtId="0" fontId="45" fillId="0" borderId="21" xfId="0" applyFont="1" applyBorder="1" applyAlignment="1">
      <alignment horizontal="center" vertical="center"/>
    </xf>
    <xf numFmtId="0" fontId="45" fillId="0" borderId="15" xfId="0" applyFont="1" applyBorder="1" applyAlignment="1">
      <alignment horizontal="center" vertical="center"/>
    </xf>
    <xf numFmtId="0" fontId="3" fillId="0" borderId="23" xfId="0" quotePrefix="1" applyFont="1" applyBorder="1" applyAlignment="1">
      <alignment horizontal="center" vertical="center"/>
    </xf>
    <xf numFmtId="0" fontId="3" fillId="0" borderId="10" xfId="0" applyFont="1" applyBorder="1" applyAlignment="1">
      <alignment horizontal="center" vertical="center"/>
    </xf>
    <xf numFmtId="0" fontId="3" fillId="0" borderId="0" xfId="0" applyFont="1" applyBorder="1" applyAlignment="1">
      <alignment horizontal="center" vertical="center"/>
    </xf>
    <xf numFmtId="0" fontId="3" fillId="0" borderId="19" xfId="0" applyFont="1" applyBorder="1" applyAlignment="1">
      <alignment horizontal="right" vertical="center"/>
    </xf>
    <xf numFmtId="0" fontId="3" fillId="0" borderId="0" xfId="0" applyFont="1" applyBorder="1" applyAlignment="1">
      <alignment horizontal="right" vertical="center"/>
    </xf>
    <xf numFmtId="0" fontId="3" fillId="0" borderId="20" xfId="0" applyFont="1" applyBorder="1" applyAlignment="1">
      <alignment horizontal="center" vertical="center" wrapText="1"/>
    </xf>
    <xf numFmtId="0" fontId="3" fillId="0" borderId="22"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0" xfId="0" applyFont="1" applyBorder="1" applyAlignment="1">
      <alignment horizontal="center" vertical="center" wrapText="1"/>
    </xf>
    <xf numFmtId="0" fontId="3" fillId="0" borderId="16" xfId="0" applyFont="1" applyBorder="1" applyAlignment="1">
      <alignment horizontal="center" vertical="center" wrapText="1"/>
    </xf>
    <xf numFmtId="0" fontId="8" fillId="0" borderId="0" xfId="0" applyFont="1" applyBorder="1" applyAlignment="1">
      <alignment horizontal="right"/>
    </xf>
    <xf numFmtId="2" fontId="107" fillId="0" borderId="19" xfId="0" applyNumberFormat="1" applyFont="1" applyBorder="1" applyAlignment="1" applyProtection="1">
      <alignment horizontal="center" vertical="center"/>
    </xf>
    <xf numFmtId="2" fontId="107" fillId="0" borderId="16" xfId="0" applyNumberFormat="1" applyFont="1" applyBorder="1" applyAlignment="1" applyProtection="1">
      <alignment horizontal="center" vertical="center"/>
    </xf>
    <xf numFmtId="2" fontId="2" fillId="0" borderId="24" xfId="0" applyNumberFormat="1" applyFont="1" applyBorder="1" applyAlignment="1">
      <alignment horizontal="center" vertical="center"/>
    </xf>
    <xf numFmtId="2" fontId="2" fillId="0" borderId="17" xfId="0" applyNumberFormat="1" applyFont="1" applyBorder="1" applyAlignment="1">
      <alignment horizontal="center" vertical="center"/>
    </xf>
    <xf numFmtId="2" fontId="107" fillId="0" borderId="14" xfId="0" applyNumberFormat="1" applyFont="1" applyBorder="1" applyAlignment="1" applyProtection="1">
      <alignment horizontal="center" vertical="center"/>
    </xf>
    <xf numFmtId="2" fontId="107" fillId="0" borderId="15" xfId="0" applyNumberFormat="1" applyFont="1" applyBorder="1" applyAlignment="1" applyProtection="1">
      <alignment horizontal="center" vertical="center"/>
    </xf>
    <xf numFmtId="2" fontId="107" fillId="0" borderId="20" xfId="0" applyNumberFormat="1" applyFont="1" applyBorder="1" applyAlignment="1" applyProtection="1">
      <alignment horizontal="center" vertical="center"/>
    </xf>
    <xf numFmtId="2" fontId="107" fillId="0" borderId="21" xfId="0" applyNumberFormat="1" applyFont="1" applyBorder="1" applyAlignment="1" applyProtection="1">
      <alignment horizontal="center" vertical="center"/>
    </xf>
    <xf numFmtId="0" fontId="2" fillId="0" borderId="0" xfId="0" applyFont="1" applyBorder="1" applyAlignment="1">
      <alignment horizontal="center"/>
    </xf>
    <xf numFmtId="0" fontId="50" fillId="0" borderId="0" xfId="0" applyFont="1" applyBorder="1" applyAlignment="1">
      <alignment horizontal="center"/>
    </xf>
    <xf numFmtId="0" fontId="50" fillId="0" borderId="0" xfId="0" applyFont="1" applyBorder="1" applyAlignment="1">
      <alignment horizontal="center" wrapText="1"/>
    </xf>
    <xf numFmtId="0" fontId="8" fillId="0" borderId="22" xfId="0" applyFont="1" applyFill="1" applyBorder="1" applyAlignment="1">
      <alignment horizontal="right" vertical="center"/>
    </xf>
    <xf numFmtId="0" fontId="3" fillId="0" borderId="23" xfId="0" applyFont="1" applyBorder="1" applyAlignment="1">
      <alignment horizontal="center" vertical="center" wrapText="1"/>
    </xf>
    <xf numFmtId="0" fontId="3" fillId="0" borderId="22" xfId="0" applyFont="1" applyBorder="1" applyAlignment="1">
      <alignment horizontal="center" vertical="center"/>
    </xf>
    <xf numFmtId="3" fontId="3" fillId="0" borderId="23" xfId="0" applyNumberFormat="1" applyFont="1" applyBorder="1" applyAlignment="1">
      <alignment horizontal="center" vertical="center"/>
    </xf>
    <xf numFmtId="3" fontId="3" fillId="0" borderId="17" xfId="0" applyNumberFormat="1" applyFont="1" applyBorder="1" applyAlignment="1">
      <alignment horizontal="center" vertical="center"/>
    </xf>
    <xf numFmtId="3" fontId="3" fillId="0" borderId="24" xfId="0" applyNumberFormat="1" applyFont="1" applyBorder="1" applyAlignment="1">
      <alignment horizontal="center" vertical="center"/>
    </xf>
    <xf numFmtId="0" fontId="8" fillId="0" borderId="22" xfId="0" applyFont="1" applyBorder="1" applyAlignment="1">
      <alignment horizontal="right" vertical="center"/>
    </xf>
    <xf numFmtId="0" fontId="45" fillId="0" borderId="0" xfId="0" applyFont="1" applyAlignment="1">
      <alignment horizontal="left" vertical="center" wrapText="1"/>
    </xf>
    <xf numFmtId="0" fontId="45" fillId="0" borderId="0" xfId="0" applyFont="1" applyAlignment="1">
      <alignment horizontal="left" vertical="center"/>
    </xf>
    <xf numFmtId="0" fontId="3" fillId="0" borderId="0" xfId="0" applyFont="1" applyAlignment="1">
      <alignment horizontal="left" vertical="center"/>
    </xf>
    <xf numFmtId="0" fontId="3" fillId="0" borderId="24" xfId="0" applyFont="1" applyBorder="1" applyAlignment="1" applyProtection="1">
      <alignment horizontal="center" vertical="center" wrapText="1"/>
      <protection locked="0"/>
    </xf>
    <xf numFmtId="0" fontId="3" fillId="0" borderId="23" xfId="0" applyFont="1" applyBorder="1" applyAlignment="1" applyProtection="1">
      <alignment horizontal="center" vertical="center" wrapText="1"/>
      <protection locked="0"/>
    </xf>
    <xf numFmtId="0" fontId="3" fillId="0" borderId="11"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4" xfId="0" applyFont="1" applyBorder="1" applyAlignment="1" applyProtection="1">
      <alignment horizontal="center" vertical="center"/>
      <protection locked="0"/>
    </xf>
    <xf numFmtId="0" fontId="2" fillId="0" borderId="10" xfId="0" applyFont="1" applyBorder="1" applyAlignment="1" applyProtection="1">
      <alignment horizontal="center" vertical="center"/>
      <protection locked="0"/>
    </xf>
    <xf numFmtId="0" fontId="2" fillId="0" borderId="15" xfId="0" applyFont="1" applyBorder="1" applyAlignment="1" applyProtection="1">
      <alignment horizontal="center" vertical="center"/>
      <protection locked="0"/>
    </xf>
    <xf numFmtId="0" fontId="8" fillId="0" borderId="0" xfId="0" applyFont="1" applyAlignment="1" applyProtection="1">
      <alignment vertical="center" wrapText="1"/>
      <protection locked="0"/>
    </xf>
    <xf numFmtId="0" fontId="8" fillId="0" borderId="0" xfId="0" applyFont="1" applyAlignment="1">
      <alignment vertical="center" wrapText="1"/>
    </xf>
    <xf numFmtId="0" fontId="8" fillId="0" borderId="22" xfId="0" applyFont="1" applyBorder="1" applyAlignment="1" applyProtection="1">
      <alignment horizontal="right" vertical="center" wrapText="1"/>
      <protection locked="0"/>
    </xf>
    <xf numFmtId="0" fontId="8" fillId="0" borderId="22" xfId="0" applyFont="1" applyBorder="1" applyAlignment="1">
      <alignment horizontal="right" vertical="center" wrapText="1"/>
    </xf>
    <xf numFmtId="0" fontId="2" fillId="0" borderId="14" xfId="0" applyFont="1" applyBorder="1" applyAlignment="1">
      <alignment horizontal="center" vertical="center"/>
    </xf>
    <xf numFmtId="0" fontId="2" fillId="0" borderId="10" xfId="0" applyFont="1" applyBorder="1" applyAlignment="1">
      <alignment horizontal="center" vertical="center"/>
    </xf>
    <xf numFmtId="0" fontId="2" fillId="0" borderId="15" xfId="0" applyFont="1" applyBorder="1" applyAlignment="1">
      <alignment horizontal="center" vertical="center"/>
    </xf>
    <xf numFmtId="0" fontId="2" fillId="0" borderId="0" xfId="0" applyFont="1" applyBorder="1" applyAlignment="1" applyProtection="1">
      <alignment horizontal="center"/>
      <protection locked="0"/>
    </xf>
    <xf numFmtId="0" fontId="50" fillId="0" borderId="0" xfId="0" applyFont="1" applyBorder="1" applyAlignment="1" applyProtection="1">
      <alignment horizontal="center" vertical="top" wrapText="1"/>
      <protection locked="0"/>
    </xf>
    <xf numFmtId="0" fontId="2" fillId="0" borderId="19" xfId="0" applyFont="1" applyBorder="1" applyAlignment="1" applyProtection="1">
      <alignment horizontal="center" vertical="center"/>
      <protection locked="0"/>
    </xf>
    <xf numFmtId="0" fontId="2" fillId="0" borderId="16" xfId="0" applyFont="1" applyBorder="1" applyAlignment="1">
      <alignment horizontal="center" vertical="center"/>
    </xf>
    <xf numFmtId="0" fontId="45" fillId="0" borderId="0" xfId="0" applyFont="1" applyAlignment="1" applyProtection="1">
      <alignment horizontal="left" wrapText="1"/>
      <protection locked="0"/>
    </xf>
    <xf numFmtId="0" fontId="3" fillId="0" borderId="0" xfId="0" applyFont="1" applyAlignment="1" applyProtection="1">
      <alignment horizontal="left"/>
      <protection locked="0"/>
    </xf>
    <xf numFmtId="0" fontId="2" fillId="0" borderId="0" xfId="0" applyFont="1" applyBorder="1" applyAlignment="1" applyProtection="1">
      <alignment horizontal="center" vertical="center"/>
      <protection locked="0"/>
    </xf>
    <xf numFmtId="0" fontId="50" fillId="0" borderId="0" xfId="0" applyFont="1" applyBorder="1" applyAlignment="1" applyProtection="1">
      <alignment horizontal="center" vertical="center" wrapText="1"/>
      <protection locked="0"/>
    </xf>
    <xf numFmtId="0" fontId="8" fillId="0" borderId="0" xfId="0" applyFont="1" applyAlignment="1" applyProtection="1">
      <alignment horizontal="left" vertical="center" wrapText="1"/>
      <protection locked="0"/>
    </xf>
    <xf numFmtId="0" fontId="3" fillId="0" borderId="18" xfId="0" applyFont="1" applyBorder="1" applyAlignment="1" applyProtection="1">
      <alignment horizontal="center" vertical="center" wrapText="1"/>
      <protection locked="0"/>
    </xf>
    <xf numFmtId="0" fontId="3" fillId="0" borderId="13" xfId="0" applyFont="1" applyBorder="1" applyAlignment="1" applyProtection="1">
      <alignment horizontal="center" vertical="center" wrapText="1"/>
      <protection locked="0"/>
    </xf>
    <xf numFmtId="0" fontId="3" fillId="0" borderId="21" xfId="0" applyFont="1" applyBorder="1" applyAlignment="1" applyProtection="1">
      <alignment horizontal="center" vertical="center" wrapText="1"/>
      <protection locked="0"/>
    </xf>
    <xf numFmtId="0" fontId="3" fillId="0" borderId="15" xfId="0" applyFont="1" applyBorder="1" applyAlignment="1" applyProtection="1">
      <alignment horizontal="center" vertical="center" wrapText="1"/>
      <protection locked="0"/>
    </xf>
    <xf numFmtId="0" fontId="2" fillId="0" borderId="0" xfId="0" applyFont="1" applyBorder="1" applyAlignment="1">
      <alignment horizontal="left" vertical="center" wrapText="1"/>
    </xf>
    <xf numFmtId="0" fontId="2" fillId="0" borderId="16" xfId="0" applyFont="1" applyBorder="1" applyAlignment="1">
      <alignment horizontal="left" vertical="center" wrapText="1"/>
    </xf>
    <xf numFmtId="0" fontId="3" fillId="0" borderId="0" xfId="0" applyFont="1" applyBorder="1" applyAlignment="1">
      <alignment horizontal="left" vertical="center" wrapText="1"/>
    </xf>
    <xf numFmtId="0" fontId="3" fillId="0" borderId="16" xfId="0" applyFont="1" applyBorder="1" applyAlignment="1">
      <alignment horizontal="left" vertical="center" wrapText="1"/>
    </xf>
    <xf numFmtId="0" fontId="2" fillId="0" borderId="10" xfId="0" applyFont="1" applyBorder="1" applyAlignment="1">
      <alignment horizontal="left" vertical="center"/>
    </xf>
    <xf numFmtId="0" fontId="2" fillId="0" borderId="15" xfId="0" applyFont="1" applyBorder="1" applyAlignment="1">
      <alignment horizontal="left" vertical="center"/>
    </xf>
    <xf numFmtId="0" fontId="2" fillId="0" borderId="0" xfId="0" applyFont="1" applyBorder="1" applyAlignment="1">
      <alignment horizontal="left" vertical="center"/>
    </xf>
    <xf numFmtId="0" fontId="2" fillId="0" borderId="16" xfId="0" applyFont="1" applyBorder="1" applyAlignment="1">
      <alignment horizontal="left" vertical="center"/>
    </xf>
    <xf numFmtId="0" fontId="2" fillId="0" borderId="0" xfId="0" applyFont="1" applyAlignment="1">
      <alignment horizontal="center" vertical="center"/>
    </xf>
    <xf numFmtId="0" fontId="2" fillId="0" borderId="22" xfId="0" applyFont="1" applyBorder="1" applyAlignment="1">
      <alignment horizontal="left" vertical="center"/>
    </xf>
    <xf numFmtId="0" fontId="107" fillId="0" borderId="10" xfId="0" applyFont="1" applyBorder="1" applyAlignment="1">
      <alignment horizontal="center" vertical="center"/>
    </xf>
    <xf numFmtId="0" fontId="3" fillId="0" borderId="0" xfId="0" applyFont="1" applyBorder="1" applyAlignment="1">
      <alignment horizontal="left" vertical="center"/>
    </xf>
    <xf numFmtId="0" fontId="3" fillId="0" borderId="20" xfId="0" applyFont="1" applyBorder="1" applyAlignment="1">
      <alignment vertical="center"/>
    </xf>
    <xf numFmtId="0" fontId="3" fillId="0" borderId="22" xfId="0" applyFont="1" applyBorder="1" applyAlignment="1">
      <alignment vertical="center"/>
    </xf>
    <xf numFmtId="0" fontId="3" fillId="0" borderId="21" xfId="0" applyFont="1" applyBorder="1" applyAlignment="1">
      <alignment vertical="center"/>
    </xf>
    <xf numFmtId="0" fontId="107" fillId="0" borderId="10" xfId="0" applyFont="1" applyBorder="1" applyAlignment="1">
      <alignment horizontal="center"/>
    </xf>
    <xf numFmtId="0" fontId="3" fillId="0" borderId="14" xfId="0" applyFont="1" applyBorder="1" applyAlignment="1">
      <alignment horizontal="left" vertical="center"/>
    </xf>
    <xf numFmtId="0" fontId="3" fillId="0" borderId="10" xfId="0" applyFont="1" applyBorder="1" applyAlignment="1">
      <alignment horizontal="left" vertical="center"/>
    </xf>
    <xf numFmtId="0" fontId="3" fillId="0" borderId="15" xfId="0" applyFont="1" applyBorder="1" applyAlignment="1">
      <alignment horizontal="left" vertical="center"/>
    </xf>
    <xf numFmtId="0" fontId="3" fillId="0" borderId="19" xfId="0" applyFont="1" applyBorder="1" applyAlignment="1">
      <alignment horizontal="left" vertical="center" wrapText="1"/>
    </xf>
    <xf numFmtId="0" fontId="3" fillId="0" borderId="19" xfId="0" applyFont="1" applyBorder="1" applyAlignment="1">
      <alignment horizontal="left" vertical="top" wrapText="1"/>
    </xf>
    <xf numFmtId="0" fontId="3" fillId="0" borderId="0" xfId="0" applyFont="1" applyBorder="1" applyAlignment="1">
      <alignment horizontal="left" vertical="top" wrapText="1"/>
    </xf>
    <xf numFmtId="0" fontId="3" fillId="0" borderId="16" xfId="0" applyFont="1" applyBorder="1" applyAlignment="1">
      <alignment horizontal="left" vertical="top" wrapText="1"/>
    </xf>
    <xf numFmtId="0" fontId="107" fillId="0" borderId="17" xfId="0" applyFont="1" applyBorder="1" applyAlignment="1">
      <alignment vertical="center"/>
    </xf>
    <xf numFmtId="0" fontId="3" fillId="0" borderId="24" xfId="0" quotePrefix="1" applyFont="1" applyBorder="1" applyAlignment="1">
      <alignment horizontal="center"/>
    </xf>
    <xf numFmtId="0" fontId="3" fillId="0" borderId="23" xfId="0" quotePrefix="1" applyFont="1" applyBorder="1" applyAlignment="1">
      <alignment horizontal="center"/>
    </xf>
    <xf numFmtId="0" fontId="2" fillId="0" borderId="10" xfId="0" applyFont="1" applyBorder="1" applyAlignment="1">
      <alignment horizontal="left"/>
    </xf>
    <xf numFmtId="0" fontId="2" fillId="0" borderId="15" xfId="0" applyFont="1" applyBorder="1" applyAlignment="1">
      <alignment horizontal="left"/>
    </xf>
    <xf numFmtId="0" fontId="2" fillId="0" borderId="22" xfId="0" applyFont="1" applyBorder="1" applyAlignment="1">
      <alignment horizontal="left"/>
    </xf>
    <xf numFmtId="0" fontId="2" fillId="0" borderId="21" xfId="0" applyFont="1" applyBorder="1" applyAlignment="1">
      <alignment horizontal="left"/>
    </xf>
    <xf numFmtId="0" fontId="2" fillId="0" borderId="0" xfId="0" applyFont="1" applyBorder="1" applyAlignment="1">
      <alignment horizontal="left" vertical="top" wrapText="1"/>
    </xf>
    <xf numFmtId="0" fontId="2" fillId="0" borderId="16" xfId="0" applyFont="1" applyBorder="1" applyAlignment="1">
      <alignment horizontal="left" vertical="top" wrapText="1"/>
    </xf>
    <xf numFmtId="0" fontId="2" fillId="0" borderId="0" xfId="0" applyFont="1" applyAlignment="1">
      <alignment horizontal="center"/>
    </xf>
    <xf numFmtId="0" fontId="2" fillId="0" borderId="0" xfId="0" applyFont="1" applyBorder="1" applyAlignment="1">
      <alignment horizontal="left"/>
    </xf>
    <xf numFmtId="0" fontId="2" fillId="0" borderId="16" xfId="0" applyFont="1" applyBorder="1" applyAlignment="1">
      <alignment horizontal="left"/>
    </xf>
    <xf numFmtId="0" fontId="2" fillId="0" borderId="14" xfId="0" applyFont="1" applyBorder="1" applyAlignment="1">
      <alignment horizontal="left"/>
    </xf>
    <xf numFmtId="0" fontId="2" fillId="0" borderId="19" xfId="0" applyFont="1" applyBorder="1" applyAlignment="1">
      <alignment horizontal="left" vertical="top" wrapText="1"/>
    </xf>
    <xf numFmtId="0" fontId="2" fillId="0" borderId="20" xfId="0" applyFont="1" applyBorder="1" applyAlignment="1">
      <alignment horizontal="left" vertical="center"/>
    </xf>
    <xf numFmtId="0" fontId="2" fillId="0" borderId="21" xfId="0" applyFont="1" applyBorder="1" applyAlignment="1">
      <alignment horizontal="left" vertical="center"/>
    </xf>
    <xf numFmtId="0" fontId="3" fillId="0" borderId="14" xfId="0" applyFont="1" applyBorder="1" applyAlignment="1">
      <alignment horizontal="left" vertical="top"/>
    </xf>
    <xf numFmtId="0" fontId="3" fillId="0" borderId="10" xfId="0" applyFont="1" applyBorder="1" applyAlignment="1">
      <alignment horizontal="left" vertical="top"/>
    </xf>
    <xf numFmtId="0" fontId="3" fillId="0" borderId="15" xfId="0" applyFont="1" applyBorder="1" applyAlignment="1">
      <alignment horizontal="left" vertical="top"/>
    </xf>
    <xf numFmtId="0" fontId="45" fillId="0" borderId="24" xfId="0" applyFont="1" applyBorder="1" applyAlignment="1">
      <alignment horizontal="center" vertical="center" wrapText="1"/>
    </xf>
    <xf numFmtId="0" fontId="45" fillId="0" borderId="23" xfId="0" applyFont="1" applyBorder="1" applyAlignment="1">
      <alignment horizontal="center" vertical="center" wrapText="1"/>
    </xf>
    <xf numFmtId="0" fontId="45" fillId="0" borderId="17" xfId="0" applyFont="1" applyBorder="1" applyAlignment="1">
      <alignment horizontal="center" vertical="center" wrapText="1"/>
    </xf>
    <xf numFmtId="0" fontId="6" fillId="0" borderId="10" xfId="0" applyFont="1" applyBorder="1" applyAlignment="1">
      <alignment horizontal="center" vertical="center"/>
    </xf>
    <xf numFmtId="0" fontId="72" fillId="0" borderId="22" xfId="0" applyFont="1" applyBorder="1" applyAlignment="1" applyProtection="1">
      <alignment horizontal="right" vertical="center" wrapText="1"/>
      <protection locked="0"/>
    </xf>
    <xf numFmtId="0" fontId="72" fillId="0" borderId="22" xfId="0" applyFont="1" applyBorder="1" applyAlignment="1">
      <alignment horizontal="right" vertical="center" wrapText="1"/>
    </xf>
    <xf numFmtId="0" fontId="1" fillId="0" borderId="24" xfId="0" applyFont="1" applyBorder="1" applyAlignment="1">
      <alignment horizontal="center" vertical="center"/>
    </xf>
    <xf numFmtId="0" fontId="8" fillId="0" borderId="0" xfId="0" applyFont="1" applyAlignment="1" applyProtection="1">
      <alignment horizontal="left"/>
      <protection locked="0"/>
    </xf>
    <xf numFmtId="0" fontId="2" fillId="0" borderId="14" xfId="0" applyFont="1" applyBorder="1" applyAlignment="1">
      <alignment horizontal="center" vertical="center" wrapText="1"/>
    </xf>
    <xf numFmtId="0" fontId="8" fillId="0" borderId="22" xfId="0" applyFont="1" applyBorder="1" applyAlignment="1" applyProtection="1">
      <alignment horizontal="left" vertical="center" wrapText="1"/>
      <protection locked="0"/>
    </xf>
    <xf numFmtId="0" fontId="0" fillId="0" borderId="0" xfId="0"/>
    <xf numFmtId="0" fontId="107" fillId="0" borderId="19" xfId="0" applyFont="1" applyBorder="1" applyAlignment="1" applyProtection="1">
      <alignment horizontal="center" vertical="center"/>
      <protection locked="0"/>
    </xf>
    <xf numFmtId="0" fontId="107" fillId="0" borderId="16" xfId="0" applyFont="1" applyBorder="1" applyAlignment="1" applyProtection="1">
      <alignment horizontal="center" vertical="center"/>
      <protection locked="0"/>
    </xf>
    <xf numFmtId="0" fontId="2" fillId="0" borderId="16" xfId="0" applyFont="1" applyBorder="1" applyAlignment="1" applyProtection="1">
      <alignment horizontal="center" vertical="center"/>
      <protection locked="0"/>
    </xf>
    <xf numFmtId="0" fontId="3" fillId="0" borderId="19" xfId="0" applyFont="1" applyBorder="1" applyAlignment="1" applyProtection="1">
      <alignment horizontal="center" vertical="center"/>
      <protection locked="0"/>
    </xf>
    <xf numFmtId="0" fontId="50" fillId="0" borderId="0" xfId="0" applyFont="1" applyAlignment="1">
      <alignment horizontal="center"/>
    </xf>
    <xf numFmtId="0" fontId="107" fillId="0" borderId="14" xfId="0" applyFont="1" applyBorder="1" applyAlignment="1" applyProtection="1">
      <alignment horizontal="center" vertical="center"/>
      <protection locked="0"/>
    </xf>
    <xf numFmtId="0" fontId="107" fillId="0" borderId="15" xfId="0" applyFont="1" applyBorder="1" applyAlignment="1" applyProtection="1">
      <alignment horizontal="center" vertical="center"/>
      <protection locked="0"/>
    </xf>
    <xf numFmtId="0" fontId="107" fillId="0" borderId="20" xfId="0" applyFont="1" applyBorder="1" applyAlignment="1">
      <alignment horizontal="center" vertical="center"/>
    </xf>
    <xf numFmtId="0" fontId="107" fillId="0" borderId="21" xfId="0" applyFont="1" applyBorder="1" applyAlignment="1">
      <alignment horizontal="center" vertical="center"/>
    </xf>
    <xf numFmtId="0" fontId="107" fillId="0" borderId="19" xfId="0" applyFont="1" applyBorder="1" applyAlignment="1">
      <alignment horizontal="center" vertical="center"/>
    </xf>
    <xf numFmtId="0" fontId="107" fillId="0" borderId="16" xfId="0" applyFont="1" applyBorder="1" applyAlignment="1">
      <alignment horizontal="center" vertical="center"/>
    </xf>
    <xf numFmtId="0" fontId="107" fillId="0" borderId="0" xfId="0" applyFont="1" applyBorder="1" applyAlignment="1">
      <alignment horizontal="center" vertical="center"/>
    </xf>
    <xf numFmtId="0" fontId="107" fillId="0" borderId="14" xfId="0" applyFont="1" applyBorder="1" applyAlignment="1">
      <alignment horizontal="center" vertical="center"/>
    </xf>
    <xf numFmtId="0" fontId="107" fillId="0" borderId="15" xfId="0" applyFont="1" applyBorder="1" applyAlignment="1">
      <alignment horizontal="center" vertical="center"/>
    </xf>
    <xf numFmtId="0" fontId="8" fillId="0" borderId="0" xfId="0" applyFont="1" applyAlignment="1" applyProtection="1">
      <alignment horizontal="left" vertical="center" shrinkToFit="1"/>
      <protection locked="0"/>
    </xf>
    <xf numFmtId="0" fontId="8" fillId="0" borderId="0" xfId="0" applyFont="1" applyAlignment="1">
      <alignment vertical="center"/>
    </xf>
    <xf numFmtId="0" fontId="8" fillId="0" borderId="22" xfId="0" applyFont="1" applyBorder="1" applyAlignment="1">
      <alignment horizontal="left" vertical="center" wrapText="1"/>
    </xf>
    <xf numFmtId="1" fontId="1" fillId="0" borderId="14" xfId="0" applyNumberFormat="1" applyFont="1" applyFill="1" applyBorder="1" applyAlignment="1" applyProtection="1">
      <alignment horizontal="center" vertical="center"/>
      <protection locked="0"/>
    </xf>
    <xf numFmtId="1" fontId="1" fillId="0" borderId="15" xfId="0" applyNumberFormat="1" applyFont="1" applyFill="1" applyBorder="1" applyAlignment="1" applyProtection="1">
      <alignment horizontal="center" vertical="center"/>
      <protection locked="0"/>
    </xf>
    <xf numFmtId="0" fontId="1" fillId="0" borderId="19" xfId="0" applyFont="1" applyBorder="1" applyAlignment="1">
      <alignment horizontal="center" vertical="center"/>
    </xf>
    <xf numFmtId="0" fontId="1" fillId="0" borderId="16" xfId="0" applyFont="1" applyBorder="1" applyAlignment="1">
      <alignment horizontal="center" vertical="center"/>
    </xf>
    <xf numFmtId="0" fontId="1" fillId="0" borderId="14" xfId="0" applyFont="1" applyBorder="1" applyAlignment="1">
      <alignment horizontal="center" vertical="center"/>
    </xf>
    <xf numFmtId="0" fontId="1" fillId="0" borderId="15" xfId="0" applyFont="1" applyBorder="1" applyAlignment="1">
      <alignment horizontal="center" vertical="center"/>
    </xf>
    <xf numFmtId="1" fontId="1" fillId="0" borderId="19" xfId="0" applyNumberFormat="1" applyFont="1" applyFill="1" applyBorder="1" applyAlignment="1" applyProtection="1">
      <alignment horizontal="center" vertical="center"/>
      <protection locked="0"/>
    </xf>
    <xf numFmtId="1" fontId="1" fillId="0" borderId="16" xfId="0" applyNumberFormat="1" applyFont="1" applyFill="1" applyBorder="1" applyAlignment="1" applyProtection="1">
      <alignment horizontal="center" vertical="center"/>
      <protection locked="0"/>
    </xf>
    <xf numFmtId="0" fontId="1" fillId="0" borderId="20" xfId="0" applyFont="1" applyBorder="1" applyAlignment="1">
      <alignment horizontal="center" vertical="center"/>
    </xf>
    <xf numFmtId="0" fontId="1" fillId="0" borderId="21" xfId="0" applyFont="1" applyBorder="1" applyAlignment="1">
      <alignment horizontal="center" vertical="center"/>
    </xf>
    <xf numFmtId="0" fontId="8" fillId="0" borderId="0" xfId="0" applyFont="1" applyBorder="1" applyAlignment="1" applyProtection="1">
      <alignment horizontal="right"/>
      <protection locked="0"/>
    </xf>
    <xf numFmtId="0" fontId="8" fillId="0" borderId="22" xfId="0" applyFont="1" applyBorder="1" applyAlignment="1" applyProtection="1">
      <alignment horizontal="right"/>
      <protection locked="0"/>
    </xf>
    <xf numFmtId="0" fontId="1" fillId="0" borderId="19" xfId="0" applyFont="1" applyFill="1" applyBorder="1" applyAlignment="1" applyProtection="1">
      <alignment horizontal="center" vertical="center"/>
      <protection locked="0"/>
    </xf>
    <xf numFmtId="0" fontId="1" fillId="0" borderId="16" xfId="0" applyFont="1" applyFill="1" applyBorder="1" applyAlignment="1" applyProtection="1">
      <alignment horizontal="center" vertical="center"/>
      <protection locked="0"/>
    </xf>
    <xf numFmtId="0" fontId="1" fillId="0" borderId="14" xfId="0" applyFont="1" applyFill="1" applyBorder="1" applyAlignment="1" applyProtection="1">
      <alignment horizontal="center" vertical="center"/>
      <protection locked="0"/>
    </xf>
    <xf numFmtId="0" fontId="1" fillId="0" borderId="15" xfId="0" applyFont="1" applyFill="1" applyBorder="1" applyAlignment="1" applyProtection="1">
      <alignment horizontal="center" vertical="center"/>
      <protection locked="0"/>
    </xf>
    <xf numFmtId="1" fontId="1" fillId="0" borderId="20" xfId="0" applyNumberFormat="1" applyFont="1" applyFill="1" applyBorder="1" applyAlignment="1" applyProtection="1">
      <alignment horizontal="center" vertical="center"/>
      <protection locked="0"/>
    </xf>
    <xf numFmtId="1" fontId="1" fillId="0" borderId="21" xfId="0" applyNumberFormat="1" applyFont="1" applyFill="1" applyBorder="1" applyAlignment="1" applyProtection="1">
      <alignment horizontal="center" vertical="center"/>
      <protection locked="0"/>
    </xf>
    <xf numFmtId="0" fontId="1" fillId="0" borderId="20" xfId="0" applyFont="1" applyFill="1" applyBorder="1" applyAlignment="1" applyProtection="1">
      <alignment horizontal="center" vertical="center"/>
      <protection locked="0"/>
    </xf>
    <xf numFmtId="0" fontId="1" fillId="0" borderId="21" xfId="0" applyFont="1" applyFill="1" applyBorder="1" applyAlignment="1" applyProtection="1">
      <alignment horizontal="center" vertical="center"/>
      <protection locked="0"/>
    </xf>
    <xf numFmtId="0" fontId="3" fillId="0" borderId="22" xfId="0" quotePrefix="1" applyFont="1" applyBorder="1" applyAlignment="1">
      <alignment horizontal="center" vertical="center"/>
    </xf>
    <xf numFmtId="0" fontId="3" fillId="0" borderId="21" xfId="0" quotePrefix="1" applyFont="1" applyBorder="1" applyAlignment="1">
      <alignment horizontal="center" vertical="center"/>
    </xf>
    <xf numFmtId="0" fontId="8" fillId="0" borderId="22" xfId="0" applyFont="1" applyBorder="1" applyAlignment="1">
      <alignment vertical="center"/>
    </xf>
    <xf numFmtId="0" fontId="0" fillId="0" borderId="17" xfId="0" applyBorder="1"/>
    <xf numFmtId="2" fontId="107" fillId="0" borderId="19" xfId="0" applyNumberFormat="1" applyFont="1" applyFill="1" applyBorder="1" applyAlignment="1">
      <alignment horizontal="center" vertical="center"/>
    </xf>
    <xf numFmtId="2" fontId="107" fillId="0" borderId="16" xfId="0" applyNumberFormat="1" applyFont="1" applyFill="1" applyBorder="1" applyAlignment="1">
      <alignment horizontal="center" vertical="center"/>
    </xf>
    <xf numFmtId="2" fontId="107" fillId="0" borderId="20" xfId="0" applyNumberFormat="1" applyFont="1" applyFill="1" applyBorder="1" applyAlignment="1">
      <alignment horizontal="center" vertical="center"/>
    </xf>
    <xf numFmtId="2" fontId="107" fillId="0" borderId="21" xfId="0" applyNumberFormat="1" applyFont="1" applyFill="1" applyBorder="1" applyAlignment="1">
      <alignment horizontal="center" vertical="center"/>
    </xf>
    <xf numFmtId="0" fontId="50" fillId="0" borderId="0" xfId="0" applyFont="1" applyAlignment="1">
      <alignment horizontal="center" vertical="center" wrapText="1"/>
    </xf>
    <xf numFmtId="0" fontId="3" fillId="0" borderId="20" xfId="0" applyFont="1" applyFill="1" applyBorder="1" applyAlignment="1">
      <alignment horizontal="center" vertical="center"/>
    </xf>
    <xf numFmtId="0" fontId="3" fillId="0" borderId="21" xfId="0" applyFont="1" applyFill="1" applyBorder="1" applyAlignment="1">
      <alignment horizontal="center" vertical="center"/>
    </xf>
    <xf numFmtId="0" fontId="3" fillId="0" borderId="14" xfId="0" applyFont="1" applyFill="1" applyBorder="1" applyAlignment="1">
      <alignment horizontal="center" vertical="center"/>
    </xf>
    <xf numFmtId="0" fontId="3" fillId="0" borderId="15" xfId="0" applyFont="1" applyFill="1" applyBorder="1" applyAlignment="1">
      <alignment horizontal="center" vertical="center"/>
    </xf>
    <xf numFmtId="2" fontId="107" fillId="0" borderId="14" xfId="0" applyNumberFormat="1" applyFont="1" applyFill="1" applyBorder="1" applyAlignment="1">
      <alignment horizontal="center" vertical="center"/>
    </xf>
    <xf numFmtId="2" fontId="107" fillId="0" borderId="15" xfId="0" applyNumberFormat="1" applyFont="1" applyFill="1" applyBorder="1" applyAlignment="1">
      <alignment horizontal="center" vertical="center"/>
    </xf>
    <xf numFmtId="0" fontId="50" fillId="0" borderId="10" xfId="0" applyFont="1" applyBorder="1" applyAlignment="1">
      <alignment horizontal="center" vertical="center" wrapText="1"/>
    </xf>
    <xf numFmtId="0" fontId="62" fillId="0" borderId="22" xfId="0" applyFont="1" applyBorder="1" applyAlignment="1">
      <alignment horizontal="left" vertical="center"/>
    </xf>
    <xf numFmtId="0" fontId="62" fillId="0" borderId="0" xfId="0" applyFont="1" applyAlignment="1">
      <alignment horizontal="left" vertical="center"/>
    </xf>
    <xf numFmtId="0" fontId="21" fillId="0" borderId="0" xfId="0" applyFont="1" applyBorder="1" applyAlignment="1">
      <alignment horizontal="center" vertical="center"/>
    </xf>
    <xf numFmtId="0" fontId="21" fillId="0" borderId="0" xfId="0" applyFont="1" applyAlignment="1">
      <alignment horizontal="center" vertical="center"/>
    </xf>
    <xf numFmtId="0" fontId="57" fillId="0" borderId="0" xfId="0" applyFont="1" applyAlignment="1">
      <alignment horizontal="center" vertical="center"/>
    </xf>
    <xf numFmtId="0" fontId="18" fillId="0" borderId="18" xfId="0" applyFont="1" applyBorder="1" applyAlignment="1">
      <alignment horizontal="center" vertical="center"/>
    </xf>
    <xf numFmtId="0" fontId="18" fillId="0" borderId="13" xfId="0" applyFont="1" applyBorder="1" applyAlignment="1">
      <alignment vertical="center"/>
    </xf>
    <xf numFmtId="0" fontId="18" fillId="0" borderId="24" xfId="0" applyFont="1" applyBorder="1" applyAlignment="1">
      <alignment horizontal="center" vertical="center"/>
    </xf>
    <xf numFmtId="0" fontId="18" fillId="0" borderId="23" xfId="0" applyFont="1" applyBorder="1" applyAlignment="1">
      <alignment vertical="center"/>
    </xf>
    <xf numFmtId="0" fontId="18" fillId="0" borderId="17" xfId="0" applyFont="1" applyBorder="1" applyAlignment="1">
      <alignment vertical="center"/>
    </xf>
    <xf numFmtId="0" fontId="18" fillId="0" borderId="13" xfId="0" applyFont="1" applyBorder="1" applyAlignment="1">
      <alignment horizontal="center" vertical="center"/>
    </xf>
    <xf numFmtId="0" fontId="18" fillId="0" borderId="17" xfId="0" applyFont="1" applyBorder="1" applyAlignment="1">
      <alignment horizontal="center" vertical="center"/>
    </xf>
    <xf numFmtId="0" fontId="18" fillId="0" borderId="18" xfId="0" applyFont="1" applyBorder="1" applyAlignment="1">
      <alignment horizontal="center" vertical="center" wrapText="1"/>
    </xf>
    <xf numFmtId="0" fontId="18" fillId="0" borderId="13" xfId="0" applyFont="1" applyBorder="1" applyAlignment="1">
      <alignment horizontal="center" vertical="center" wrapText="1"/>
    </xf>
    <xf numFmtId="0" fontId="57" fillId="0" borderId="0" xfId="0" applyFont="1" applyAlignment="1">
      <alignment horizontal="center" vertical="center" wrapText="1"/>
    </xf>
    <xf numFmtId="0" fontId="18" fillId="0" borderId="23" xfId="0" applyFont="1" applyBorder="1" applyAlignment="1">
      <alignment horizontal="center" vertical="center"/>
    </xf>
    <xf numFmtId="0" fontId="21" fillId="0" borderId="0" xfId="0" applyFont="1" applyBorder="1" applyAlignment="1">
      <alignment horizontal="center"/>
    </xf>
    <xf numFmtId="0" fontId="57" fillId="0" borderId="10" xfId="0" applyFont="1" applyBorder="1" applyAlignment="1">
      <alignment horizontal="center" vertical="center" wrapText="1"/>
    </xf>
    <xf numFmtId="0" fontId="18" fillId="0" borderId="10" xfId="0" applyFont="1" applyBorder="1" applyAlignment="1">
      <alignment horizontal="right"/>
    </xf>
    <xf numFmtId="0" fontId="18" fillId="0" borderId="24" xfId="0" quotePrefix="1" applyFont="1" applyBorder="1" applyAlignment="1">
      <alignment horizontal="center" vertical="center"/>
    </xf>
    <xf numFmtId="0" fontId="57" fillId="0" borderId="0" xfId="0" applyFont="1" applyBorder="1" applyAlignment="1">
      <alignment horizontal="center" vertical="center"/>
    </xf>
    <xf numFmtId="0" fontId="8" fillId="0" borderId="0" xfId="0" applyFont="1" applyAlignment="1">
      <alignment horizontal="left"/>
    </xf>
    <xf numFmtId="0" fontId="62" fillId="0" borderId="22" xfId="0" applyFont="1" applyBorder="1" applyAlignment="1">
      <alignment horizontal="left" vertical="top" wrapText="1"/>
    </xf>
    <xf numFmtId="0" fontId="62" fillId="0" borderId="0" xfId="0" applyFont="1" applyAlignment="1">
      <alignment horizontal="left" vertical="top" wrapText="1"/>
    </xf>
    <xf numFmtId="0" fontId="16" fillId="0" borderId="14" xfId="0" applyFont="1" applyBorder="1" applyAlignment="1">
      <alignment horizontal="center" vertical="center"/>
    </xf>
    <xf numFmtId="0" fontId="16" fillId="0" borderId="10" xfId="0" applyFont="1" applyBorder="1" applyAlignment="1">
      <alignment horizontal="center" vertical="center"/>
    </xf>
    <xf numFmtId="0" fontId="16" fillId="0" borderId="0" xfId="0" applyFont="1" applyBorder="1" applyAlignment="1">
      <alignment horizontal="center" vertical="center"/>
    </xf>
    <xf numFmtId="0" fontId="16" fillId="0" borderId="15" xfId="0" applyFont="1" applyBorder="1" applyAlignment="1">
      <alignment horizontal="center" vertical="center"/>
    </xf>
    <xf numFmtId="0" fontId="57" fillId="0" borderId="0" xfId="0" applyFont="1" applyBorder="1" applyAlignment="1">
      <alignment horizontal="center" vertical="center" wrapText="1"/>
    </xf>
    <xf numFmtId="0" fontId="18" fillId="0" borderId="11" xfId="0" quotePrefix="1" applyFont="1" applyBorder="1" applyAlignment="1">
      <alignment horizontal="center" vertical="center" wrapText="1"/>
    </xf>
    <xf numFmtId="0" fontId="18" fillId="0" borderId="11" xfId="0" applyFont="1" applyBorder="1" applyAlignment="1">
      <alignment horizontal="center" vertical="center" wrapText="1"/>
    </xf>
    <xf numFmtId="0" fontId="18" fillId="0" borderId="17" xfId="0" applyFont="1" applyBorder="1" applyAlignment="1">
      <alignment horizontal="center" vertical="center" wrapText="1"/>
    </xf>
    <xf numFmtId="0" fontId="18" fillId="0" borderId="11" xfId="0" applyFont="1"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11" fillId="0" borderId="14" xfId="0" applyFont="1" applyFill="1" applyBorder="1" applyAlignment="1">
      <alignment horizontal="center" vertical="center"/>
    </xf>
    <xf numFmtId="0" fontId="11" fillId="0" borderId="15" xfId="0" applyFont="1" applyFill="1" applyBorder="1" applyAlignment="1">
      <alignment horizontal="center" vertical="center"/>
    </xf>
    <xf numFmtId="0" fontId="0" fillId="0" borderId="10" xfId="0" applyBorder="1" applyAlignment="1">
      <alignment horizontal="center" vertical="center"/>
    </xf>
    <xf numFmtId="0" fontId="0" fillId="0" borderId="19" xfId="0" applyBorder="1" applyAlignment="1">
      <alignment horizontal="center" vertical="center"/>
    </xf>
    <xf numFmtId="0" fontId="0" fillId="0" borderId="16" xfId="0" applyBorder="1" applyAlignment="1">
      <alignment horizontal="center" vertical="center"/>
    </xf>
    <xf numFmtId="0" fontId="11" fillId="0" borderId="19" xfId="0" applyFont="1" applyFill="1" applyBorder="1" applyAlignment="1">
      <alignment horizontal="center" vertical="center"/>
    </xf>
    <xf numFmtId="0" fontId="11" fillId="0" borderId="16" xfId="0" applyFont="1" applyFill="1" applyBorder="1" applyAlignment="1">
      <alignment horizontal="center" vertical="center"/>
    </xf>
    <xf numFmtId="0" fontId="0" fillId="0" borderId="0" xfId="0" applyBorder="1" applyAlignment="1">
      <alignment horizontal="center" vertical="center"/>
    </xf>
    <xf numFmtId="0" fontId="18" fillId="0" borderId="17" xfId="0" quotePrefix="1" applyFont="1" applyBorder="1" applyAlignment="1">
      <alignment horizontal="center" vertical="center"/>
    </xf>
    <xf numFmtId="0" fontId="18" fillId="0" borderId="24" xfId="0" quotePrefix="1" applyFont="1" applyBorder="1" applyAlignment="1">
      <alignment horizontal="center" vertical="center" wrapText="1"/>
    </xf>
    <xf numFmtId="0" fontId="18" fillId="0" borderId="23" xfId="0" applyFont="1" applyBorder="1" applyAlignment="1">
      <alignment horizontal="center" vertical="center" wrapText="1"/>
    </xf>
    <xf numFmtId="0" fontId="18" fillId="0" borderId="23" xfId="0" quotePrefix="1" applyFont="1" applyBorder="1" applyAlignment="1">
      <alignment horizontal="center" vertical="center" wrapText="1"/>
    </xf>
    <xf numFmtId="0" fontId="18" fillId="0" borderId="17" xfId="0" quotePrefix="1" applyFont="1" applyBorder="1" applyAlignment="1">
      <alignment horizontal="center" vertical="center" wrapText="1"/>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xf>
    <xf numFmtId="0" fontId="11" fillId="0" borderId="20" xfId="0" applyFont="1" applyFill="1" applyBorder="1" applyAlignment="1">
      <alignment horizontal="center" vertical="center"/>
    </xf>
    <xf numFmtId="0" fontId="11" fillId="0" borderId="21" xfId="0" applyFont="1" applyFill="1" applyBorder="1" applyAlignment="1">
      <alignment horizontal="center" vertical="center"/>
    </xf>
    <xf numFmtId="0" fontId="18" fillId="0" borderId="24" xfId="0" applyFont="1" applyBorder="1" applyAlignment="1">
      <alignment horizontal="center" vertical="center" wrapText="1"/>
    </xf>
    <xf numFmtId="0" fontId="30" fillId="0" borderId="20" xfId="0" applyFont="1" applyBorder="1" applyAlignment="1">
      <alignment horizontal="center" vertical="center" wrapText="1"/>
    </xf>
    <xf numFmtId="0" fontId="30" fillId="0" borderId="19" xfId="0" applyFont="1" applyBorder="1" applyAlignment="1">
      <alignment horizontal="center" vertical="center" wrapText="1"/>
    </xf>
    <xf numFmtId="0" fontId="62" fillId="0" borderId="0" xfId="0" applyFont="1" applyBorder="1" applyAlignment="1">
      <alignment horizontal="left" vertical="top" wrapText="1"/>
    </xf>
    <xf numFmtId="0" fontId="18" fillId="0" borderId="20" xfId="0" applyFont="1" applyBorder="1" applyAlignment="1">
      <alignment horizontal="center" vertical="center"/>
    </xf>
    <xf numFmtId="0" fontId="18" fillId="0" borderId="21" xfId="0" applyFont="1" applyBorder="1" applyAlignment="1">
      <alignment horizontal="center" vertical="center"/>
    </xf>
    <xf numFmtId="0" fontId="18" fillId="0" borderId="14" xfId="0" applyFont="1" applyBorder="1" applyAlignment="1">
      <alignment horizontal="center" vertical="center"/>
    </xf>
    <xf numFmtId="0" fontId="18" fillId="0" borderId="15" xfId="0" applyFont="1" applyBorder="1" applyAlignment="1">
      <alignment horizontal="center" vertical="center"/>
    </xf>
    <xf numFmtId="0" fontId="62" fillId="0" borderId="24" xfId="0" applyFont="1" applyBorder="1" applyAlignment="1">
      <alignment horizontal="center" vertical="center"/>
    </xf>
    <xf numFmtId="0" fontId="62" fillId="0" borderId="23" xfId="0" applyFont="1" applyBorder="1" applyAlignment="1">
      <alignment horizontal="center" vertical="center"/>
    </xf>
    <xf numFmtId="0" fontId="62" fillId="0" borderId="17" xfId="0" applyFont="1" applyBorder="1" applyAlignment="1">
      <alignment horizontal="center" vertical="center"/>
    </xf>
    <xf numFmtId="0" fontId="59" fillId="0" borderId="14" xfId="0" applyFont="1" applyBorder="1" applyAlignment="1">
      <alignment horizontal="center" vertical="center"/>
    </xf>
    <xf numFmtId="0" fontId="59" fillId="0" borderId="15" xfId="0" applyFont="1" applyBorder="1" applyAlignment="1">
      <alignment horizontal="center" vertical="center"/>
    </xf>
    <xf numFmtId="0" fontId="59" fillId="0" borderId="19" xfId="0" applyFont="1" applyBorder="1" applyAlignment="1">
      <alignment horizontal="center" vertical="center"/>
    </xf>
    <xf numFmtId="0" fontId="59" fillId="0" borderId="16" xfId="0" applyFont="1" applyBorder="1" applyAlignment="1">
      <alignment horizontal="center" vertical="center"/>
    </xf>
    <xf numFmtId="0" fontId="59" fillId="0" borderId="20" xfId="0" applyFont="1" applyBorder="1" applyAlignment="1">
      <alignment horizontal="center" vertical="center"/>
    </xf>
    <xf numFmtId="0" fontId="59" fillId="0" borderId="21" xfId="0" applyFont="1" applyBorder="1" applyAlignment="1">
      <alignment horizontal="center" vertical="center"/>
    </xf>
    <xf numFmtId="0" fontId="65" fillId="0" borderId="20" xfId="0" applyFont="1" applyBorder="1" applyAlignment="1">
      <alignment horizontal="center" vertical="center" wrapText="1"/>
    </xf>
    <xf numFmtId="0" fontId="65" fillId="0" borderId="21" xfId="0" applyFont="1" applyBorder="1" applyAlignment="1">
      <alignment horizontal="center" vertical="center" wrapText="1"/>
    </xf>
    <xf numFmtId="0" fontId="65" fillId="0" borderId="14" xfId="0" applyFont="1" applyBorder="1" applyAlignment="1">
      <alignment horizontal="center" vertical="center" wrapText="1"/>
    </xf>
    <xf numFmtId="0" fontId="65" fillId="0" borderId="15" xfId="0" applyFont="1" applyBorder="1" applyAlignment="1">
      <alignment horizontal="center" vertical="center" wrapText="1"/>
    </xf>
    <xf numFmtId="0" fontId="3" fillId="0" borderId="23" xfId="0" applyFont="1" applyBorder="1" applyAlignment="1">
      <alignment vertical="center"/>
    </xf>
    <xf numFmtId="0" fontId="18" fillId="0" borderId="10" xfId="0" applyFont="1" applyBorder="1" applyAlignment="1">
      <alignment horizontal="right" vertical="center"/>
    </xf>
    <xf numFmtId="0" fontId="18" fillId="0" borderId="23" xfId="0" quotePrefix="1" applyFont="1" applyBorder="1" applyAlignment="1">
      <alignment horizontal="center" vertical="center"/>
    </xf>
    <xf numFmtId="165" fontId="0" fillId="0" borderId="19" xfId="0" applyNumberFormat="1" applyBorder="1" applyAlignment="1">
      <alignment horizontal="center" vertical="center"/>
    </xf>
    <xf numFmtId="165" fontId="0" fillId="0" borderId="16" xfId="0" applyNumberFormat="1" applyBorder="1" applyAlignment="1">
      <alignment horizontal="center" vertical="center"/>
    </xf>
    <xf numFmtId="165" fontId="0" fillId="0" borderId="20" xfId="0" applyNumberFormat="1" applyBorder="1" applyAlignment="1">
      <alignment horizontal="center" vertical="center"/>
    </xf>
    <xf numFmtId="165" fontId="0" fillId="0" borderId="21" xfId="0" applyNumberFormat="1" applyBorder="1" applyAlignment="1">
      <alignment horizontal="center" vertical="center"/>
    </xf>
    <xf numFmtId="165" fontId="0" fillId="0" borderId="14" xfId="0" applyNumberFormat="1" applyBorder="1" applyAlignment="1">
      <alignment horizontal="center" vertical="center"/>
    </xf>
    <xf numFmtId="165" fontId="0" fillId="0" borderId="15" xfId="0" applyNumberFormat="1" applyBorder="1" applyAlignment="1">
      <alignment horizontal="center" vertical="center"/>
    </xf>
    <xf numFmtId="0" fontId="21" fillId="0" borderId="14" xfId="0" applyFont="1" applyBorder="1" applyAlignment="1">
      <alignment horizontal="left" vertical="justify" wrapText="1"/>
    </xf>
    <xf numFmtId="0" fontId="21" fillId="0" borderId="15" xfId="0" applyFont="1" applyBorder="1" applyAlignment="1">
      <alignment horizontal="left" vertical="justify" wrapText="1"/>
    </xf>
    <xf numFmtId="0" fontId="21" fillId="0" borderId="20" xfId="0" applyFont="1" applyFill="1" applyBorder="1" applyAlignment="1">
      <alignment horizontal="left" vertical="top" wrapText="1"/>
    </xf>
    <xf numFmtId="0" fontId="21" fillId="0" borderId="21" xfId="0" applyFont="1" applyFill="1" applyBorder="1" applyAlignment="1">
      <alignment horizontal="left" vertical="top" wrapText="1"/>
    </xf>
    <xf numFmtId="0" fontId="59" fillId="0" borderId="10" xfId="0" applyFont="1" applyBorder="1" applyAlignment="1">
      <alignment horizontal="center" vertical="center"/>
    </xf>
    <xf numFmtId="0" fontId="18" fillId="0" borderId="22" xfId="0" applyFont="1" applyBorder="1" applyAlignment="1">
      <alignment horizontal="center" vertical="center"/>
    </xf>
    <xf numFmtId="0" fontId="18" fillId="0" borderId="10" xfId="0" applyFont="1" applyBorder="1" applyAlignment="1">
      <alignment horizontal="center" vertical="center"/>
    </xf>
    <xf numFmtId="0" fontId="59" fillId="0" borderId="0" xfId="0" applyFont="1" applyBorder="1" applyAlignment="1">
      <alignment horizontal="center" vertical="center"/>
    </xf>
    <xf numFmtId="0" fontId="18" fillId="0" borderId="23" xfId="0" applyFont="1" applyBorder="1" applyAlignment="1" applyProtection="1">
      <alignment horizontal="center" vertical="center"/>
    </xf>
    <xf numFmtId="0" fontId="18" fillId="0" borderId="17" xfId="0" applyFont="1" applyBorder="1" applyAlignment="1" applyProtection="1">
      <alignment horizontal="center" vertical="center"/>
    </xf>
    <xf numFmtId="166" fontId="0" fillId="0" borderId="19" xfId="0" applyNumberFormat="1" applyBorder="1" applyAlignment="1">
      <alignment horizontal="center" vertical="center"/>
    </xf>
    <xf numFmtId="166" fontId="0" fillId="0" borderId="16" xfId="0" applyNumberFormat="1" applyBorder="1" applyAlignment="1">
      <alignment horizontal="center" vertical="center"/>
    </xf>
    <xf numFmtId="166" fontId="0" fillId="0" borderId="14" xfId="0" applyNumberFormat="1" applyBorder="1" applyAlignment="1">
      <alignment horizontal="center" vertical="center"/>
    </xf>
    <xf numFmtId="166" fontId="0" fillId="0" borderId="15" xfId="0" applyNumberFormat="1" applyBorder="1" applyAlignment="1">
      <alignment horizontal="center" vertical="center"/>
    </xf>
    <xf numFmtId="0" fontId="51" fillId="0" borderId="0" xfId="0" applyFont="1" applyBorder="1" applyAlignment="1">
      <alignment horizontal="center"/>
    </xf>
    <xf numFmtId="0" fontId="51" fillId="0" borderId="0" xfId="0" applyFont="1" applyBorder="1" applyAlignment="1" applyProtection="1">
      <alignment horizontal="center"/>
    </xf>
    <xf numFmtId="0" fontId="18" fillId="0" borderId="24" xfId="0" applyFont="1" applyBorder="1" applyAlignment="1" applyProtection="1">
      <alignment horizontal="center" vertical="center"/>
    </xf>
    <xf numFmtId="0" fontId="60" fillId="0" borderId="0" xfId="0" applyFont="1" applyAlignment="1" applyProtection="1">
      <alignment horizontal="center"/>
    </xf>
    <xf numFmtId="0" fontId="60" fillId="0" borderId="0" xfId="0" applyFont="1" applyAlignment="1">
      <alignment horizontal="center" wrapText="1"/>
    </xf>
    <xf numFmtId="0" fontId="18" fillId="0" borderId="18" xfId="0" applyFont="1" applyBorder="1" applyAlignment="1" applyProtection="1">
      <alignment horizontal="center" vertical="center" wrapText="1"/>
    </xf>
    <xf numFmtId="0" fontId="18" fillId="0" borderId="12" xfId="0" applyFont="1" applyBorder="1" applyAlignment="1" applyProtection="1">
      <alignment horizontal="center" vertical="center" wrapText="1"/>
    </xf>
    <xf numFmtId="0" fontId="66" fillId="0" borderId="22" xfId="0" applyFont="1" applyBorder="1" applyAlignment="1">
      <alignment horizontal="right" vertical="center"/>
    </xf>
    <xf numFmtId="0" fontId="59" fillId="0" borderId="20" xfId="0" applyFont="1" applyBorder="1" applyAlignment="1">
      <alignment horizontal="left" vertical="center" wrapText="1"/>
    </xf>
    <xf numFmtId="0" fontId="0" fillId="0" borderId="21" xfId="0" applyBorder="1" applyAlignment="1">
      <alignment horizontal="left" vertical="center" wrapText="1"/>
    </xf>
    <xf numFmtId="0" fontId="59" fillId="0" borderId="19" xfId="0" applyFont="1" applyBorder="1" applyAlignment="1">
      <alignment horizontal="left" vertical="center" wrapText="1"/>
    </xf>
    <xf numFmtId="0" fontId="0" fillId="0" borderId="16" xfId="0" applyBorder="1" applyAlignment="1">
      <alignment horizontal="left" vertical="center" wrapText="1"/>
    </xf>
    <xf numFmtId="0" fontId="59" fillId="0" borderId="14" xfId="0" applyFont="1" applyBorder="1" applyAlignment="1">
      <alignment horizontal="left" vertical="center" wrapText="1"/>
    </xf>
    <xf numFmtId="0" fontId="0" fillId="0" borderId="15" xfId="0" applyBorder="1" applyAlignment="1">
      <alignment horizontal="left" vertical="center" wrapText="1"/>
    </xf>
    <xf numFmtId="0" fontId="21" fillId="0" borderId="14" xfId="0" applyFont="1" applyBorder="1" applyAlignment="1">
      <alignment horizontal="center" vertical="center"/>
    </xf>
    <xf numFmtId="0" fontId="21" fillId="0" borderId="10" xfId="0" applyFont="1" applyBorder="1" applyAlignment="1">
      <alignment horizontal="center" vertical="center"/>
    </xf>
    <xf numFmtId="0" fontId="21" fillId="0" borderId="15" xfId="0" applyFont="1" applyBorder="1" applyAlignment="1">
      <alignment horizontal="center" vertical="center"/>
    </xf>
    <xf numFmtId="0" fontId="57" fillId="0" borderId="10" xfId="0" applyFont="1" applyBorder="1" applyAlignment="1">
      <alignment horizontal="center" wrapText="1"/>
    </xf>
    <xf numFmtId="0" fontId="62" fillId="0" borderId="22" xfId="0" applyFont="1" applyBorder="1" applyAlignment="1">
      <alignment vertical="top" wrapText="1"/>
    </xf>
    <xf numFmtId="0" fontId="62" fillId="0" borderId="0" xfId="0" applyFont="1" applyAlignment="1">
      <alignment vertical="top" wrapText="1"/>
    </xf>
    <xf numFmtId="164" fontId="0" fillId="0" borderId="19" xfId="0" applyNumberFormat="1" applyBorder="1" applyAlignment="1">
      <alignment horizontal="center" vertical="center"/>
    </xf>
    <xf numFmtId="164" fontId="0" fillId="0" borderId="16" xfId="0" applyNumberFormat="1" applyBorder="1" applyAlignment="1">
      <alignment horizontal="center" vertical="center"/>
    </xf>
    <xf numFmtId="0" fontId="55" fillId="0" borderId="24" xfId="0" quotePrefix="1" applyFont="1" applyBorder="1" applyAlignment="1">
      <alignment horizontal="center" vertical="center"/>
    </xf>
    <xf numFmtId="0" fontId="55" fillId="0" borderId="17" xfId="0" quotePrefix="1" applyFont="1" applyBorder="1" applyAlignment="1">
      <alignment horizontal="center" vertical="center"/>
    </xf>
    <xf numFmtId="164" fontId="3" fillId="0" borderId="0" xfId="0" applyNumberFormat="1" applyFont="1" applyBorder="1" applyAlignment="1" applyProtection="1">
      <alignment horizontal="center" vertical="center"/>
      <protection locked="0"/>
    </xf>
    <xf numFmtId="164" fontId="3" fillId="0" borderId="16" xfId="0" applyNumberFormat="1" applyFont="1" applyBorder="1" applyAlignment="1" applyProtection="1">
      <alignment horizontal="center" vertical="center"/>
      <protection locked="0"/>
    </xf>
    <xf numFmtId="164" fontId="3" fillId="0" borderId="10" xfId="0" applyNumberFormat="1" applyFont="1" applyBorder="1" applyAlignment="1" applyProtection="1">
      <alignment horizontal="center" vertical="center"/>
      <protection locked="0"/>
    </xf>
    <xf numFmtId="164" fontId="3" fillId="0" borderId="15" xfId="0" applyNumberFormat="1" applyFont="1" applyBorder="1" applyAlignment="1" applyProtection="1">
      <alignment horizontal="center" vertical="center"/>
      <protection locked="0"/>
    </xf>
    <xf numFmtId="164" fontId="3" fillId="0" borderId="19" xfId="0" applyNumberFormat="1" applyFont="1" applyBorder="1" applyAlignment="1" applyProtection="1">
      <alignment horizontal="center" vertical="center"/>
      <protection locked="0"/>
    </xf>
    <xf numFmtId="164" fontId="0" fillId="0" borderId="14" xfId="0" applyNumberFormat="1" applyBorder="1" applyAlignment="1">
      <alignment horizontal="center" vertical="center"/>
    </xf>
    <xf numFmtId="164" fontId="0" fillId="0" borderId="15" xfId="0" applyNumberFormat="1" applyBorder="1" applyAlignment="1">
      <alignment horizontal="center" vertical="center"/>
    </xf>
    <xf numFmtId="164" fontId="3" fillId="0" borderId="19" xfId="0" applyNumberFormat="1" applyFont="1" applyBorder="1" applyAlignment="1">
      <alignment horizontal="center" vertical="center"/>
    </xf>
    <xf numFmtId="164" fontId="3" fillId="0" borderId="16" xfId="0" applyNumberFormat="1" applyFont="1" applyBorder="1" applyAlignment="1">
      <alignment horizontal="center" vertical="center"/>
    </xf>
    <xf numFmtId="164" fontId="16" fillId="0" borderId="20" xfId="0" applyNumberFormat="1" applyFont="1" applyBorder="1" applyAlignment="1">
      <alignment horizontal="center" vertical="center"/>
    </xf>
    <xf numFmtId="164" fontId="16" fillId="0" borderId="21" xfId="0" applyNumberFormat="1" applyFont="1" applyBorder="1" applyAlignment="1">
      <alignment horizontal="center" vertical="center"/>
    </xf>
    <xf numFmtId="0" fontId="0" fillId="0" borderId="19" xfId="0" applyBorder="1" applyAlignment="1">
      <alignment horizontal="center"/>
    </xf>
    <xf numFmtId="0" fontId="0" fillId="0" borderId="16" xfId="0" applyBorder="1" applyAlignment="1">
      <alignment horizontal="center"/>
    </xf>
    <xf numFmtId="0" fontId="62" fillId="0" borderId="0" xfId="0" applyFont="1" applyAlignment="1">
      <alignment horizontal="left" vertical="center" wrapText="1"/>
    </xf>
    <xf numFmtId="0" fontId="62" fillId="0" borderId="0" xfId="0" applyFont="1" applyAlignment="1">
      <alignment vertical="center" wrapText="1"/>
    </xf>
    <xf numFmtId="0" fontId="8" fillId="0" borderId="0" xfId="0" applyFont="1" applyAlignment="1">
      <alignment horizontal="left" vertical="center"/>
    </xf>
    <xf numFmtId="0" fontId="18" fillId="0" borderId="20" xfId="0" applyFont="1" applyBorder="1" applyAlignment="1">
      <alignment horizontal="center" vertical="center" wrapText="1"/>
    </xf>
    <xf numFmtId="0" fontId="18" fillId="0" borderId="21" xfId="0" applyFont="1" applyBorder="1" applyAlignment="1">
      <alignment horizontal="center" vertical="center" wrapText="1"/>
    </xf>
    <xf numFmtId="0" fontId="18" fillId="0" borderId="10" xfId="0" applyFont="1" applyBorder="1" applyAlignment="1">
      <alignment horizontal="left" vertical="center"/>
    </xf>
    <xf numFmtId="2" fontId="18" fillId="0" borderId="19" xfId="0" applyNumberFormat="1" applyFont="1" applyBorder="1" applyAlignment="1">
      <alignment horizontal="center" vertical="center"/>
    </xf>
    <xf numFmtId="2" fontId="18" fillId="0" borderId="16" xfId="0" applyNumberFormat="1" applyFont="1" applyBorder="1" applyAlignment="1">
      <alignment horizontal="center" vertical="center"/>
    </xf>
    <xf numFmtId="2" fontId="0" fillId="0" borderId="20" xfId="0" applyNumberFormat="1" applyBorder="1" applyAlignment="1">
      <alignment horizontal="center" vertical="center"/>
    </xf>
    <xf numFmtId="2" fontId="0" fillId="0" borderId="21" xfId="0" applyNumberFormat="1" applyBorder="1" applyAlignment="1">
      <alignment horizontal="center" vertical="center"/>
    </xf>
    <xf numFmtId="2" fontId="0" fillId="0" borderId="19" xfId="0" applyNumberFormat="1" applyBorder="1" applyAlignment="1">
      <alignment horizontal="center" vertical="center"/>
    </xf>
    <xf numFmtId="2" fontId="0" fillId="0" borderId="16" xfId="0" applyNumberFormat="1" applyBorder="1" applyAlignment="1">
      <alignment horizontal="center" vertical="center"/>
    </xf>
    <xf numFmtId="2" fontId="0" fillId="0" borderId="14" xfId="0" applyNumberFormat="1" applyBorder="1" applyAlignment="1">
      <alignment horizontal="center" vertical="center"/>
    </xf>
    <xf numFmtId="2" fontId="0" fillId="0" borderId="15" xfId="0" applyNumberFormat="1" applyBorder="1" applyAlignment="1">
      <alignment horizontal="center" vertical="center"/>
    </xf>
    <xf numFmtId="2" fontId="18" fillId="0" borderId="20" xfId="0" applyNumberFormat="1" applyFont="1" applyBorder="1" applyAlignment="1">
      <alignment horizontal="center" vertical="center"/>
    </xf>
    <xf numFmtId="2" fontId="18" fillId="0" borderId="21" xfId="0" applyNumberFormat="1" applyFont="1" applyBorder="1" applyAlignment="1">
      <alignment horizontal="center" vertical="center"/>
    </xf>
    <xf numFmtId="2" fontId="18" fillId="0" borderId="14" xfId="0" applyNumberFormat="1" applyFont="1" applyBorder="1" applyAlignment="1">
      <alignment horizontal="center" vertical="center"/>
    </xf>
    <xf numFmtId="2" fontId="18" fillId="0" borderId="15" xfId="0" applyNumberFormat="1" applyFont="1" applyBorder="1" applyAlignment="1">
      <alignment horizontal="center" vertical="center"/>
    </xf>
    <xf numFmtId="0" fontId="18" fillId="0" borderId="10" xfId="0" applyFont="1" applyBorder="1" applyAlignment="1">
      <alignment horizontal="right" vertical="center" wrapText="1"/>
    </xf>
    <xf numFmtId="0" fontId="28" fillId="0" borderId="24" xfId="0" applyFont="1" applyBorder="1" applyAlignment="1">
      <alignment horizontal="center" vertical="center"/>
    </xf>
    <xf numFmtId="0" fontId="28" fillId="0" borderId="23" xfId="0" applyFont="1" applyBorder="1" applyAlignment="1">
      <alignment horizontal="center" vertical="center"/>
    </xf>
    <xf numFmtId="0" fontId="28" fillId="0" borderId="17" xfId="0" applyFont="1" applyBorder="1" applyAlignment="1">
      <alignment horizontal="center" vertical="center"/>
    </xf>
    <xf numFmtId="0" fontId="28" fillId="0" borderId="24" xfId="0" quotePrefix="1" applyFont="1" applyBorder="1" applyAlignment="1">
      <alignment horizontal="center" vertical="center"/>
    </xf>
    <xf numFmtId="0" fontId="28" fillId="0" borderId="23" xfId="0" quotePrefix="1" applyFont="1" applyBorder="1" applyAlignment="1">
      <alignment horizontal="center" vertical="center"/>
    </xf>
    <xf numFmtId="0" fontId="28" fillId="0" borderId="17" xfId="0" quotePrefix="1" applyFont="1" applyBorder="1" applyAlignment="1">
      <alignment horizontal="center" vertical="center"/>
    </xf>
    <xf numFmtId="2" fontId="0" fillId="0" borderId="14" xfId="0" applyNumberFormat="1" applyBorder="1" applyAlignment="1" applyProtection="1">
      <alignment horizontal="center" vertical="center"/>
      <protection locked="0"/>
    </xf>
    <xf numFmtId="2" fontId="0" fillId="0" borderId="15" xfId="0" applyNumberFormat="1" applyBorder="1" applyAlignment="1" applyProtection="1">
      <alignment horizontal="center" vertical="center"/>
      <protection locked="0"/>
    </xf>
    <xf numFmtId="0" fontId="16" fillId="0" borderId="24" xfId="0" applyFont="1" applyFill="1" applyBorder="1" applyAlignment="1">
      <alignment horizontal="center" vertical="center"/>
    </xf>
    <xf numFmtId="0" fontId="16" fillId="0" borderId="23" xfId="0" applyFont="1" applyFill="1" applyBorder="1" applyAlignment="1">
      <alignment horizontal="center" vertical="center"/>
    </xf>
    <xf numFmtId="0" fontId="16" fillId="0" borderId="17" xfId="0" applyFont="1" applyFill="1" applyBorder="1" applyAlignment="1">
      <alignment horizontal="center" vertical="center"/>
    </xf>
    <xf numFmtId="2" fontId="0" fillId="0" borderId="20" xfId="0" applyNumberFormat="1" applyBorder="1" applyAlignment="1" applyProtection="1">
      <alignment horizontal="center" vertical="center"/>
      <protection locked="0"/>
    </xf>
    <xf numFmtId="2" fontId="0" fillId="0" borderId="21" xfId="0" applyNumberFormat="1" applyBorder="1" applyAlignment="1" applyProtection="1">
      <alignment horizontal="center" vertical="center"/>
      <protection locked="0"/>
    </xf>
    <xf numFmtId="2" fontId="0" fillId="0" borderId="19" xfId="0" applyNumberFormat="1" applyBorder="1" applyAlignment="1" applyProtection="1">
      <alignment horizontal="center" vertical="center"/>
      <protection locked="0"/>
    </xf>
    <xf numFmtId="2" fontId="0" fillId="0" borderId="16" xfId="0" applyNumberFormat="1" applyBorder="1" applyAlignment="1" applyProtection="1">
      <alignment horizontal="center" vertical="center"/>
      <protection locked="0"/>
    </xf>
    <xf numFmtId="2" fontId="0" fillId="0" borderId="0" xfId="0" applyNumberFormat="1" applyBorder="1" applyAlignment="1">
      <alignment horizontal="center" vertical="center"/>
    </xf>
    <xf numFmtId="0" fontId="59" fillId="0" borderId="22" xfId="0" applyFont="1" applyBorder="1" applyAlignment="1">
      <alignment horizontal="center" vertical="center"/>
    </xf>
    <xf numFmtId="0" fontId="57" fillId="0" borderId="0" xfId="0" applyFont="1" applyBorder="1" applyAlignment="1">
      <alignment horizontal="center"/>
    </xf>
    <xf numFmtId="0" fontId="18" fillId="0" borderId="22" xfId="0" applyFont="1" applyBorder="1" applyAlignment="1">
      <alignment horizontal="center" vertical="center" wrapText="1"/>
    </xf>
    <xf numFmtId="0" fontId="18" fillId="0" borderId="10" xfId="0" applyFont="1" applyBorder="1" applyAlignment="1">
      <alignment horizontal="center" vertical="center" wrapText="1"/>
    </xf>
    <xf numFmtId="0" fontId="18" fillId="0" borderId="14" xfId="0" applyFont="1" applyBorder="1" applyAlignment="1">
      <alignment horizontal="center" vertical="center" wrapText="1"/>
    </xf>
    <xf numFmtId="0" fontId="59" fillId="0" borderId="20" xfId="0" applyFont="1" applyBorder="1" applyAlignment="1" applyProtection="1">
      <alignment horizontal="center" vertical="center"/>
      <protection locked="0"/>
    </xf>
    <xf numFmtId="0" fontId="59" fillId="0" borderId="22" xfId="0" applyFont="1" applyBorder="1" applyAlignment="1" applyProtection="1">
      <alignment horizontal="center" vertical="center"/>
      <protection locked="0"/>
    </xf>
    <xf numFmtId="0" fontId="59" fillId="0" borderId="21" xfId="0" applyFont="1" applyBorder="1" applyAlignment="1" applyProtection="1">
      <alignment horizontal="center" vertical="center"/>
      <protection locked="0"/>
    </xf>
    <xf numFmtId="0" fontId="59" fillId="0" borderId="19" xfId="0" applyFont="1" applyBorder="1" applyAlignment="1" applyProtection="1">
      <alignment horizontal="center" vertical="center"/>
      <protection locked="0"/>
    </xf>
    <xf numFmtId="0" fontId="59" fillId="0" borderId="0" xfId="0" applyFont="1" applyBorder="1" applyAlignment="1" applyProtection="1">
      <alignment horizontal="center" vertical="center"/>
      <protection locked="0"/>
    </xf>
    <xf numFmtId="0" fontId="59" fillId="0" borderId="16" xfId="0" applyFont="1" applyBorder="1" applyAlignment="1" applyProtection="1">
      <alignment horizontal="center" vertical="center"/>
      <protection locked="0"/>
    </xf>
    <xf numFmtId="0" fontId="59" fillId="0" borderId="14" xfId="0" applyFont="1" applyBorder="1" applyAlignment="1" applyProtection="1">
      <alignment horizontal="center" vertical="center"/>
      <protection locked="0"/>
    </xf>
    <xf numFmtId="0" fontId="59" fillId="0" borderId="10" xfId="0" applyFont="1" applyBorder="1" applyAlignment="1" applyProtection="1">
      <alignment horizontal="center" vertical="center"/>
      <protection locked="0"/>
    </xf>
    <xf numFmtId="0" fontId="59" fillId="0" borderId="15" xfId="0" applyFont="1" applyBorder="1" applyAlignment="1" applyProtection="1">
      <alignment horizontal="center" vertical="center"/>
      <protection locked="0"/>
    </xf>
    <xf numFmtId="0" fontId="57" fillId="0" borderId="10" xfId="0" applyFont="1" applyBorder="1" applyAlignment="1">
      <alignment horizontal="center" vertical="center"/>
    </xf>
    <xf numFmtId="0" fontId="3" fillId="0" borderId="19" xfId="0" quotePrefix="1" applyFont="1" applyBorder="1" applyAlignment="1">
      <alignment horizontal="center" vertical="center"/>
    </xf>
    <xf numFmtId="0" fontId="3" fillId="0" borderId="0" xfId="0" quotePrefix="1" applyFont="1" applyBorder="1" applyAlignment="1">
      <alignment horizontal="center" vertical="center"/>
    </xf>
    <xf numFmtId="0" fontId="3" fillId="0" borderId="16" xfId="0" quotePrefix="1" applyFont="1" applyBorder="1" applyAlignment="1">
      <alignment horizontal="center" vertical="center"/>
    </xf>
    <xf numFmtId="0" fontId="62" fillId="0" borderId="22" xfId="0" applyFont="1" applyBorder="1" applyAlignment="1">
      <alignment vertical="center" wrapText="1"/>
    </xf>
    <xf numFmtId="0" fontId="62" fillId="0" borderId="0" xfId="0" applyFont="1" applyBorder="1" applyAlignment="1">
      <alignment vertical="center" wrapText="1"/>
    </xf>
    <xf numFmtId="0" fontId="21" fillId="0" borderId="0" xfId="0" applyFont="1" applyBorder="1" applyAlignment="1">
      <alignment horizontal="center" vertical="center" wrapText="1"/>
    </xf>
    <xf numFmtId="0" fontId="57" fillId="0" borderId="0" xfId="0" applyFont="1" applyBorder="1" applyAlignment="1">
      <alignment horizontal="center" vertical="top" wrapText="1"/>
    </xf>
    <xf numFmtId="0" fontId="62" fillId="0" borderId="22" xfId="0" applyFont="1" applyBorder="1" applyAlignment="1">
      <alignment horizontal="right" vertical="center" wrapText="1"/>
    </xf>
    <xf numFmtId="0" fontId="18" fillId="0" borderId="20" xfId="0" quotePrefix="1" applyFont="1" applyBorder="1" applyAlignment="1">
      <alignment horizontal="center" vertical="center"/>
    </xf>
    <xf numFmtId="0" fontId="18" fillId="0" borderId="21" xfId="0" quotePrefix="1" applyFont="1" applyBorder="1" applyAlignment="1">
      <alignment horizontal="center" vertical="center"/>
    </xf>
    <xf numFmtId="0" fontId="18" fillId="0" borderId="24" xfId="0" quotePrefix="1" applyFont="1" applyFill="1" applyBorder="1" applyAlignment="1">
      <alignment horizontal="center" vertical="center"/>
    </xf>
    <xf numFmtId="0" fontId="18" fillId="0" borderId="23" xfId="0" quotePrefix="1" applyFont="1" applyFill="1" applyBorder="1" applyAlignment="1">
      <alignment horizontal="center" vertical="center"/>
    </xf>
    <xf numFmtId="0" fontId="16" fillId="0" borderId="24" xfId="0" applyFont="1" applyBorder="1" applyAlignment="1">
      <alignment horizontal="center" vertical="center"/>
    </xf>
    <xf numFmtId="0" fontId="16" fillId="0" borderId="17" xfId="0" applyFont="1" applyBorder="1" applyAlignment="1">
      <alignment horizontal="center" vertical="center"/>
    </xf>
    <xf numFmtId="0" fontId="0" fillId="0" borderId="24" xfId="0" applyBorder="1" applyAlignment="1">
      <alignment horizontal="center" vertical="center"/>
    </xf>
    <xf numFmtId="0" fontId="0" fillId="0" borderId="17" xfId="0" applyBorder="1" applyAlignment="1">
      <alignment horizontal="center" vertical="center"/>
    </xf>
    <xf numFmtId="0" fontId="18" fillId="0" borderId="15" xfId="0" applyFont="1" applyBorder="1" applyAlignment="1">
      <alignment horizontal="center" vertical="center" wrapText="1"/>
    </xf>
    <xf numFmtId="0" fontId="62" fillId="0" borderId="22" xfId="0" applyFont="1" applyBorder="1" applyAlignment="1">
      <alignment horizontal="left" vertical="justify" wrapText="1"/>
    </xf>
    <xf numFmtId="0" fontId="21" fillId="0" borderId="19" xfId="0" applyFont="1" applyBorder="1" applyAlignment="1">
      <alignment horizontal="center" vertical="center"/>
    </xf>
    <xf numFmtId="0" fontId="21" fillId="0" borderId="16" xfId="0" applyFont="1" applyBorder="1" applyAlignment="1">
      <alignment horizontal="center" vertical="center"/>
    </xf>
    <xf numFmtId="0" fontId="21" fillId="0" borderId="20" xfId="0" applyFont="1" applyBorder="1" applyAlignment="1">
      <alignment horizontal="center" vertical="center" wrapText="1"/>
    </xf>
    <xf numFmtId="0" fontId="21" fillId="0" borderId="22" xfId="0" applyFont="1" applyBorder="1" applyAlignment="1">
      <alignment horizontal="center" vertical="center" wrapText="1"/>
    </xf>
    <xf numFmtId="0" fontId="21" fillId="0" borderId="21" xfId="0" applyFont="1" applyBorder="1" applyAlignment="1">
      <alignment horizontal="center" vertical="center" wrapText="1"/>
    </xf>
    <xf numFmtId="0" fontId="59" fillId="0" borderId="19" xfId="0" applyFont="1" applyBorder="1" applyAlignment="1">
      <alignment horizontal="center" vertical="center" wrapText="1"/>
    </xf>
    <xf numFmtId="0" fontId="59" fillId="0" borderId="0" xfId="0" applyFont="1" applyBorder="1" applyAlignment="1">
      <alignment horizontal="center" vertical="center" wrapText="1"/>
    </xf>
    <xf numFmtId="0" fontId="59" fillId="0" borderId="16" xfId="0" applyFont="1" applyBorder="1" applyAlignment="1">
      <alignment horizontal="center" vertical="center" wrapText="1"/>
    </xf>
    <xf numFmtId="0" fontId="16" fillId="0" borderId="19" xfId="0" applyFont="1" applyBorder="1" applyAlignment="1">
      <alignment horizontal="center" vertical="center" wrapText="1"/>
    </xf>
    <xf numFmtId="0" fontId="16" fillId="0" borderId="0" xfId="0" applyFont="1" applyBorder="1" applyAlignment="1">
      <alignment horizontal="center" vertical="center" wrapText="1"/>
    </xf>
    <xf numFmtId="0" fontId="16" fillId="0" borderId="16" xfId="0" applyFont="1" applyBorder="1" applyAlignment="1">
      <alignment horizontal="center" vertical="center" wrapText="1"/>
    </xf>
    <xf numFmtId="0" fontId="16" fillId="0" borderId="14" xfId="0" applyFont="1" applyBorder="1" applyAlignment="1">
      <alignment horizontal="center" vertical="center" wrapText="1"/>
    </xf>
    <xf numFmtId="0" fontId="16" fillId="0" borderId="10" xfId="0" applyFont="1" applyBorder="1" applyAlignment="1">
      <alignment horizontal="center" vertical="center" wrapText="1"/>
    </xf>
    <xf numFmtId="0" fontId="16" fillId="0" borderId="15" xfId="0" applyFont="1" applyBorder="1" applyAlignment="1">
      <alignment horizontal="center" vertical="center" wrapText="1"/>
    </xf>
    <xf numFmtId="0" fontId="21" fillId="0" borderId="20" xfId="0" applyFont="1" applyBorder="1" applyAlignment="1">
      <alignment horizontal="center" vertical="center"/>
    </xf>
    <xf numFmtId="0" fontId="21" fillId="0" borderId="22" xfId="0" applyFont="1" applyBorder="1" applyAlignment="1">
      <alignment horizontal="center" vertical="center"/>
    </xf>
    <xf numFmtId="0" fontId="21" fillId="0" borderId="21" xfId="0" applyFont="1" applyBorder="1" applyAlignment="1">
      <alignment horizontal="center" vertical="center"/>
    </xf>
    <xf numFmtId="0" fontId="62" fillId="0" borderId="0" xfId="0" applyFont="1" applyAlignment="1">
      <alignment horizontal="left" wrapText="1"/>
    </xf>
    <xf numFmtId="0" fontId="59" fillId="0" borderId="18" xfId="0" applyFont="1" applyBorder="1" applyAlignment="1" applyProtection="1">
      <alignment vertical="center" wrapText="1"/>
      <protection locked="0"/>
    </xf>
    <xf numFmtId="0" fontId="59" fillId="0" borderId="13" xfId="0" applyFont="1" applyBorder="1" applyAlignment="1">
      <alignment vertical="center"/>
    </xf>
    <xf numFmtId="0" fontId="59" fillId="0" borderId="18" xfId="0" applyFont="1" applyBorder="1" applyAlignment="1" applyProtection="1">
      <alignment vertical="center"/>
      <protection locked="0"/>
    </xf>
    <xf numFmtId="0" fontId="59" fillId="0" borderId="13" xfId="0" applyFont="1" applyBorder="1" applyAlignment="1" applyProtection="1">
      <alignment vertical="center"/>
      <protection locked="0"/>
    </xf>
    <xf numFmtId="0" fontId="59" fillId="0" borderId="18" xfId="0" applyFont="1" applyBorder="1" applyAlignment="1" applyProtection="1">
      <alignment horizontal="left" vertical="center" wrapText="1"/>
      <protection locked="0"/>
    </xf>
    <xf numFmtId="0" fontId="30" fillId="0" borderId="18" xfId="0" applyFont="1" applyBorder="1" applyAlignment="1">
      <alignment horizontal="center" vertical="center" wrapText="1"/>
    </xf>
    <xf numFmtId="0" fontId="30" fillId="0" borderId="13" xfId="0" applyFont="1" applyBorder="1" applyAlignment="1">
      <alignment horizontal="center" vertical="center" wrapText="1"/>
    </xf>
    <xf numFmtId="0" fontId="59" fillId="0" borderId="12" xfId="0" applyFont="1" applyBorder="1" applyAlignment="1" applyProtection="1">
      <alignment vertical="center"/>
      <protection locked="0"/>
    </xf>
    <xf numFmtId="0" fontId="59" fillId="0" borderId="12" xfId="0" applyFont="1" applyBorder="1" applyAlignment="1">
      <alignment horizontal="center" vertical="center"/>
    </xf>
    <xf numFmtId="0" fontId="59" fillId="0" borderId="13" xfId="0" applyFont="1" applyBorder="1" applyAlignment="1">
      <alignment horizontal="center" vertical="center"/>
    </xf>
    <xf numFmtId="0" fontId="62" fillId="0" borderId="22" xfId="0" applyFont="1" applyFill="1" applyBorder="1" applyAlignment="1">
      <alignment horizontal="left" vertical="center"/>
    </xf>
    <xf numFmtId="0" fontId="62" fillId="0" borderId="0" xfId="0" applyFont="1" applyFill="1" applyBorder="1" applyAlignment="1">
      <alignment horizontal="left" vertical="center"/>
    </xf>
    <xf numFmtId="0" fontId="110" fillId="0" borderId="24" xfId="0" applyFont="1" applyBorder="1" applyAlignment="1">
      <alignment horizontal="center" vertical="center"/>
    </xf>
    <xf numFmtId="0" fontId="110" fillId="0" borderId="23" xfId="0" applyFont="1" applyBorder="1" applyAlignment="1">
      <alignment horizontal="center" vertical="center"/>
    </xf>
    <xf numFmtId="0" fontId="110" fillId="0" borderId="17" xfId="0" applyFont="1" applyBorder="1" applyAlignment="1">
      <alignment horizontal="center" vertical="center"/>
    </xf>
    <xf numFmtId="0" fontId="17" fillId="0" borderId="0" xfId="0" applyFont="1" applyAlignment="1">
      <alignment horizontal="center"/>
    </xf>
    <xf numFmtId="0" fontId="17" fillId="0" borderId="10" xfId="0" applyFont="1" applyBorder="1" applyAlignment="1">
      <alignment horizontal="center" vertical="center"/>
    </xf>
    <xf numFmtId="0" fontId="17" fillId="0" borderId="0" xfId="0" applyFont="1" applyBorder="1" applyAlignment="1">
      <alignment horizontal="center" vertical="center"/>
    </xf>
    <xf numFmtId="0" fontId="110" fillId="0" borderId="18" xfId="0" applyFont="1" applyBorder="1" applyAlignment="1">
      <alignment horizontal="center" vertical="center"/>
    </xf>
    <xf numFmtId="0" fontId="110" fillId="0" borderId="13" xfId="0" applyFont="1" applyBorder="1" applyAlignment="1">
      <alignment horizontal="center" vertical="center"/>
    </xf>
    <xf numFmtId="0" fontId="110" fillId="0" borderId="14" xfId="0" applyFont="1" applyBorder="1" applyAlignment="1">
      <alignment horizontal="center" vertical="center"/>
    </xf>
    <xf numFmtId="0" fontId="110" fillId="0" borderId="18" xfId="0" applyFont="1" applyBorder="1" applyAlignment="1">
      <alignment horizontal="center" vertical="center" wrapText="1"/>
    </xf>
    <xf numFmtId="0" fontId="110" fillId="0" borderId="13" xfId="0" applyFont="1" applyBorder="1" applyAlignment="1">
      <alignment vertical="center"/>
    </xf>
    <xf numFmtId="0" fontId="3" fillId="0" borderId="13" xfId="0" applyFont="1" applyBorder="1" applyAlignment="1">
      <alignment vertical="center"/>
    </xf>
    <xf numFmtId="0" fontId="62" fillId="0" borderId="22" xfId="0" applyFont="1" applyBorder="1" applyAlignment="1">
      <alignment horizontal="left"/>
    </xf>
    <xf numFmtId="0" fontId="18" fillId="0" borderId="22" xfId="0" applyFont="1" applyBorder="1" applyAlignment="1">
      <alignment horizontal="center" vertical="top" wrapText="1"/>
    </xf>
    <xf numFmtId="0" fontId="18" fillId="0" borderId="21" xfId="0" applyFont="1" applyBorder="1" applyAlignment="1">
      <alignment horizontal="center" vertical="top" wrapText="1"/>
    </xf>
    <xf numFmtId="0" fontId="56" fillId="0" borderId="0" xfId="0" applyFont="1" applyAlignment="1">
      <alignment horizontal="center" vertical="center" wrapText="1"/>
    </xf>
  </cellXfs>
  <cellStyles count="44">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43" builtinId="3"/>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Hyperlink" xfId="34" builtinId="8"/>
    <cellStyle name="Input" xfId="35" builtinId="20" customBuiltin="1"/>
    <cellStyle name="Linked Cell" xfId="36" builtinId="24" customBuiltin="1"/>
    <cellStyle name="Neutral" xfId="37" builtinId="28" customBuiltin="1"/>
    <cellStyle name="Normal" xfId="0" builtinId="0"/>
    <cellStyle name="Note" xfId="38" builtinId="10" customBuiltin="1"/>
    <cellStyle name="Output" xfId="39" builtinId="21" customBuiltin="1"/>
    <cellStyle name="Title" xfId="40" builtinId="15" customBuiltin="1"/>
    <cellStyle name="Total" xfId="41" builtinId="25" customBuiltin="1"/>
    <cellStyle name="Warning Text" xfId="42" builtinId="11" customBuiltin="1"/>
  </cellStyles>
  <dxfs count="14">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s>
  <tableStyles count="0" defaultTableStyle="TableStyleMedium9" defaultPivotStyle="PivotStyleLight16"/>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worksheet" Target="worksheets/sheet68.xml"/><Relationship Id="rId76" Type="http://schemas.openxmlformats.org/officeDocument/2006/relationships/worksheet" Target="worksheets/sheet76.xml"/><Relationship Id="rId84" Type="http://schemas.openxmlformats.org/officeDocument/2006/relationships/worksheet" Target="worksheets/sheet84.xml"/><Relationship Id="rId89" Type="http://schemas.openxmlformats.org/officeDocument/2006/relationships/externalLink" Target="externalLinks/externalLink2.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worksheet" Target="worksheets/sheet74.xml"/><Relationship Id="rId79" Type="http://schemas.openxmlformats.org/officeDocument/2006/relationships/worksheet" Target="worksheets/sheet79.xml"/><Relationship Id="rId87" Type="http://schemas.openxmlformats.org/officeDocument/2006/relationships/worksheet" Target="worksheets/sheet87.xml"/><Relationship Id="rId5" Type="http://schemas.openxmlformats.org/officeDocument/2006/relationships/worksheet" Target="worksheets/sheet5.xml"/><Relationship Id="rId61" Type="http://schemas.openxmlformats.org/officeDocument/2006/relationships/worksheet" Target="worksheets/sheet61.xml"/><Relationship Id="rId82" Type="http://schemas.openxmlformats.org/officeDocument/2006/relationships/worksheet" Target="worksheets/sheet82.xml"/><Relationship Id="rId90" Type="http://schemas.openxmlformats.org/officeDocument/2006/relationships/externalLink" Target="externalLinks/externalLink3.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worksheet" Target="worksheets/sheet80.xml"/><Relationship Id="rId85" Type="http://schemas.openxmlformats.org/officeDocument/2006/relationships/worksheet" Target="worksheets/sheet85.xml"/><Relationship Id="rId93" Type="http://schemas.openxmlformats.org/officeDocument/2006/relationships/sharedStrings" Target="sharedString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externalLink" Target="externalLinks/externalLink1.xml"/><Relationship Id="rId91"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94"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3.w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xdr:from>
      <xdr:col>2</xdr:col>
      <xdr:colOff>504825</xdr:colOff>
      <xdr:row>13</xdr:row>
      <xdr:rowOff>38100</xdr:rowOff>
    </xdr:from>
    <xdr:to>
      <xdr:col>8</xdr:col>
      <xdr:colOff>200025</xdr:colOff>
      <xdr:row>16</xdr:row>
      <xdr:rowOff>66675</xdr:rowOff>
    </xdr:to>
    <xdr:sp macro="" textlink="">
      <xdr:nvSpPr>
        <xdr:cNvPr id="2050" name="WordArt 2"/>
        <xdr:cNvSpPr>
          <a:spLocks noChangeArrowheads="1" noChangeShapeType="1" noTextEdit="1"/>
        </xdr:cNvSpPr>
      </xdr:nvSpPr>
      <xdr:spPr bwMode="auto">
        <a:xfrm>
          <a:off x="1724025" y="2143125"/>
          <a:ext cx="3352800" cy="514350"/>
        </a:xfrm>
        <a:prstGeom prst="rect">
          <a:avLst/>
        </a:prstGeom>
      </xdr:spPr>
      <xdr:txBody>
        <a:bodyPr wrap="none" fromWordArt="1">
          <a:prstTxWarp prst="textPlain">
            <a:avLst>
              <a:gd name="adj" fmla="val 50000"/>
            </a:avLst>
          </a:prstTxWarp>
        </a:bodyPr>
        <a:lstStyle/>
        <a:p>
          <a:pPr algn="ctr" rtl="0"/>
          <a:r>
            <a:rPr lang="en-IN" sz="4400" kern="10" spc="0">
              <a:ln w="9525">
                <a:solidFill>
                  <a:srgbClr val="0000FF"/>
                </a:solidFill>
                <a:round/>
                <a:headEnd/>
                <a:tailEnd/>
              </a:ln>
              <a:solidFill>
                <a:srgbClr val="FF6600"/>
              </a:solidFill>
              <a:effectLst>
                <a:outerShdw dist="45791" dir="2021404" algn="ctr" rotWithShape="0">
                  <a:srgbClr val="C0C0C0"/>
                </a:outerShdw>
              </a:effectLst>
              <a:latin typeface="Times New Roman"/>
              <a:cs typeface="Times New Roman"/>
            </a:rPr>
            <a:t>PURULIA</a:t>
          </a:r>
        </a:p>
      </xdr:txBody>
    </xdr:sp>
    <xdr:clientData/>
  </xdr:twoCellAnchor>
  <xdr:twoCellAnchor>
    <xdr:from>
      <xdr:col>0</xdr:col>
      <xdr:colOff>47625</xdr:colOff>
      <xdr:row>7</xdr:row>
      <xdr:rowOff>38100</xdr:rowOff>
    </xdr:from>
    <xdr:to>
      <xdr:col>10</xdr:col>
      <xdr:colOff>561975</xdr:colOff>
      <xdr:row>33</xdr:row>
      <xdr:rowOff>57150</xdr:rowOff>
    </xdr:to>
    <xdr:sp macro="" textlink="">
      <xdr:nvSpPr>
        <xdr:cNvPr id="2053" name="WordArt 5"/>
        <xdr:cNvSpPr>
          <a:spLocks noChangeArrowheads="1" noChangeShapeType="1"/>
        </xdr:cNvSpPr>
      </xdr:nvSpPr>
      <xdr:spPr bwMode="auto">
        <a:xfrm>
          <a:off x="47625" y="1171575"/>
          <a:ext cx="6610350" cy="4229100"/>
        </a:xfrm>
        <a:prstGeom prst="rect">
          <a:avLst/>
        </a:prstGeom>
      </xdr:spPr>
      <xdr:txBody>
        <a:bodyPr wrap="none" fromWordArt="1">
          <a:prstTxWarp prst="textArchUp">
            <a:avLst>
              <a:gd name="adj" fmla="val 12144362"/>
            </a:avLst>
          </a:prstTxWarp>
        </a:bodyPr>
        <a:lstStyle/>
        <a:p>
          <a:pPr algn="ctr" rtl="0"/>
          <a:r>
            <a:rPr lang="en-IN" sz="3600" kern="10" spc="0">
              <a:ln w="9525">
                <a:solidFill>
                  <a:srgbClr val="993366"/>
                </a:solidFill>
                <a:round/>
                <a:headEnd/>
                <a:tailEnd/>
              </a:ln>
              <a:solidFill>
                <a:srgbClr val="993366"/>
              </a:solidFill>
              <a:effectLst/>
              <a:latin typeface="Arial"/>
              <a:cs typeface="Arial"/>
            </a:rPr>
            <a:t>District Statistical Handbook</a:t>
          </a:r>
        </a:p>
      </xdr:txBody>
    </xdr:sp>
    <xdr:clientData/>
  </xdr:twoCellAnchor>
  <xdr:twoCellAnchor editAs="oneCell">
    <xdr:from>
      <xdr:col>0</xdr:col>
      <xdr:colOff>38100</xdr:colOff>
      <xdr:row>22</xdr:row>
      <xdr:rowOff>57150</xdr:rowOff>
    </xdr:from>
    <xdr:to>
      <xdr:col>10</xdr:col>
      <xdr:colOff>542925</xdr:colOff>
      <xdr:row>56</xdr:row>
      <xdr:rowOff>47625</xdr:rowOff>
    </xdr:to>
    <xdr:pic>
      <xdr:nvPicPr>
        <xdr:cNvPr id="2472" name="Picture 7" descr="purulia1"/>
        <xdr:cNvPicPr>
          <a:picLocks noChangeAspect="1" noChangeArrowheads="1"/>
        </xdr:cNvPicPr>
      </xdr:nvPicPr>
      <xdr:blipFill>
        <a:blip xmlns:r="http://schemas.openxmlformats.org/officeDocument/2006/relationships" r:embed="rId1"/>
        <a:srcRect/>
        <a:stretch>
          <a:fillRect/>
        </a:stretch>
      </xdr:blipFill>
      <xdr:spPr bwMode="auto">
        <a:xfrm>
          <a:off x="38100" y="3619500"/>
          <a:ext cx="6600825" cy="5686425"/>
        </a:xfrm>
        <a:prstGeom prst="rect">
          <a:avLst/>
        </a:prstGeom>
        <a:noFill/>
        <a:ln w="9525">
          <a:noFill/>
          <a:miter lim="800000"/>
          <a:headEnd/>
          <a:tailEnd/>
        </a:ln>
      </xdr:spPr>
    </xdr:pic>
    <xdr:clientData/>
  </xdr:twoCellAnchor>
  <xdr:twoCellAnchor>
    <xdr:from>
      <xdr:col>3</xdr:col>
      <xdr:colOff>323850</xdr:colOff>
      <xdr:row>17</xdr:row>
      <xdr:rowOff>142875</xdr:rowOff>
    </xdr:from>
    <xdr:to>
      <xdr:col>7</xdr:col>
      <xdr:colOff>276225</xdr:colOff>
      <xdr:row>20</xdr:row>
      <xdr:rowOff>57150</xdr:rowOff>
    </xdr:to>
    <xdr:sp macro="" textlink="">
      <xdr:nvSpPr>
        <xdr:cNvPr id="2474" name="WordArt 426" descr="White marble"/>
        <xdr:cNvSpPr>
          <a:spLocks noChangeArrowheads="1" noChangeShapeType="1" noTextEdit="1"/>
        </xdr:cNvSpPr>
      </xdr:nvSpPr>
      <xdr:spPr bwMode="auto">
        <a:xfrm>
          <a:off x="2152650" y="2895600"/>
          <a:ext cx="2390775" cy="400050"/>
        </a:xfrm>
        <a:prstGeom prst="rect">
          <a:avLst/>
        </a:prstGeom>
      </xdr:spPr>
      <xdr:txBody>
        <a:bodyPr wrap="none" fromWordArt="1">
          <a:prstTxWarp prst="textPlain">
            <a:avLst>
              <a:gd name="adj" fmla="val 50000"/>
            </a:avLst>
          </a:prstTxWarp>
          <a:scene3d>
            <a:camera prst="legacyObliqueRight"/>
            <a:lightRig rig="legacyHarsh3" dir="t"/>
          </a:scene3d>
          <a:sp3d extrusionH="100000" prstMaterial="legacyMatte">
            <a:extrusionClr>
              <a:srgbClr val="663300"/>
            </a:extrusionClr>
          </a:sp3d>
        </a:bodyPr>
        <a:lstStyle/>
        <a:p>
          <a:pPr algn="ctr" rtl="0"/>
          <a:r>
            <a:rPr lang="en-US" sz="2800" kern="10" spc="0">
              <a:ln w="9525">
                <a:round/>
                <a:headEnd/>
                <a:tailEnd/>
              </a:ln>
              <a:blipFill dpi="0" rotWithShape="0">
                <a:blip xmlns:r="http://schemas.openxmlformats.org/officeDocument/2006/relationships" r:embed="rId2"/>
                <a:srcRect/>
                <a:tile tx="0" ty="0" sx="100000" sy="100000" flip="none" algn="tl"/>
              </a:blipFill>
              <a:effectLst/>
              <a:latin typeface="Garamond"/>
            </a:rPr>
            <a:t>2014</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1047750</xdr:colOff>
      <xdr:row>30</xdr:row>
      <xdr:rowOff>9525</xdr:rowOff>
    </xdr:from>
    <xdr:to>
      <xdr:col>1</xdr:col>
      <xdr:colOff>1095375</xdr:colOff>
      <xdr:row>31</xdr:row>
      <xdr:rowOff>152400</xdr:rowOff>
    </xdr:to>
    <xdr:sp macro="" textlink="">
      <xdr:nvSpPr>
        <xdr:cNvPr id="2" name="AutoShape 2"/>
        <xdr:cNvSpPr>
          <a:spLocks/>
        </xdr:cNvSpPr>
      </xdr:nvSpPr>
      <xdr:spPr bwMode="auto">
        <a:xfrm>
          <a:off x="2028825" y="5743575"/>
          <a:ext cx="47625" cy="314325"/>
        </a:xfrm>
        <a:prstGeom prst="leftBrace">
          <a:avLst>
            <a:gd name="adj1" fmla="val 55000"/>
            <a:gd name="adj2" fmla="val 50000"/>
          </a:avLst>
        </a:prstGeom>
        <a:noFill/>
        <a:ln w="9525">
          <a:solidFill>
            <a:srgbClr val="000000"/>
          </a:solidFill>
          <a:round/>
          <a:headEnd/>
          <a:tailEnd/>
        </a:ln>
      </xdr:spPr>
    </xdr:sp>
    <xdr:clientData/>
  </xdr:twoCellAnchor>
  <xdr:twoCellAnchor>
    <xdr:from>
      <xdr:col>1</xdr:col>
      <xdr:colOff>1057275</xdr:colOff>
      <xdr:row>13</xdr:row>
      <xdr:rowOff>9525</xdr:rowOff>
    </xdr:from>
    <xdr:to>
      <xdr:col>1</xdr:col>
      <xdr:colOff>1104900</xdr:colOff>
      <xdr:row>14</xdr:row>
      <xdr:rowOff>152400</xdr:rowOff>
    </xdr:to>
    <xdr:sp macro="" textlink="">
      <xdr:nvSpPr>
        <xdr:cNvPr id="3" name="AutoShape 11"/>
        <xdr:cNvSpPr>
          <a:spLocks/>
        </xdr:cNvSpPr>
      </xdr:nvSpPr>
      <xdr:spPr bwMode="auto">
        <a:xfrm>
          <a:off x="2038350" y="2352675"/>
          <a:ext cx="47625" cy="314325"/>
        </a:xfrm>
        <a:prstGeom prst="leftBrace">
          <a:avLst>
            <a:gd name="adj1" fmla="val 55000"/>
            <a:gd name="adj2" fmla="val 50000"/>
          </a:avLst>
        </a:prstGeom>
        <a:noFill/>
        <a:ln w="9525">
          <a:solidFill>
            <a:srgbClr val="000000"/>
          </a:solidFill>
          <a:round/>
          <a:headEnd/>
          <a:tailEnd/>
        </a:ln>
      </xdr:spPr>
    </xdr:sp>
    <xdr:clientData/>
  </xdr:twoCellAnchor>
  <xdr:twoCellAnchor>
    <xdr:from>
      <xdr:col>1</xdr:col>
      <xdr:colOff>1257300</xdr:colOff>
      <xdr:row>19</xdr:row>
      <xdr:rowOff>0</xdr:rowOff>
    </xdr:from>
    <xdr:to>
      <xdr:col>1</xdr:col>
      <xdr:colOff>1333500</xdr:colOff>
      <xdr:row>20</xdr:row>
      <xdr:rowOff>0</xdr:rowOff>
    </xdr:to>
    <xdr:sp macro="" textlink="">
      <xdr:nvSpPr>
        <xdr:cNvPr id="5" name="AutoShape 19"/>
        <xdr:cNvSpPr>
          <a:spLocks/>
        </xdr:cNvSpPr>
      </xdr:nvSpPr>
      <xdr:spPr bwMode="auto">
        <a:xfrm>
          <a:off x="2238375" y="3371850"/>
          <a:ext cx="76200" cy="342900"/>
        </a:xfrm>
        <a:prstGeom prst="rightBrace">
          <a:avLst>
            <a:gd name="adj1" fmla="val 37500"/>
            <a:gd name="adj2" fmla="val 50000"/>
          </a:avLst>
        </a:prstGeom>
        <a:noFill/>
        <a:ln w="9525">
          <a:solidFill>
            <a:srgbClr val="000000"/>
          </a:solidFill>
          <a:round/>
          <a:headEnd/>
          <a:tailEnd/>
        </a:ln>
      </xdr:spPr>
      <xdr:txBody>
        <a:bodyPr vertOverflow="clip" wrap="square" lIns="27432" tIns="22860" rIns="0" bIns="0" anchor="t" upright="1"/>
        <a:lstStyle/>
        <a:p>
          <a:pPr algn="l" rtl="0">
            <a:defRPr sz="1000"/>
          </a:pPr>
          <a:endParaRPr lang="en-IN" sz="1000" b="0" i="0" strike="noStrike">
            <a:solidFill>
              <a:srgbClr val="000000"/>
            </a:solidFill>
            <a:latin typeface="Arial"/>
            <a:cs typeface="Arial"/>
          </a:endParaRPr>
        </a:p>
      </xdr:txBody>
    </xdr:sp>
    <xdr:clientData/>
  </xdr:twoCellAnchor>
  <xdr:twoCellAnchor>
    <xdr:from>
      <xdr:col>1</xdr:col>
      <xdr:colOff>1028700</xdr:colOff>
      <xdr:row>29</xdr:row>
      <xdr:rowOff>0</xdr:rowOff>
    </xdr:from>
    <xdr:to>
      <xdr:col>1</xdr:col>
      <xdr:colOff>1104900</xdr:colOff>
      <xdr:row>29</xdr:row>
      <xdr:rowOff>314325</xdr:rowOff>
    </xdr:to>
    <xdr:sp macro="" textlink="">
      <xdr:nvSpPr>
        <xdr:cNvPr id="7" name="AutoShape 22"/>
        <xdr:cNvSpPr>
          <a:spLocks/>
        </xdr:cNvSpPr>
      </xdr:nvSpPr>
      <xdr:spPr bwMode="auto">
        <a:xfrm>
          <a:off x="2009775" y="5410200"/>
          <a:ext cx="76200" cy="314325"/>
        </a:xfrm>
        <a:prstGeom prst="rightBrace">
          <a:avLst>
            <a:gd name="adj1" fmla="val 34375"/>
            <a:gd name="adj2" fmla="val 50000"/>
          </a:avLst>
        </a:prstGeom>
        <a:noFill/>
        <a:ln w="9525">
          <a:solidFill>
            <a:srgbClr val="000000"/>
          </a:solidFill>
          <a:round/>
          <a:headEnd/>
          <a:tailEnd/>
        </a:ln>
      </xdr:spPr>
    </xdr:sp>
    <xdr:clientData/>
  </xdr:twoCellAnchor>
  <xdr:twoCellAnchor>
    <xdr:from>
      <xdr:col>1</xdr:col>
      <xdr:colOff>1114425</xdr:colOff>
      <xdr:row>23</xdr:row>
      <xdr:rowOff>9525</xdr:rowOff>
    </xdr:from>
    <xdr:to>
      <xdr:col>1</xdr:col>
      <xdr:colOff>1190625</xdr:colOff>
      <xdr:row>25</xdr:row>
      <xdr:rowOff>9525</xdr:rowOff>
    </xdr:to>
    <xdr:sp macro="" textlink="">
      <xdr:nvSpPr>
        <xdr:cNvPr id="8" name="AutoShape 23"/>
        <xdr:cNvSpPr>
          <a:spLocks/>
        </xdr:cNvSpPr>
      </xdr:nvSpPr>
      <xdr:spPr bwMode="auto">
        <a:xfrm>
          <a:off x="2095500" y="4391025"/>
          <a:ext cx="76200" cy="342900"/>
        </a:xfrm>
        <a:prstGeom prst="rightBrace">
          <a:avLst>
            <a:gd name="adj1" fmla="val 37500"/>
            <a:gd name="adj2" fmla="val 50000"/>
          </a:avLst>
        </a:prstGeom>
        <a:noFill/>
        <a:ln w="9525">
          <a:solidFill>
            <a:srgbClr val="000000"/>
          </a:solidFill>
          <a:round/>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66675</xdr:colOff>
      <xdr:row>25</xdr:row>
      <xdr:rowOff>76200</xdr:rowOff>
    </xdr:from>
    <xdr:to>
      <xdr:col>3</xdr:col>
      <xdr:colOff>161925</xdr:colOff>
      <xdr:row>26</xdr:row>
      <xdr:rowOff>295275</xdr:rowOff>
    </xdr:to>
    <xdr:sp macro="" textlink="">
      <xdr:nvSpPr>
        <xdr:cNvPr id="11634" name="AutoShape 11"/>
        <xdr:cNvSpPr>
          <a:spLocks/>
        </xdr:cNvSpPr>
      </xdr:nvSpPr>
      <xdr:spPr bwMode="auto">
        <a:xfrm>
          <a:off x="2886075" y="5343525"/>
          <a:ext cx="95250" cy="628650"/>
        </a:xfrm>
        <a:prstGeom prst="rightBrace">
          <a:avLst>
            <a:gd name="adj1" fmla="val 55000"/>
            <a:gd name="adj2" fmla="val 50000"/>
          </a:avLst>
        </a:prstGeom>
        <a:noFill/>
        <a:ln w="9525">
          <a:solidFill>
            <a:srgbClr val="000000"/>
          </a:solidFill>
          <a:round/>
          <a:headEnd/>
          <a:tailEnd/>
        </a:ln>
      </xdr:spPr>
    </xdr:sp>
    <xdr:clientData/>
  </xdr:twoCellAnchor>
  <xdr:twoCellAnchor>
    <xdr:from>
      <xdr:col>3</xdr:col>
      <xdr:colOff>66675</xdr:colOff>
      <xdr:row>25</xdr:row>
      <xdr:rowOff>76200</xdr:rowOff>
    </xdr:from>
    <xdr:to>
      <xdr:col>3</xdr:col>
      <xdr:colOff>161925</xdr:colOff>
      <xdr:row>26</xdr:row>
      <xdr:rowOff>295275</xdr:rowOff>
    </xdr:to>
    <xdr:sp macro="" textlink="">
      <xdr:nvSpPr>
        <xdr:cNvPr id="11635" name="AutoShape 11"/>
        <xdr:cNvSpPr>
          <a:spLocks/>
        </xdr:cNvSpPr>
      </xdr:nvSpPr>
      <xdr:spPr bwMode="auto">
        <a:xfrm>
          <a:off x="2886075" y="5343525"/>
          <a:ext cx="95250" cy="628650"/>
        </a:xfrm>
        <a:prstGeom prst="rightBrace">
          <a:avLst>
            <a:gd name="adj1" fmla="val 55000"/>
            <a:gd name="adj2" fmla="val 50000"/>
          </a:avLst>
        </a:prstGeom>
        <a:noFill/>
        <a:ln w="9525">
          <a:solidFill>
            <a:srgbClr val="000000"/>
          </a:solidFill>
          <a:round/>
          <a:headEnd/>
          <a:tailEnd/>
        </a:ln>
      </xdr:spPr>
    </xdr:sp>
    <xdr:clientData/>
  </xdr:twoCellAnchor>
  <xdr:twoCellAnchor>
    <xdr:from>
      <xdr:col>1</xdr:col>
      <xdr:colOff>66675</xdr:colOff>
      <xdr:row>25</xdr:row>
      <xdr:rowOff>76200</xdr:rowOff>
    </xdr:from>
    <xdr:to>
      <xdr:col>1</xdr:col>
      <xdr:colOff>161925</xdr:colOff>
      <xdr:row>26</xdr:row>
      <xdr:rowOff>295275</xdr:rowOff>
    </xdr:to>
    <xdr:sp macro="" textlink="">
      <xdr:nvSpPr>
        <xdr:cNvPr id="11636" name="AutoShape 11"/>
        <xdr:cNvSpPr>
          <a:spLocks/>
        </xdr:cNvSpPr>
      </xdr:nvSpPr>
      <xdr:spPr bwMode="auto">
        <a:xfrm>
          <a:off x="1504950" y="5343525"/>
          <a:ext cx="95250" cy="628650"/>
        </a:xfrm>
        <a:prstGeom prst="rightBrace">
          <a:avLst>
            <a:gd name="adj1" fmla="val 55000"/>
            <a:gd name="adj2" fmla="val 50000"/>
          </a:avLst>
        </a:prstGeom>
        <a:noFill/>
        <a:ln w="9525">
          <a:solidFill>
            <a:srgbClr val="000000"/>
          </a:solidFill>
          <a:round/>
          <a:headEnd/>
          <a:tailEnd/>
        </a:ln>
      </xdr:spPr>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133350</xdr:colOff>
      <xdr:row>2</xdr:row>
      <xdr:rowOff>85725</xdr:rowOff>
    </xdr:from>
    <xdr:to>
      <xdr:col>8</xdr:col>
      <xdr:colOff>457200</xdr:colOff>
      <xdr:row>51</xdr:row>
      <xdr:rowOff>0</xdr:rowOff>
    </xdr:to>
    <xdr:sp macro="" textlink="">
      <xdr:nvSpPr>
        <xdr:cNvPr id="18434" name="Homepage"/>
        <xdr:cNvSpPr>
          <a:spLocks noEditPoints="1" noChangeArrowheads="1"/>
        </xdr:cNvSpPr>
      </xdr:nvSpPr>
      <xdr:spPr bwMode="auto">
        <a:xfrm flipH="1">
          <a:off x="133350" y="409575"/>
          <a:ext cx="5200650" cy="7848600"/>
        </a:xfrm>
        <a:custGeom>
          <a:avLst/>
          <a:gdLst>
            <a:gd name="T0" fmla="*/ 0 w 21600"/>
            <a:gd name="T1" fmla="*/ 0 h 21600"/>
            <a:gd name="T2" fmla="*/ 10800 w 21600"/>
            <a:gd name="T3" fmla="*/ 0 h 21600"/>
            <a:gd name="T4" fmla="*/ 21600 w 21600"/>
            <a:gd name="T5" fmla="*/ 0 h 21600"/>
            <a:gd name="T6" fmla="*/ 21600 w 21600"/>
            <a:gd name="T7" fmla="*/ 10800 h 21600"/>
            <a:gd name="T8" fmla="*/ 21600 w 21600"/>
            <a:gd name="T9" fmla="*/ 21600 h 21600"/>
            <a:gd name="T10" fmla="*/ 10800 w 21600"/>
            <a:gd name="T11" fmla="*/ 21600 h 21600"/>
            <a:gd name="T12" fmla="*/ 0 w 21600"/>
            <a:gd name="T13" fmla="*/ 10800 h 21600"/>
            <a:gd name="T14" fmla="*/ 999 w 21600"/>
            <a:gd name="T15" fmla="*/ 12174 h 21600"/>
            <a:gd name="T16" fmla="*/ 20813 w 21600"/>
            <a:gd name="T17" fmla="*/ 17149 h 21600"/>
          </a:gdLst>
          <a:ahLst/>
          <a:cxnLst>
            <a:cxn ang="0">
              <a:pos x="T0" y="T1"/>
            </a:cxn>
            <a:cxn ang="0">
              <a:pos x="T2" y="T3"/>
            </a:cxn>
            <a:cxn ang="0">
              <a:pos x="T4" y="T5"/>
            </a:cxn>
            <a:cxn ang="0">
              <a:pos x="T6" y="T7"/>
            </a:cxn>
            <a:cxn ang="0">
              <a:pos x="T8" y="T9"/>
            </a:cxn>
            <a:cxn ang="0">
              <a:pos x="T10" y="T11"/>
            </a:cxn>
            <a:cxn ang="0">
              <a:pos x="T12" y="T13"/>
            </a:cxn>
          </a:cxnLst>
          <a:rect l="T14" t="T15" r="T16" b="T17"/>
          <a:pathLst>
            <a:path w="21600" h="21600" extrusionOk="0">
              <a:moveTo>
                <a:pt x="10757" y="21632"/>
              </a:moveTo>
              <a:lnTo>
                <a:pt x="5187" y="21632"/>
              </a:lnTo>
              <a:lnTo>
                <a:pt x="85" y="17509"/>
              </a:lnTo>
              <a:lnTo>
                <a:pt x="85" y="10849"/>
              </a:lnTo>
              <a:lnTo>
                <a:pt x="85" y="81"/>
              </a:lnTo>
              <a:lnTo>
                <a:pt x="10757" y="81"/>
              </a:lnTo>
              <a:lnTo>
                <a:pt x="21706" y="81"/>
              </a:lnTo>
              <a:lnTo>
                <a:pt x="21706" y="10652"/>
              </a:lnTo>
              <a:lnTo>
                <a:pt x="21706" y="21632"/>
              </a:lnTo>
              <a:lnTo>
                <a:pt x="10757" y="21632"/>
              </a:lnTo>
              <a:close/>
            </a:path>
            <a:path w="21600" h="21600" extrusionOk="0">
              <a:moveTo>
                <a:pt x="85" y="17509"/>
              </a:moveTo>
              <a:lnTo>
                <a:pt x="5187" y="17509"/>
              </a:lnTo>
              <a:lnTo>
                <a:pt x="5187" y="21632"/>
              </a:lnTo>
              <a:lnTo>
                <a:pt x="85" y="17509"/>
              </a:lnTo>
              <a:close/>
            </a:path>
            <a:path w="21600" h="21600" extrusionOk="0">
              <a:moveTo>
                <a:pt x="5251" y="7101"/>
              </a:moveTo>
              <a:lnTo>
                <a:pt x="5251" y="11160"/>
              </a:lnTo>
              <a:lnTo>
                <a:pt x="16306" y="11160"/>
              </a:lnTo>
              <a:lnTo>
                <a:pt x="16306" y="7052"/>
              </a:lnTo>
              <a:lnTo>
                <a:pt x="16901" y="6561"/>
              </a:lnTo>
              <a:lnTo>
                <a:pt x="15264" y="5236"/>
              </a:lnTo>
              <a:lnTo>
                <a:pt x="15264" y="1636"/>
              </a:lnTo>
              <a:lnTo>
                <a:pt x="13478" y="1636"/>
              </a:lnTo>
              <a:lnTo>
                <a:pt x="13478" y="3698"/>
              </a:lnTo>
              <a:lnTo>
                <a:pt x="11182" y="1669"/>
              </a:lnTo>
              <a:lnTo>
                <a:pt x="4847" y="6561"/>
              </a:lnTo>
              <a:lnTo>
                <a:pt x="5251" y="7101"/>
              </a:lnTo>
              <a:close/>
            </a:path>
            <a:path w="21600" h="21600" extrusionOk="0">
              <a:moveTo>
                <a:pt x="9396" y="11160"/>
              </a:moveTo>
              <a:lnTo>
                <a:pt x="9396" y="7772"/>
              </a:lnTo>
              <a:lnTo>
                <a:pt x="11820" y="7772"/>
              </a:lnTo>
              <a:lnTo>
                <a:pt x="11820" y="11160"/>
              </a:lnTo>
              <a:lnTo>
                <a:pt x="9396" y="11160"/>
              </a:lnTo>
              <a:close/>
            </a:path>
          </a:pathLst>
        </a:custGeom>
        <a:solidFill>
          <a:srgbClr val="D8EBB3"/>
        </a:solidFill>
        <a:ln w="9525">
          <a:solidFill>
            <a:srgbClr val="000000"/>
          </a:solidFill>
          <a:miter lim="800000"/>
          <a:headEnd/>
          <a:tailEnd/>
        </a:ln>
        <a:effectLst>
          <a:outerShdw dist="107763" dir="2700000" algn="ctr" rotWithShape="0">
            <a:srgbClr val="808080"/>
          </a:outerShdw>
        </a:effectLst>
      </xdr:spPr>
      <xdr:txBody>
        <a:bodyPr vertOverflow="clip" wrap="square" lIns="91440" tIns="45720" rIns="91440" bIns="45720" anchor="t" upright="1"/>
        <a:lstStyle/>
        <a:p>
          <a:pPr algn="ctr" rtl="1">
            <a:defRPr sz="1000"/>
          </a:pPr>
          <a:r>
            <a:rPr lang="en-US" sz="3500" b="0" i="0" strike="noStrike">
              <a:solidFill>
                <a:srgbClr val="000000"/>
              </a:solidFill>
              <a:latin typeface="Times New Roman"/>
              <a:cs typeface="Times New Roman"/>
            </a:rPr>
            <a:t>BLOCK LEVEL </a:t>
          </a:r>
        </a:p>
        <a:p>
          <a:pPr algn="ctr" rtl="1">
            <a:defRPr sz="1000"/>
          </a:pPr>
          <a:r>
            <a:rPr lang="en-US" sz="3500" b="0" i="0" strike="noStrike">
              <a:solidFill>
                <a:srgbClr val="000000"/>
              </a:solidFill>
              <a:latin typeface="Times New Roman"/>
              <a:cs typeface="Times New Roman"/>
            </a:rPr>
            <a:t>STATISTICS</a:t>
          </a:r>
          <a:r>
            <a:rPr lang="en-US" sz="4000" b="0" i="0" strike="noStrike">
              <a:solidFill>
                <a:srgbClr val="000000"/>
              </a:solidFill>
              <a:latin typeface="Times New Roman"/>
              <a:cs typeface="Times New Roman"/>
            </a:rPr>
            <a:t> </a:t>
          </a:r>
        </a:p>
        <a:p>
          <a:pPr algn="ctr" rtl="1">
            <a:defRPr sz="1000"/>
          </a:pPr>
          <a:r>
            <a:rPr lang="en-US" sz="3500" b="1" i="0" strike="noStrike">
              <a:solidFill>
                <a:srgbClr val="000000"/>
              </a:solidFill>
              <a:latin typeface="Rockwell"/>
            </a:rPr>
            <a:t>2013-14</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1076325</xdr:colOff>
      <xdr:row>34</xdr:row>
      <xdr:rowOff>28575</xdr:rowOff>
    </xdr:from>
    <xdr:to>
      <xdr:col>1</xdr:col>
      <xdr:colOff>1152525</xdr:colOff>
      <xdr:row>36</xdr:row>
      <xdr:rowOff>0</xdr:rowOff>
    </xdr:to>
    <xdr:sp macro="" textlink="">
      <xdr:nvSpPr>
        <xdr:cNvPr id="47127" name="AutoShape 1"/>
        <xdr:cNvSpPr>
          <a:spLocks/>
        </xdr:cNvSpPr>
      </xdr:nvSpPr>
      <xdr:spPr bwMode="auto">
        <a:xfrm>
          <a:off x="1266825" y="6315075"/>
          <a:ext cx="0" cy="295275"/>
        </a:xfrm>
        <a:prstGeom prst="rightBrace">
          <a:avLst>
            <a:gd name="adj1" fmla="val -2147483648"/>
            <a:gd name="adj2" fmla="val 50000"/>
          </a:avLst>
        </a:prstGeom>
        <a:noFill/>
        <a:ln w="9525">
          <a:solidFill>
            <a:srgbClr val="008000"/>
          </a:solidFill>
          <a:round/>
          <a:headEnd/>
          <a:tailEnd/>
        </a:ln>
      </xdr:spPr>
    </xdr:sp>
    <xdr:clientData/>
  </xdr:twoCellAnchor>
  <xdr:twoCellAnchor>
    <xdr:from>
      <xdr:col>1</xdr:col>
      <xdr:colOff>1076325</xdr:colOff>
      <xdr:row>26</xdr:row>
      <xdr:rowOff>28575</xdr:rowOff>
    </xdr:from>
    <xdr:to>
      <xdr:col>1</xdr:col>
      <xdr:colOff>1152525</xdr:colOff>
      <xdr:row>28</xdr:row>
      <xdr:rowOff>0</xdr:rowOff>
    </xdr:to>
    <xdr:sp macro="" textlink="">
      <xdr:nvSpPr>
        <xdr:cNvPr id="47128" name="AutoShape 2"/>
        <xdr:cNvSpPr>
          <a:spLocks/>
        </xdr:cNvSpPr>
      </xdr:nvSpPr>
      <xdr:spPr bwMode="auto">
        <a:xfrm>
          <a:off x="1266825" y="5019675"/>
          <a:ext cx="0" cy="295275"/>
        </a:xfrm>
        <a:prstGeom prst="rightBrace">
          <a:avLst>
            <a:gd name="adj1" fmla="val -2147483648"/>
            <a:gd name="adj2" fmla="val 50000"/>
          </a:avLst>
        </a:prstGeom>
        <a:noFill/>
        <a:ln w="9525">
          <a:solidFill>
            <a:srgbClr val="008000"/>
          </a:solidFill>
          <a:round/>
          <a:headEnd/>
          <a:tailEnd/>
        </a:ln>
      </xdr:spPr>
    </xdr:sp>
    <xdr:clientData/>
  </xdr:twoCellAnchor>
  <xdr:twoCellAnchor>
    <xdr:from>
      <xdr:col>1</xdr:col>
      <xdr:colOff>1076325</xdr:colOff>
      <xdr:row>34</xdr:row>
      <xdr:rowOff>28575</xdr:rowOff>
    </xdr:from>
    <xdr:to>
      <xdr:col>1</xdr:col>
      <xdr:colOff>1152525</xdr:colOff>
      <xdr:row>36</xdr:row>
      <xdr:rowOff>0</xdr:rowOff>
    </xdr:to>
    <xdr:sp macro="" textlink="">
      <xdr:nvSpPr>
        <xdr:cNvPr id="47129" name="AutoShape 9"/>
        <xdr:cNvSpPr>
          <a:spLocks/>
        </xdr:cNvSpPr>
      </xdr:nvSpPr>
      <xdr:spPr bwMode="auto">
        <a:xfrm>
          <a:off x="1266825" y="6315075"/>
          <a:ext cx="0" cy="295275"/>
        </a:xfrm>
        <a:prstGeom prst="rightBrace">
          <a:avLst>
            <a:gd name="adj1" fmla="val -2147483648"/>
            <a:gd name="adj2" fmla="val 50000"/>
          </a:avLst>
        </a:prstGeom>
        <a:noFill/>
        <a:ln w="9525">
          <a:solidFill>
            <a:srgbClr val="008000"/>
          </a:solidFill>
          <a:round/>
          <a:headEnd/>
          <a:tailEnd/>
        </a:ln>
      </xdr:spPr>
    </xdr:sp>
    <xdr:clientData/>
  </xdr:twoCellAnchor>
  <xdr:twoCellAnchor>
    <xdr:from>
      <xdr:col>1</xdr:col>
      <xdr:colOff>1076325</xdr:colOff>
      <xdr:row>26</xdr:row>
      <xdr:rowOff>28575</xdr:rowOff>
    </xdr:from>
    <xdr:to>
      <xdr:col>1</xdr:col>
      <xdr:colOff>1152525</xdr:colOff>
      <xdr:row>28</xdr:row>
      <xdr:rowOff>0</xdr:rowOff>
    </xdr:to>
    <xdr:sp macro="" textlink="">
      <xdr:nvSpPr>
        <xdr:cNvPr id="47130" name="AutoShape 10"/>
        <xdr:cNvSpPr>
          <a:spLocks/>
        </xdr:cNvSpPr>
      </xdr:nvSpPr>
      <xdr:spPr bwMode="auto">
        <a:xfrm>
          <a:off x="1266825" y="5019675"/>
          <a:ext cx="0" cy="295275"/>
        </a:xfrm>
        <a:prstGeom prst="rightBrace">
          <a:avLst>
            <a:gd name="adj1" fmla="val -2147483648"/>
            <a:gd name="adj2" fmla="val 50000"/>
          </a:avLst>
        </a:prstGeom>
        <a:noFill/>
        <a:ln w="9525">
          <a:solidFill>
            <a:srgbClr val="008000"/>
          </a:solidFill>
          <a:round/>
          <a:headEnd/>
          <a:tailEnd/>
        </a:ln>
      </xdr:spPr>
    </xdr:sp>
    <xdr:clientData/>
  </xdr:twoCellAnchor>
  <xdr:twoCellAnchor>
    <xdr:from>
      <xdr:col>1</xdr:col>
      <xdr:colOff>1076325</xdr:colOff>
      <xdr:row>22</xdr:row>
      <xdr:rowOff>28575</xdr:rowOff>
    </xdr:from>
    <xdr:to>
      <xdr:col>1</xdr:col>
      <xdr:colOff>1152525</xdr:colOff>
      <xdr:row>24</xdr:row>
      <xdr:rowOff>0</xdr:rowOff>
    </xdr:to>
    <xdr:sp macro="" textlink="">
      <xdr:nvSpPr>
        <xdr:cNvPr id="47131" name="AutoShape 11"/>
        <xdr:cNvSpPr>
          <a:spLocks/>
        </xdr:cNvSpPr>
      </xdr:nvSpPr>
      <xdr:spPr bwMode="auto">
        <a:xfrm>
          <a:off x="1266825" y="4371975"/>
          <a:ext cx="0" cy="295275"/>
        </a:xfrm>
        <a:prstGeom prst="rightBrace">
          <a:avLst>
            <a:gd name="adj1" fmla="val -2147483648"/>
            <a:gd name="adj2" fmla="val 50000"/>
          </a:avLst>
        </a:prstGeom>
        <a:noFill/>
        <a:ln w="9525">
          <a:solidFill>
            <a:srgbClr val="008000"/>
          </a:solidFill>
          <a:round/>
          <a:headEnd/>
          <a:tailEnd/>
        </a:ln>
      </xdr:spPr>
    </xdr:sp>
    <xdr:clientData/>
  </xdr:twoCellAnchor>
  <xdr:twoCellAnchor>
    <xdr:from>
      <xdr:col>1</xdr:col>
      <xdr:colOff>1076325</xdr:colOff>
      <xdr:row>16</xdr:row>
      <xdr:rowOff>28575</xdr:rowOff>
    </xdr:from>
    <xdr:to>
      <xdr:col>1</xdr:col>
      <xdr:colOff>1152525</xdr:colOff>
      <xdr:row>18</xdr:row>
      <xdr:rowOff>0</xdr:rowOff>
    </xdr:to>
    <xdr:sp macro="" textlink="">
      <xdr:nvSpPr>
        <xdr:cNvPr id="47132" name="AutoShape 12"/>
        <xdr:cNvSpPr>
          <a:spLocks/>
        </xdr:cNvSpPr>
      </xdr:nvSpPr>
      <xdr:spPr bwMode="auto">
        <a:xfrm>
          <a:off x="1266825" y="3400425"/>
          <a:ext cx="0" cy="295275"/>
        </a:xfrm>
        <a:prstGeom prst="rightBrace">
          <a:avLst>
            <a:gd name="adj1" fmla="val -2147483648"/>
            <a:gd name="adj2" fmla="val 50000"/>
          </a:avLst>
        </a:prstGeom>
        <a:noFill/>
        <a:ln w="9525">
          <a:solidFill>
            <a:srgbClr val="008000"/>
          </a:solidFill>
          <a:round/>
          <a:headEnd/>
          <a:tailEnd/>
        </a:ln>
      </xdr:spPr>
    </xdr:sp>
    <xdr:clientData/>
  </xdr:twoCellAnchor>
  <xdr:twoCellAnchor>
    <xdr:from>
      <xdr:col>1</xdr:col>
      <xdr:colOff>628650</xdr:colOff>
      <xdr:row>16</xdr:row>
      <xdr:rowOff>9525</xdr:rowOff>
    </xdr:from>
    <xdr:to>
      <xdr:col>1</xdr:col>
      <xdr:colOff>704850</xdr:colOff>
      <xdr:row>17</xdr:row>
      <xdr:rowOff>152400</xdr:rowOff>
    </xdr:to>
    <xdr:sp macro="" textlink="">
      <xdr:nvSpPr>
        <xdr:cNvPr id="47133" name="AutoShape 13"/>
        <xdr:cNvSpPr>
          <a:spLocks/>
        </xdr:cNvSpPr>
      </xdr:nvSpPr>
      <xdr:spPr bwMode="auto">
        <a:xfrm>
          <a:off x="933450" y="3381375"/>
          <a:ext cx="76200" cy="304800"/>
        </a:xfrm>
        <a:prstGeom prst="rightBrace">
          <a:avLst>
            <a:gd name="adj1" fmla="val 33333"/>
            <a:gd name="adj2" fmla="val 50000"/>
          </a:avLst>
        </a:prstGeom>
        <a:noFill/>
        <a:ln w="9525">
          <a:solidFill>
            <a:srgbClr val="000000"/>
          </a:solidFill>
          <a:round/>
          <a:headEnd/>
          <a:tailEnd/>
        </a:ln>
      </xdr:spPr>
    </xdr:sp>
    <xdr:clientData/>
  </xdr:twoCellAnchor>
  <xdr:twoCellAnchor>
    <xdr:from>
      <xdr:col>1</xdr:col>
      <xdr:colOff>704850</xdr:colOff>
      <xdr:row>22</xdr:row>
      <xdr:rowOff>9525</xdr:rowOff>
    </xdr:from>
    <xdr:to>
      <xdr:col>1</xdr:col>
      <xdr:colOff>781050</xdr:colOff>
      <xdr:row>23</xdr:row>
      <xdr:rowOff>152400</xdr:rowOff>
    </xdr:to>
    <xdr:sp macro="" textlink="">
      <xdr:nvSpPr>
        <xdr:cNvPr id="47134" name="AutoShape 14"/>
        <xdr:cNvSpPr>
          <a:spLocks/>
        </xdr:cNvSpPr>
      </xdr:nvSpPr>
      <xdr:spPr bwMode="auto">
        <a:xfrm>
          <a:off x="1009650" y="4352925"/>
          <a:ext cx="76200" cy="304800"/>
        </a:xfrm>
        <a:prstGeom prst="rightBrace">
          <a:avLst>
            <a:gd name="adj1" fmla="val 33333"/>
            <a:gd name="adj2" fmla="val 50000"/>
          </a:avLst>
        </a:prstGeom>
        <a:noFill/>
        <a:ln w="9525">
          <a:solidFill>
            <a:srgbClr val="000000"/>
          </a:solidFill>
          <a:round/>
          <a:headEnd/>
          <a:tailEnd/>
        </a:ln>
      </xdr:spPr>
    </xdr:sp>
    <xdr:clientData/>
  </xdr:twoCellAnchor>
  <xdr:twoCellAnchor>
    <xdr:from>
      <xdr:col>1</xdr:col>
      <xdr:colOff>685800</xdr:colOff>
      <xdr:row>26</xdr:row>
      <xdr:rowOff>9525</xdr:rowOff>
    </xdr:from>
    <xdr:to>
      <xdr:col>1</xdr:col>
      <xdr:colOff>762000</xdr:colOff>
      <xdr:row>27</xdr:row>
      <xdr:rowOff>152400</xdr:rowOff>
    </xdr:to>
    <xdr:sp macro="" textlink="">
      <xdr:nvSpPr>
        <xdr:cNvPr id="47135" name="AutoShape 15"/>
        <xdr:cNvSpPr>
          <a:spLocks/>
        </xdr:cNvSpPr>
      </xdr:nvSpPr>
      <xdr:spPr bwMode="auto">
        <a:xfrm>
          <a:off x="990600" y="5000625"/>
          <a:ext cx="76200" cy="304800"/>
        </a:xfrm>
        <a:prstGeom prst="rightBrace">
          <a:avLst>
            <a:gd name="adj1" fmla="val 33333"/>
            <a:gd name="adj2" fmla="val 50000"/>
          </a:avLst>
        </a:prstGeom>
        <a:noFill/>
        <a:ln w="9525">
          <a:solidFill>
            <a:srgbClr val="000000"/>
          </a:solidFill>
          <a:round/>
          <a:headEnd/>
          <a:tailEnd/>
        </a:ln>
      </xdr:spPr>
    </xdr:sp>
    <xdr:clientData/>
  </xdr:twoCellAnchor>
  <xdr:twoCellAnchor>
    <xdr:from>
      <xdr:col>1</xdr:col>
      <xdr:colOff>895350</xdr:colOff>
      <xdr:row>34</xdr:row>
      <xdr:rowOff>28575</xdr:rowOff>
    </xdr:from>
    <xdr:to>
      <xdr:col>2</xdr:col>
      <xdr:colOff>0</xdr:colOff>
      <xdr:row>35</xdr:row>
      <xdr:rowOff>171450</xdr:rowOff>
    </xdr:to>
    <xdr:sp macro="" textlink="">
      <xdr:nvSpPr>
        <xdr:cNvPr id="47136" name="AutoShape 16"/>
        <xdr:cNvSpPr>
          <a:spLocks/>
        </xdr:cNvSpPr>
      </xdr:nvSpPr>
      <xdr:spPr bwMode="auto">
        <a:xfrm>
          <a:off x="1200150" y="6315075"/>
          <a:ext cx="66675" cy="295275"/>
        </a:xfrm>
        <a:prstGeom prst="rightBrace">
          <a:avLst>
            <a:gd name="adj1" fmla="val 36905"/>
            <a:gd name="adj2" fmla="val 50000"/>
          </a:avLst>
        </a:prstGeom>
        <a:noFill/>
        <a:ln w="9525">
          <a:solidFill>
            <a:srgbClr val="000000"/>
          </a:solidFill>
          <a:round/>
          <a:headEnd/>
          <a:tailEnd/>
        </a:ln>
      </xdr:spPr>
    </xdr:sp>
    <xdr:clientData/>
  </xdr:twoCellAnchor>
</xdr:wsDr>
</file>

<file path=xl/drawings/drawing6.xml><?xml version="1.0" encoding="utf-8"?>
<xdr:wsDr xmlns:xdr="http://schemas.openxmlformats.org/drawingml/2006/spreadsheetDrawing" xmlns:a="http://schemas.openxmlformats.org/drawingml/2006/main">
  <xdr:twoCellAnchor>
    <xdr:from>
      <xdr:col>18</xdr:col>
      <xdr:colOff>504825</xdr:colOff>
      <xdr:row>48</xdr:row>
      <xdr:rowOff>95250</xdr:rowOff>
    </xdr:from>
    <xdr:to>
      <xdr:col>18</xdr:col>
      <xdr:colOff>504825</xdr:colOff>
      <xdr:row>51</xdr:row>
      <xdr:rowOff>38100</xdr:rowOff>
    </xdr:to>
    <xdr:sp macro="" textlink="">
      <xdr:nvSpPr>
        <xdr:cNvPr id="15465" name="AutoShape 1"/>
        <xdr:cNvSpPr>
          <a:spLocks/>
        </xdr:cNvSpPr>
      </xdr:nvSpPr>
      <xdr:spPr bwMode="auto">
        <a:xfrm>
          <a:off x="13925550" y="8201025"/>
          <a:ext cx="0" cy="428625"/>
        </a:xfrm>
        <a:prstGeom prst="rightBrace">
          <a:avLst>
            <a:gd name="adj1" fmla="val -2147483648"/>
            <a:gd name="adj2" fmla="val 50000"/>
          </a:avLst>
        </a:prstGeom>
        <a:noFill/>
        <a:ln w="9525">
          <a:solidFill>
            <a:srgbClr val="000000"/>
          </a:solidFill>
          <a:round/>
          <a:headEnd/>
          <a:tailEnd/>
        </a:ln>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ANDBOOK_2009_NBO1/PURULIA2007.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PURULIA2007.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ANDBOOK_2008_HB1/PURULIA2008.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MAP"/>
      <sheetName val="Cover Page"/>
      <sheetName val="PREFACE"/>
      <sheetName val="Contents"/>
      <sheetName val="At a glance"/>
      <sheetName val="1.1,1.2"/>
      <sheetName val="1.3,1.4"/>
      <sheetName val="2.1"/>
      <sheetName val="2.1a,2.1b"/>
      <sheetName val="2.2"/>
      <sheetName val="2.3"/>
      <sheetName val="2.4a"/>
      <sheetName val="2.4b"/>
      <sheetName val="2.5a"/>
      <sheetName val="2.5b"/>
      <sheetName val="2.6"/>
      <sheetName val="2.7"/>
      <sheetName val="2.8"/>
      <sheetName val="2.9,2.10"/>
      <sheetName val="2.10a"/>
      <sheetName val="2.11"/>
      <sheetName val="3.1"/>
      <sheetName val="3.2"/>
      <sheetName val="3.2a"/>
      <sheetName val="3.3"/>
      <sheetName val="3.3a"/>
      <sheetName val="4.1a"/>
      <sheetName val="4.1b"/>
      <sheetName val="4.1c"/>
      <sheetName val="4.2a"/>
      <sheetName val="4.2b"/>
      <sheetName val="4.2c"/>
      <sheetName val="4.3a"/>
      <sheetName val="4.3b"/>
      <sheetName val="4.3c"/>
      <sheetName val="4.4"/>
      <sheetName val="4.5"/>
      <sheetName val="4.6"/>
      <sheetName val="4.7,4.8"/>
      <sheetName val="5.1"/>
      <sheetName val="5.1a,5.1b"/>
      <sheetName val="5.2"/>
      <sheetName val="5.3"/>
      <sheetName val="5.3a"/>
      <sheetName val="5.3b,5.3c"/>
      <sheetName val="5.3d"/>
      <sheetName val="5.4"/>
      <sheetName val="5.5,5.5a"/>
      <sheetName val="5.6,5.7,5.8"/>
      <sheetName val="6.1"/>
      <sheetName val="6.2"/>
      <sheetName val="7.1"/>
      <sheetName val="7.2,7.3"/>
      <sheetName val="8.1,8.2"/>
      <sheetName val="8.2a,8.3"/>
      <sheetName val="8.4,8.4a"/>
      <sheetName val="9.1"/>
      <sheetName val="9.2,9.2a,9.2b"/>
      <sheetName val="10.1,10.2"/>
      <sheetName val="10.3"/>
      <sheetName val="11.1"/>
      <sheetName val="11.1a,11.2"/>
      <sheetName val="11.3,11.4"/>
      <sheetName val="12.1,12.2"/>
      <sheetName val="12.3,12.4"/>
      <sheetName val="12.5,12.6,12.7"/>
      <sheetName val="13.1"/>
      <sheetName val="13.2,13.3"/>
      <sheetName val="14.1,14.2"/>
      <sheetName val="15.1"/>
      <sheetName val="15.2"/>
      <sheetName val="Block_Level"/>
      <sheetName val="16.1"/>
      <sheetName val="17.1"/>
      <sheetName val="17.2"/>
      <sheetName val="18.1"/>
      <sheetName val="18.2"/>
      <sheetName val="18.3"/>
      <sheetName val="19.1"/>
      <sheetName val="20.1"/>
      <sheetName val="20.2"/>
      <sheetName val="21.1"/>
      <sheetName val="21.2"/>
      <sheetName val="Check(Pop)"/>
      <sheetName val="Check(Agri.Lab)"/>
      <sheetName val="Check(Block)"/>
      <sheetName val="Distric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MAP"/>
      <sheetName val="Cover Page"/>
      <sheetName val="PREFACE"/>
      <sheetName val="Contents"/>
      <sheetName val="At a glance"/>
      <sheetName val="1.1,1.2"/>
      <sheetName val="1.3,1.4"/>
      <sheetName val="2.1"/>
      <sheetName val="2.1a,2.1b"/>
      <sheetName val="2.2"/>
      <sheetName val="2.3"/>
      <sheetName val="2.4a"/>
      <sheetName val="2.4b"/>
      <sheetName val="2.5a"/>
      <sheetName val="2.5b"/>
      <sheetName val="2.6"/>
      <sheetName val="2.7"/>
      <sheetName val="2.8"/>
      <sheetName val="2.9,2.10"/>
      <sheetName val="2.10a"/>
      <sheetName val="2.11"/>
      <sheetName val="3.1"/>
      <sheetName val="3.2"/>
      <sheetName val="3.2a"/>
      <sheetName val="3.3"/>
      <sheetName val="3.3a"/>
      <sheetName val="4.1a"/>
      <sheetName val="4.1b"/>
      <sheetName val="4.1c"/>
      <sheetName val="4.2a"/>
      <sheetName val="4.2b"/>
      <sheetName val="4.2c"/>
      <sheetName val="4.3a"/>
      <sheetName val="4.3b"/>
      <sheetName val="4.3c"/>
      <sheetName val="4.4"/>
      <sheetName val="4.5"/>
      <sheetName val="4.6"/>
      <sheetName val="4.7,4.8"/>
      <sheetName val="5.1"/>
      <sheetName val="5.1a,5.1b"/>
      <sheetName val="5.2"/>
      <sheetName val="5.3"/>
      <sheetName val="5.3a"/>
      <sheetName val="5.3b,5.3c"/>
      <sheetName val="5.3d"/>
      <sheetName val="5.4"/>
      <sheetName val="5.5,5.5a"/>
      <sheetName val="5.6,5.7,5.8"/>
      <sheetName val="6.1"/>
      <sheetName val="6.2"/>
      <sheetName val="7.1"/>
      <sheetName val="7.2,7.3"/>
      <sheetName val="8.1,8.2"/>
      <sheetName val="8.2a,8.3"/>
      <sheetName val="8.4,8.4a"/>
      <sheetName val="9.1"/>
      <sheetName val="9.2,9.2a,9.2b"/>
      <sheetName val="10.1,10.2"/>
      <sheetName val="10.3"/>
      <sheetName val="11.1"/>
      <sheetName val="11.1a,11.2"/>
      <sheetName val="11.3,11.4"/>
      <sheetName val="12.1,12.2"/>
      <sheetName val="12.3,12.4"/>
      <sheetName val="12.5,12.6,12.7"/>
      <sheetName val="13.1"/>
      <sheetName val="13.2,13.3"/>
      <sheetName val="14.1,14.2"/>
      <sheetName val="15.1"/>
      <sheetName val="15.2"/>
      <sheetName val="Block_Level"/>
      <sheetName val="16.1"/>
      <sheetName val="17.1"/>
      <sheetName val="17.2"/>
      <sheetName val="18.1"/>
      <sheetName val="18.2"/>
      <sheetName val="18.3"/>
      <sheetName val="19.1"/>
      <sheetName val="20.1"/>
      <sheetName val="20.2"/>
      <sheetName val="21.1"/>
      <sheetName val="21.2"/>
      <sheetName val="Check(Pop)"/>
      <sheetName val="Check(Agri.Lab)"/>
      <sheetName val="Check(Block)"/>
      <sheetName val="Distric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MAP"/>
      <sheetName val="Cover Page"/>
      <sheetName val="PREFACE"/>
      <sheetName val="Contents"/>
      <sheetName val="At a glance"/>
      <sheetName val="1.1,1.2"/>
      <sheetName val="1.3,1.4"/>
      <sheetName val="2.1"/>
      <sheetName val="2.1a,2.1b"/>
      <sheetName val="2.2"/>
      <sheetName val="2.3"/>
      <sheetName val="2.4a"/>
      <sheetName val="2.4b"/>
      <sheetName val="2.5a"/>
      <sheetName val="2.5b"/>
      <sheetName val="2.6"/>
      <sheetName val="2.7"/>
      <sheetName val="2.8"/>
      <sheetName val="2.9,2.10"/>
      <sheetName val="2.10a"/>
      <sheetName val="2.11"/>
      <sheetName val="3.1"/>
      <sheetName val="3.2"/>
      <sheetName val="3.2a"/>
      <sheetName val="3.3"/>
      <sheetName val="3.3a"/>
      <sheetName val="4.1a"/>
      <sheetName val="4.1b"/>
      <sheetName val="4.1c"/>
      <sheetName val="4.2a"/>
      <sheetName val="4.2b"/>
      <sheetName val="4.2c"/>
      <sheetName val="4.3a"/>
      <sheetName val="4.3b"/>
      <sheetName val="4.3c"/>
      <sheetName val="4.4"/>
      <sheetName val="4.5"/>
      <sheetName val="4.6"/>
      <sheetName val="4.7,4.8"/>
      <sheetName val="5.1"/>
      <sheetName val="5.1a,5.1b"/>
      <sheetName val="5.2"/>
      <sheetName val="5.3"/>
      <sheetName val="5.3a"/>
      <sheetName val="5.3b,5.3c"/>
      <sheetName val="5.3d"/>
      <sheetName val="5.3e"/>
      <sheetName val="5.4"/>
      <sheetName val="5.5,5.5a"/>
      <sheetName val="5.6,5.7,5.8"/>
      <sheetName val="6.1"/>
      <sheetName val="6.2"/>
      <sheetName val="7.1"/>
      <sheetName val="7.2,7.3"/>
      <sheetName val="8.1,8.2"/>
      <sheetName val="8.2a,8.3"/>
      <sheetName val="8.4,8.4a"/>
      <sheetName val="9.1"/>
      <sheetName val="9.2,9.2a,9.2b"/>
      <sheetName val="10.1,10.2"/>
      <sheetName val="10.3"/>
      <sheetName val="11.1"/>
      <sheetName val="11.1a,11.2"/>
      <sheetName val="11.3,11.4"/>
      <sheetName val="12.1,12.2"/>
      <sheetName val="12.3,12.4"/>
      <sheetName val="12.5,12.6,12.7"/>
      <sheetName val="13.1"/>
      <sheetName val="13.2,13.3"/>
      <sheetName val="14.1,14.2"/>
      <sheetName val="15.1"/>
      <sheetName val="15.2"/>
      <sheetName val="Block_Level"/>
      <sheetName val="16.1"/>
      <sheetName val="17.1"/>
      <sheetName val="17.2"/>
      <sheetName val="18.1"/>
      <sheetName val="18.2"/>
      <sheetName val="18.3"/>
      <sheetName val="19.1"/>
      <sheetName val="20.1"/>
      <sheetName val="20.2"/>
      <sheetName val="21.1"/>
      <sheetName val="21.2"/>
      <sheetName val="Check(Pop)"/>
      <sheetName val="Check(Agri.Lab)"/>
      <sheetName val="Check(Block)"/>
      <sheetName val="Distric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oleObject" Target="../embeddings/oleObject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3" Type="http://schemas.openxmlformats.org/officeDocument/2006/relationships/oleObject" Target="../embeddings/Microsoft_Office_Word_97_-_2003_Document1.doc"/><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68.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6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1.bin"/></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73.bin"/></Relationships>
</file>

<file path=xl/worksheets/_rels/sheet74.xml.rels><?xml version="1.0" encoding="UTF-8" standalone="yes"?>
<Relationships xmlns="http://schemas.openxmlformats.org/package/2006/relationships"><Relationship Id="rId1" Type="http://schemas.openxmlformats.org/officeDocument/2006/relationships/printerSettings" Target="../printerSettings/printerSettings74.bin"/></Relationships>
</file>

<file path=xl/worksheets/_rels/sheet7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5.bin"/></Relationships>
</file>

<file path=xl/worksheets/_rels/sheet76.xml.rels><?xml version="1.0" encoding="UTF-8" standalone="yes"?>
<Relationships xmlns="http://schemas.openxmlformats.org/package/2006/relationships"><Relationship Id="rId1" Type="http://schemas.openxmlformats.org/officeDocument/2006/relationships/printerSettings" Target="../printerSettings/printerSettings76.bin"/></Relationships>
</file>

<file path=xl/worksheets/_rels/sheet7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7.bin"/></Relationships>
</file>

<file path=xl/worksheets/_rels/sheet78.xml.rels><?xml version="1.0" encoding="UTF-8" standalone="yes"?>
<Relationships xmlns="http://schemas.openxmlformats.org/package/2006/relationships"><Relationship Id="rId1" Type="http://schemas.openxmlformats.org/officeDocument/2006/relationships/printerSettings" Target="../printerSettings/printerSettings78.bin"/></Relationships>
</file>

<file path=xl/worksheets/_rels/sheet79.xml.rels><?xml version="1.0" encoding="UTF-8" standalone="yes"?>
<Relationships xmlns="http://schemas.openxmlformats.org/package/2006/relationships"><Relationship Id="rId1" Type="http://schemas.openxmlformats.org/officeDocument/2006/relationships/printerSettings" Target="../printerSettings/printerSettings79.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80.xml.rels><?xml version="1.0" encoding="UTF-8" standalone="yes"?>
<Relationships xmlns="http://schemas.openxmlformats.org/package/2006/relationships"><Relationship Id="rId1" Type="http://schemas.openxmlformats.org/officeDocument/2006/relationships/printerSettings" Target="../printerSettings/printerSettings80.bin"/></Relationships>
</file>

<file path=xl/worksheets/_rels/sheet81.xml.rels><?xml version="1.0" encoding="UTF-8" standalone="yes"?>
<Relationships xmlns="http://schemas.openxmlformats.org/package/2006/relationships"><Relationship Id="rId1" Type="http://schemas.openxmlformats.org/officeDocument/2006/relationships/printerSettings" Target="../printerSettings/printerSettings81.bin"/></Relationships>
</file>

<file path=xl/worksheets/_rels/sheet82.xml.rels><?xml version="1.0" encoding="UTF-8" standalone="yes"?>
<Relationships xmlns="http://schemas.openxmlformats.org/package/2006/relationships"><Relationship Id="rId1" Type="http://schemas.openxmlformats.org/officeDocument/2006/relationships/printerSettings" Target="../printerSettings/printerSettings82.bin"/></Relationships>
</file>

<file path=xl/worksheets/_rels/sheet83.xml.rels><?xml version="1.0" encoding="UTF-8" standalone="yes"?>
<Relationships xmlns="http://schemas.openxmlformats.org/package/2006/relationships"><Relationship Id="rId1" Type="http://schemas.openxmlformats.org/officeDocument/2006/relationships/printerSettings" Target="../printerSettings/printerSettings83.bin"/></Relationships>
</file>

<file path=xl/worksheets/_rels/sheet84.xml.rels><?xml version="1.0" encoding="UTF-8" standalone="yes"?>
<Relationships xmlns="http://schemas.openxmlformats.org/package/2006/relationships"><Relationship Id="rId1" Type="http://schemas.openxmlformats.org/officeDocument/2006/relationships/printerSettings" Target="../printerSettings/printerSettings84.bin"/></Relationships>
</file>

<file path=xl/worksheets/_rels/sheet85.xml.rels><?xml version="1.0" encoding="UTF-8" standalone="yes"?>
<Relationships xmlns="http://schemas.openxmlformats.org/package/2006/relationships"><Relationship Id="rId1" Type="http://schemas.openxmlformats.org/officeDocument/2006/relationships/printerSettings" Target="../printerSettings/printerSettings85.bin"/></Relationships>
</file>

<file path=xl/worksheets/_rels/sheet86.xml.rels><?xml version="1.0" encoding="UTF-8" standalone="yes"?>
<Relationships xmlns="http://schemas.openxmlformats.org/package/2006/relationships"><Relationship Id="rId1" Type="http://schemas.openxmlformats.org/officeDocument/2006/relationships/printerSettings" Target="../printerSettings/printerSettings86.bin"/></Relationships>
</file>

<file path=xl/worksheets/_rels/sheet8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36:K61"/>
  <sheetViews>
    <sheetView tabSelected="1" workbookViewId="0">
      <selection activeCell="M10" sqref="M10"/>
    </sheetView>
  </sheetViews>
  <sheetFormatPr defaultRowHeight="12.75"/>
  <sheetData>
    <row r="36" ht="27.75" customHeight="1"/>
    <row r="37" ht="12.75" customHeight="1"/>
    <row r="59" spans="1:11" ht="20.25">
      <c r="A59" s="1366" t="s">
        <v>599</v>
      </c>
      <c r="B59" s="1366"/>
      <c r="C59" s="1366"/>
      <c r="D59" s="1366"/>
      <c r="E59" s="1366"/>
      <c r="F59" s="1366"/>
      <c r="G59" s="1366"/>
      <c r="H59" s="1366"/>
      <c r="I59" s="1366"/>
      <c r="J59" s="1366"/>
      <c r="K59" s="1366"/>
    </row>
    <row r="60" spans="1:11" ht="23.25">
      <c r="A60" s="1368" t="s">
        <v>83</v>
      </c>
      <c r="B60" s="1368"/>
      <c r="C60" s="1368"/>
      <c r="D60" s="1368"/>
      <c r="E60" s="1368"/>
      <c r="F60" s="1368"/>
      <c r="G60" s="1368"/>
      <c r="H60" s="1368"/>
      <c r="I60" s="1368"/>
      <c r="J60" s="1368"/>
      <c r="K60" s="1368"/>
    </row>
    <row r="61" spans="1:11" ht="15.75">
      <c r="A61" s="1367" t="s">
        <v>600</v>
      </c>
      <c r="B61" s="1367"/>
      <c r="C61" s="1367"/>
      <c r="D61" s="1367"/>
      <c r="E61" s="1367"/>
      <c r="F61" s="1367"/>
      <c r="G61" s="1367"/>
      <c r="H61" s="1367"/>
      <c r="I61" s="1367"/>
      <c r="J61" s="1367"/>
      <c r="K61" s="1367"/>
    </row>
  </sheetData>
  <mergeCells count="3">
    <mergeCell ref="A59:K59"/>
    <mergeCell ref="A61:K61"/>
    <mergeCell ref="A60:K60"/>
  </mergeCells>
  <phoneticPr fontId="0" type="noConversion"/>
  <printOptions horizontalCentered="1"/>
  <pageMargins left="0.1" right="0.1" top="0.1" bottom="0.1" header="0.5" footer="0.5"/>
  <pageSetup paperSize="9" orientation="portrait" horizontalDpi="4294967295" verticalDpi="300" r:id="rId1"/>
  <headerFooter alignWithMargins="0"/>
  <drawing r:id="rId2"/>
  <legacyDrawing r:id="rId3"/>
  <oleObjects>
    <oleObject progId="CorelDRAW.Graphic.9" shapeId="2052" r:id="rId4"/>
  </oleObjects>
</worksheet>
</file>

<file path=xl/worksheets/sheet10.xml><?xml version="1.0" encoding="utf-8"?>
<worksheet xmlns="http://schemas.openxmlformats.org/spreadsheetml/2006/main" xmlns:r="http://schemas.openxmlformats.org/officeDocument/2006/relationships">
  <dimension ref="A1:F32"/>
  <sheetViews>
    <sheetView topLeftCell="A22" workbookViewId="0">
      <selection activeCell="F14" sqref="F14"/>
    </sheetView>
  </sheetViews>
  <sheetFormatPr defaultRowHeight="12.75"/>
  <cols>
    <col min="1" max="1" width="12.42578125" style="723" customWidth="1"/>
    <col min="2" max="2" width="14.7109375" style="723" customWidth="1"/>
    <col min="3" max="3" width="14.42578125" style="723" customWidth="1"/>
    <col min="4" max="4" width="15.5703125" style="723" customWidth="1"/>
    <col min="5" max="5" width="14.42578125" style="723" customWidth="1"/>
    <col min="6" max="6" width="14.28515625" style="723" customWidth="1"/>
    <col min="7" max="16384" width="9.140625" style="723"/>
  </cols>
  <sheetData>
    <row r="1" spans="1:6" ht="15.75" customHeight="1">
      <c r="A1" s="1399" t="s">
        <v>630</v>
      </c>
      <c r="B1" s="1399"/>
      <c r="C1" s="1399"/>
      <c r="D1" s="1399"/>
      <c r="E1" s="1399"/>
      <c r="F1" s="1399"/>
    </row>
    <row r="2" spans="1:6" ht="20.25" customHeight="1">
      <c r="A2" s="1394" t="str">
        <f>CONCATENATE("Assembly and Parliamentary Constituencies in the district of ",District!$A$1)</f>
        <v>Assembly and Parliamentary Constituencies in the district of Purulia</v>
      </c>
      <c r="B2" s="1394"/>
      <c r="C2" s="1394"/>
      <c r="D2" s="1394"/>
      <c r="E2" s="1394"/>
      <c r="F2" s="1394"/>
    </row>
    <row r="3" spans="1:6">
      <c r="B3" s="772"/>
      <c r="C3" s="772"/>
      <c r="D3" s="772"/>
      <c r="E3" s="772"/>
      <c r="F3" s="738" t="s">
        <v>1058</v>
      </c>
    </row>
    <row r="4" spans="1:6" ht="18.75" customHeight="1">
      <c r="A4" s="1410" t="s">
        <v>951</v>
      </c>
      <c r="B4" s="1410" t="s">
        <v>1063</v>
      </c>
      <c r="C4" s="1408" t="s">
        <v>486</v>
      </c>
      <c r="D4" s="1407" t="s">
        <v>487</v>
      </c>
      <c r="E4" s="1401"/>
      <c r="F4" s="1410" t="s">
        <v>1035</v>
      </c>
    </row>
    <row r="5" spans="1:6" ht="24.75" customHeight="1">
      <c r="A5" s="1411"/>
      <c r="B5" s="1412"/>
      <c r="C5" s="1409"/>
      <c r="D5" s="721" t="s">
        <v>394</v>
      </c>
      <c r="E5" s="773" t="s">
        <v>410</v>
      </c>
      <c r="F5" s="1411"/>
    </row>
    <row r="6" spans="1:6" ht="22.5" customHeight="1">
      <c r="A6" s="741" t="s">
        <v>1008</v>
      </c>
      <c r="B6" s="729" t="s">
        <v>1009</v>
      </c>
      <c r="C6" s="729" t="s">
        <v>1010</v>
      </c>
      <c r="D6" s="729" t="s">
        <v>1011</v>
      </c>
      <c r="E6" s="742" t="s">
        <v>1015</v>
      </c>
      <c r="F6" s="742" t="s">
        <v>1016</v>
      </c>
    </row>
    <row r="7" spans="1:6" ht="27.75" customHeight="1">
      <c r="A7" s="1410">
        <v>2010</v>
      </c>
      <c r="B7" s="123" t="s">
        <v>1064</v>
      </c>
      <c r="C7" s="774">
        <v>5</v>
      </c>
      <c r="D7" s="774">
        <v>2</v>
      </c>
      <c r="E7" s="775">
        <v>2</v>
      </c>
      <c r="F7" s="774">
        <f t="shared" ref="F7:F10" si="0">SUM(C7:E7)</f>
        <v>9</v>
      </c>
    </row>
    <row r="8" spans="1:6" ht="27.75" customHeight="1">
      <c r="A8" s="1412"/>
      <c r="B8" s="123" t="s">
        <v>1066</v>
      </c>
      <c r="C8" s="744">
        <v>1</v>
      </c>
      <c r="D8" s="744" t="s">
        <v>57</v>
      </c>
      <c r="E8" s="776" t="s">
        <v>57</v>
      </c>
      <c r="F8" s="744">
        <f t="shared" si="0"/>
        <v>1</v>
      </c>
    </row>
    <row r="9" spans="1:6" ht="27.75" customHeight="1">
      <c r="A9" s="1412">
        <v>2011</v>
      </c>
      <c r="B9" s="123" t="s">
        <v>1064</v>
      </c>
      <c r="C9" s="744">
        <v>5</v>
      </c>
      <c r="D9" s="744">
        <v>2</v>
      </c>
      <c r="E9" s="776">
        <v>2</v>
      </c>
      <c r="F9" s="744">
        <f t="shared" si="0"/>
        <v>9</v>
      </c>
    </row>
    <row r="10" spans="1:6" ht="27.75" customHeight="1">
      <c r="A10" s="1412"/>
      <c r="B10" s="123" t="s">
        <v>1066</v>
      </c>
      <c r="C10" s="744">
        <v>1</v>
      </c>
      <c r="D10" s="744" t="s">
        <v>57</v>
      </c>
      <c r="E10" s="776" t="s">
        <v>57</v>
      </c>
      <c r="F10" s="744">
        <f t="shared" si="0"/>
        <v>1</v>
      </c>
    </row>
    <row r="11" spans="1:6" ht="27.75" customHeight="1">
      <c r="A11" s="1412">
        <v>2012</v>
      </c>
      <c r="B11" s="123" t="s">
        <v>1064</v>
      </c>
      <c r="C11" s="744">
        <v>5</v>
      </c>
      <c r="D11" s="744">
        <v>2</v>
      </c>
      <c r="E11" s="776">
        <v>2</v>
      </c>
      <c r="F11" s="744">
        <f t="shared" ref="F11:F16" si="1">SUM(C11:E11)</f>
        <v>9</v>
      </c>
    </row>
    <row r="12" spans="1:6" ht="27.75" customHeight="1">
      <c r="A12" s="1412"/>
      <c r="B12" s="123" t="s">
        <v>1066</v>
      </c>
      <c r="C12" s="744">
        <v>1</v>
      </c>
      <c r="D12" s="744" t="s">
        <v>57</v>
      </c>
      <c r="E12" s="776" t="s">
        <v>57</v>
      </c>
      <c r="F12" s="744">
        <f t="shared" si="1"/>
        <v>1</v>
      </c>
    </row>
    <row r="13" spans="1:6" ht="27.75" customHeight="1">
      <c r="A13" s="1412">
        <v>2013</v>
      </c>
      <c r="B13" s="123" t="s">
        <v>1064</v>
      </c>
      <c r="C13" s="744">
        <v>5</v>
      </c>
      <c r="D13" s="744">
        <v>2</v>
      </c>
      <c r="E13" s="776">
        <v>2</v>
      </c>
      <c r="F13" s="744">
        <f t="shared" si="1"/>
        <v>9</v>
      </c>
    </row>
    <row r="14" spans="1:6" ht="27.75" customHeight="1">
      <c r="A14" s="1412"/>
      <c r="B14" s="123" t="s">
        <v>1066</v>
      </c>
      <c r="C14" s="744">
        <v>1</v>
      </c>
      <c r="D14" s="744" t="s">
        <v>57</v>
      </c>
      <c r="E14" s="776" t="s">
        <v>57</v>
      </c>
      <c r="F14" s="744">
        <f t="shared" si="1"/>
        <v>1</v>
      </c>
    </row>
    <row r="15" spans="1:6" ht="27.75" customHeight="1">
      <c r="A15" s="1412">
        <v>2014</v>
      </c>
      <c r="B15" s="123" t="s">
        <v>1064</v>
      </c>
      <c r="C15" s="744">
        <v>5</v>
      </c>
      <c r="D15" s="744">
        <v>2</v>
      </c>
      <c r="E15" s="776">
        <v>2</v>
      </c>
      <c r="F15" s="744">
        <f t="shared" si="1"/>
        <v>9</v>
      </c>
    </row>
    <row r="16" spans="1:6" ht="27.75" customHeight="1">
      <c r="A16" s="1411"/>
      <c r="B16" s="129" t="s">
        <v>1066</v>
      </c>
      <c r="C16" s="746">
        <v>1</v>
      </c>
      <c r="D16" s="746" t="s">
        <v>57</v>
      </c>
      <c r="E16" s="777" t="s">
        <v>57</v>
      </c>
      <c r="F16" s="746">
        <f t="shared" si="1"/>
        <v>1</v>
      </c>
    </row>
    <row r="17" spans="1:6">
      <c r="B17" s="778"/>
      <c r="C17" s="778"/>
      <c r="D17" s="778"/>
      <c r="E17" s="778"/>
      <c r="F17" s="538" t="s">
        <v>798</v>
      </c>
    </row>
    <row r="18" spans="1:6">
      <c r="B18" s="778"/>
      <c r="C18" s="778"/>
      <c r="D18" s="778"/>
      <c r="E18" s="778"/>
      <c r="F18" s="778"/>
    </row>
    <row r="20" spans="1:6">
      <c r="A20" s="1466" t="s">
        <v>1276</v>
      </c>
      <c r="B20" s="1466"/>
      <c r="C20" s="1466"/>
      <c r="D20" s="1466"/>
      <c r="E20" s="1466"/>
      <c r="F20" s="1466"/>
    </row>
    <row r="21" spans="1:6" ht="35.25" customHeight="1">
      <c r="A21" s="1467" t="str">
        <f>CONCATENATE("Number of Seats in Municipal Corporations, Municipalities and Panchayats  
in the district of ",District!$A$1)</f>
        <v>Number of Seats in Municipal Corporations, Municipalities and Panchayats  
in the district of Purulia</v>
      </c>
      <c r="B21" s="1467"/>
      <c r="C21" s="1467"/>
      <c r="D21" s="1467"/>
      <c r="E21" s="1467"/>
      <c r="F21" s="1467"/>
    </row>
    <row r="22" spans="1:6" ht="16.5">
      <c r="A22" s="217"/>
      <c r="B22" s="217"/>
      <c r="C22" s="217"/>
      <c r="D22" s="217"/>
      <c r="E22" s="217"/>
      <c r="F22" s="780"/>
    </row>
    <row r="23" spans="1:6" ht="38.25" customHeight="1">
      <c r="A23" s="781" t="s">
        <v>951</v>
      </c>
      <c r="B23" s="781" t="s">
        <v>958</v>
      </c>
      <c r="C23" s="781" t="s">
        <v>959</v>
      </c>
      <c r="D23" s="781" t="s">
        <v>226</v>
      </c>
      <c r="E23" s="781" t="s">
        <v>1248</v>
      </c>
      <c r="F23" s="781" t="s">
        <v>1249</v>
      </c>
    </row>
    <row r="24" spans="1:6" ht="23.25" customHeight="1">
      <c r="A24" s="729" t="s">
        <v>1008</v>
      </c>
      <c r="B24" s="729" t="s">
        <v>1009</v>
      </c>
      <c r="C24" s="729" t="s">
        <v>1010</v>
      </c>
      <c r="D24" s="729" t="s">
        <v>1011</v>
      </c>
      <c r="E24" s="729" t="s">
        <v>1015</v>
      </c>
      <c r="F24" s="729" t="s">
        <v>1016</v>
      </c>
    </row>
    <row r="25" spans="1:6" ht="30" customHeight="1">
      <c r="A25" s="782">
        <v>2010</v>
      </c>
      <c r="B25" s="1241" t="s">
        <v>57</v>
      </c>
      <c r="C25" s="1241">
        <v>47</v>
      </c>
      <c r="D25" s="774">
        <v>35</v>
      </c>
      <c r="E25" s="774">
        <v>406</v>
      </c>
      <c r="F25" s="774">
        <v>1736</v>
      </c>
    </row>
    <row r="26" spans="1:6" ht="30" customHeight="1">
      <c r="A26" s="602">
        <v>2011</v>
      </c>
      <c r="B26" s="744" t="s">
        <v>57</v>
      </c>
      <c r="C26" s="744">
        <v>47</v>
      </c>
      <c r="D26" s="744">
        <v>35</v>
      </c>
      <c r="E26" s="744">
        <v>406</v>
      </c>
      <c r="F26" s="744">
        <v>1736</v>
      </c>
    </row>
    <row r="27" spans="1:6" ht="30" customHeight="1">
      <c r="A27" s="602">
        <v>2012</v>
      </c>
      <c r="B27" s="744" t="s">
        <v>57</v>
      </c>
      <c r="C27" s="744">
        <v>47</v>
      </c>
      <c r="D27" s="744">
        <v>35</v>
      </c>
      <c r="E27" s="744">
        <v>406</v>
      </c>
      <c r="F27" s="744">
        <v>1736</v>
      </c>
    </row>
    <row r="28" spans="1:6" ht="30" customHeight="1">
      <c r="A28" s="602">
        <v>2013</v>
      </c>
      <c r="B28" s="744" t="s">
        <v>57</v>
      </c>
      <c r="C28" s="744">
        <v>47</v>
      </c>
      <c r="D28" s="744">
        <v>38</v>
      </c>
      <c r="E28" s="744">
        <v>446</v>
      </c>
      <c r="F28" s="744">
        <v>1944</v>
      </c>
    </row>
    <row r="29" spans="1:6" ht="30" customHeight="1">
      <c r="A29" s="784">
        <v>2014</v>
      </c>
      <c r="B29" s="746" t="s">
        <v>57</v>
      </c>
      <c r="C29" s="746">
        <v>47</v>
      </c>
      <c r="D29" s="746">
        <v>38</v>
      </c>
      <c r="E29" s="746">
        <v>446</v>
      </c>
      <c r="F29" s="746">
        <v>1944</v>
      </c>
    </row>
    <row r="30" spans="1:6" ht="13.5" customHeight="1">
      <c r="D30" s="542" t="s">
        <v>776</v>
      </c>
      <c r="E30" s="540" t="s">
        <v>1124</v>
      </c>
      <c r="F30" s="540"/>
    </row>
    <row r="31" spans="1:6">
      <c r="D31" s="543" t="s">
        <v>782</v>
      </c>
      <c r="E31" s="540" t="s">
        <v>110</v>
      </c>
      <c r="F31" s="540"/>
    </row>
    <row r="32" spans="1:6">
      <c r="D32" s="543" t="s">
        <v>381</v>
      </c>
      <c r="E32" s="540" t="s">
        <v>367</v>
      </c>
      <c r="F32" s="540"/>
    </row>
  </sheetData>
  <mergeCells count="14">
    <mergeCell ref="A1:F1"/>
    <mergeCell ref="A2:F2"/>
    <mergeCell ref="A4:A5"/>
    <mergeCell ref="B4:B5"/>
    <mergeCell ref="C4:C5"/>
    <mergeCell ref="D4:E4"/>
    <mergeCell ref="F4:F5"/>
    <mergeCell ref="A7:A8"/>
    <mergeCell ref="A9:A10"/>
    <mergeCell ref="A11:A12"/>
    <mergeCell ref="A20:F20"/>
    <mergeCell ref="A21:F21"/>
    <mergeCell ref="A13:A14"/>
    <mergeCell ref="A15:A16"/>
  </mergeCells>
  <phoneticPr fontId="0" type="noConversion"/>
  <printOptions horizontalCentered="1" verticalCentered="1"/>
  <pageMargins left="0" right="0" top="0" bottom="0" header="0.5" footer="0.5"/>
  <pageSetup paperSize="9" orientation="portrait" blackAndWhite="1" r:id="rId1"/>
  <headerFooter alignWithMargins="0"/>
</worksheet>
</file>

<file path=xl/worksheets/sheet11.xml><?xml version="1.0" encoding="utf-8"?>
<worksheet xmlns="http://schemas.openxmlformats.org/spreadsheetml/2006/main" xmlns:r="http://schemas.openxmlformats.org/officeDocument/2006/relationships">
  <sheetPr codeName="Sheet10"/>
  <dimension ref="A1:I18"/>
  <sheetViews>
    <sheetView workbookViewId="0">
      <selection activeCell="F14" sqref="F14"/>
    </sheetView>
  </sheetViews>
  <sheetFormatPr defaultRowHeight="12.75"/>
  <cols>
    <col min="1" max="1" width="17.7109375" style="723" customWidth="1"/>
    <col min="2" max="2" width="14.140625" style="723" customWidth="1"/>
    <col min="3" max="3" width="14.5703125" style="723" customWidth="1"/>
    <col min="4" max="5" width="14" style="723" customWidth="1"/>
    <col min="6" max="6" width="14.140625" style="723" customWidth="1"/>
    <col min="7" max="7" width="15.42578125" style="723" customWidth="1"/>
    <col min="8" max="8" width="14.85546875" style="723" customWidth="1"/>
    <col min="9" max="9" width="16.85546875" style="723" customWidth="1"/>
    <col min="10" max="16384" width="9.140625" style="723"/>
  </cols>
  <sheetData>
    <row r="1" spans="1:9">
      <c r="A1" s="1399" t="s">
        <v>632</v>
      </c>
      <c r="B1" s="1399"/>
      <c r="C1" s="1399"/>
      <c r="D1" s="1399"/>
      <c r="E1" s="1399"/>
      <c r="F1" s="1399"/>
      <c r="G1" s="1399"/>
      <c r="H1" s="1399"/>
      <c r="I1" s="1399"/>
    </row>
    <row r="2" spans="1:9" ht="16.5">
      <c r="A2" s="1394" t="str">
        <f>CONCATENATE("Growth of Population by sex on different Census years in the district of ",District!$A$1)</f>
        <v>Growth of Population by sex on different Census years in the district of Purulia</v>
      </c>
      <c r="B2" s="1394"/>
      <c r="C2" s="1394"/>
      <c r="D2" s="1394"/>
      <c r="E2" s="1394"/>
      <c r="F2" s="1394"/>
      <c r="G2" s="1394"/>
      <c r="H2" s="1394"/>
      <c r="I2" s="1394"/>
    </row>
    <row r="3" spans="1:9">
      <c r="B3" s="736"/>
      <c r="C3" s="736"/>
      <c r="D3" s="772"/>
      <c r="E3" s="736"/>
      <c r="F3" s="736"/>
      <c r="I3" s="778" t="s">
        <v>184</v>
      </c>
    </row>
    <row r="4" spans="1:9" ht="44.25" customHeight="1">
      <c r="A4" s="781" t="s">
        <v>951</v>
      </c>
      <c r="B4" s="800" t="s">
        <v>489</v>
      </c>
      <c r="C4" s="721" t="s">
        <v>1069</v>
      </c>
      <c r="D4" s="721" t="s">
        <v>503</v>
      </c>
      <c r="E4" s="721" t="s">
        <v>504</v>
      </c>
      <c r="F4" s="721" t="s">
        <v>1210</v>
      </c>
      <c r="G4" s="721" t="s">
        <v>206</v>
      </c>
      <c r="H4" s="721" t="s">
        <v>207</v>
      </c>
      <c r="I4" s="721" t="s">
        <v>1211</v>
      </c>
    </row>
    <row r="5" spans="1:9" ht="16.5" customHeight="1">
      <c r="A5" s="741" t="s">
        <v>1008</v>
      </c>
      <c r="B5" s="741" t="s">
        <v>1009</v>
      </c>
      <c r="C5" s="729" t="s">
        <v>1010</v>
      </c>
      <c r="D5" s="790" t="s">
        <v>1011</v>
      </c>
      <c r="E5" s="729" t="s">
        <v>1015</v>
      </c>
      <c r="F5" s="790" t="s">
        <v>1016</v>
      </c>
      <c r="G5" s="729" t="s">
        <v>1017</v>
      </c>
      <c r="H5" s="790" t="s">
        <v>1039</v>
      </c>
      <c r="I5" s="729" t="s">
        <v>1040</v>
      </c>
    </row>
    <row r="6" spans="1:9" ht="24" customHeight="1">
      <c r="A6" s="125">
        <v>1901</v>
      </c>
      <c r="B6" s="801">
        <v>777801</v>
      </c>
      <c r="C6" s="744">
        <f t="shared" ref="C6:C17" si="0">ROUND(B6/$B$6*100,0)</f>
        <v>100</v>
      </c>
      <c r="D6" s="802">
        <v>386741</v>
      </c>
      <c r="E6" s="774">
        <f t="shared" ref="E6:E17" si="1">B6-D6</f>
        <v>391060</v>
      </c>
      <c r="F6" s="803">
        <f t="shared" ref="F6:F17" si="2">ROUND(E6/D6*100,0)</f>
        <v>101</v>
      </c>
      <c r="G6" s="804">
        <v>26339</v>
      </c>
      <c r="H6" s="803">
        <v>751462</v>
      </c>
      <c r="I6" s="796">
        <f t="shared" ref="I6:I17" si="3">ROUND(H6/B6*100,2)</f>
        <v>96.61</v>
      </c>
    </row>
    <row r="7" spans="1:9" ht="24" customHeight="1">
      <c r="A7" s="125">
        <v>1911</v>
      </c>
      <c r="B7" s="801">
        <v>884372</v>
      </c>
      <c r="C7" s="744">
        <f t="shared" si="0"/>
        <v>114</v>
      </c>
      <c r="D7" s="802">
        <v>441874</v>
      </c>
      <c r="E7" s="744">
        <f t="shared" si="1"/>
        <v>442498</v>
      </c>
      <c r="F7" s="803">
        <f t="shared" si="2"/>
        <v>100</v>
      </c>
      <c r="G7" s="804">
        <v>30688</v>
      </c>
      <c r="H7" s="803">
        <v>853684</v>
      </c>
      <c r="I7" s="796">
        <f t="shared" si="3"/>
        <v>96.53</v>
      </c>
    </row>
    <row r="8" spans="1:9" ht="24" customHeight="1">
      <c r="A8" s="125">
        <v>1921</v>
      </c>
      <c r="B8" s="801">
        <v>831497</v>
      </c>
      <c r="C8" s="744">
        <f t="shared" si="0"/>
        <v>107</v>
      </c>
      <c r="D8" s="802">
        <v>416347</v>
      </c>
      <c r="E8" s="744">
        <f t="shared" si="1"/>
        <v>415150</v>
      </c>
      <c r="F8" s="803">
        <f t="shared" si="2"/>
        <v>100</v>
      </c>
      <c r="G8" s="804">
        <v>34391</v>
      </c>
      <c r="H8" s="803">
        <f t="shared" ref="H8:H17" si="4">B8-G8</f>
        <v>797106</v>
      </c>
      <c r="I8" s="796">
        <f t="shared" si="3"/>
        <v>95.86</v>
      </c>
    </row>
    <row r="9" spans="1:9" ht="24" customHeight="1">
      <c r="A9" s="125">
        <v>1931</v>
      </c>
      <c r="B9" s="801">
        <v>972077</v>
      </c>
      <c r="C9" s="744">
        <f t="shared" si="0"/>
        <v>125</v>
      </c>
      <c r="D9" s="802">
        <v>488804</v>
      </c>
      <c r="E9" s="744">
        <f t="shared" si="1"/>
        <v>483273</v>
      </c>
      <c r="F9" s="803">
        <f t="shared" si="2"/>
        <v>99</v>
      </c>
      <c r="G9" s="804">
        <v>40037</v>
      </c>
      <c r="H9" s="803">
        <f t="shared" si="4"/>
        <v>932040</v>
      </c>
      <c r="I9" s="796">
        <f t="shared" si="3"/>
        <v>95.88</v>
      </c>
    </row>
    <row r="10" spans="1:9" ht="24" customHeight="1">
      <c r="A10" s="125">
        <v>1941</v>
      </c>
      <c r="B10" s="801">
        <v>1088201</v>
      </c>
      <c r="C10" s="744">
        <f t="shared" si="0"/>
        <v>140</v>
      </c>
      <c r="D10" s="802">
        <v>550477</v>
      </c>
      <c r="E10" s="744">
        <f t="shared" si="1"/>
        <v>537724</v>
      </c>
      <c r="F10" s="803">
        <f t="shared" si="2"/>
        <v>98</v>
      </c>
      <c r="G10" s="804">
        <v>61258</v>
      </c>
      <c r="H10" s="803">
        <f t="shared" si="4"/>
        <v>1026943</v>
      </c>
      <c r="I10" s="796">
        <f t="shared" si="3"/>
        <v>94.37</v>
      </c>
    </row>
    <row r="11" spans="1:9" ht="24" customHeight="1">
      <c r="A11" s="125">
        <v>1951</v>
      </c>
      <c r="B11" s="801">
        <v>1169097</v>
      </c>
      <c r="C11" s="744">
        <f t="shared" si="0"/>
        <v>150</v>
      </c>
      <c r="D11" s="802">
        <v>589507</v>
      </c>
      <c r="E11" s="744">
        <f t="shared" si="1"/>
        <v>579590</v>
      </c>
      <c r="F11" s="803">
        <f t="shared" si="2"/>
        <v>98</v>
      </c>
      <c r="G11" s="804">
        <v>78470</v>
      </c>
      <c r="H11" s="803">
        <f t="shared" si="4"/>
        <v>1090627</v>
      </c>
      <c r="I11" s="796">
        <f t="shared" si="3"/>
        <v>93.29</v>
      </c>
    </row>
    <row r="12" spans="1:9" ht="24" customHeight="1">
      <c r="A12" s="125">
        <v>1961</v>
      </c>
      <c r="B12" s="801">
        <v>1360016</v>
      </c>
      <c r="C12" s="744">
        <f t="shared" si="0"/>
        <v>175</v>
      </c>
      <c r="D12" s="802">
        <v>689351</v>
      </c>
      <c r="E12" s="744">
        <f t="shared" si="1"/>
        <v>670665</v>
      </c>
      <c r="F12" s="803">
        <f t="shared" si="2"/>
        <v>97</v>
      </c>
      <c r="G12" s="804">
        <v>92478</v>
      </c>
      <c r="H12" s="803">
        <f t="shared" si="4"/>
        <v>1267538</v>
      </c>
      <c r="I12" s="796">
        <f t="shared" si="3"/>
        <v>93.2</v>
      </c>
    </row>
    <row r="13" spans="1:9" ht="24" customHeight="1">
      <c r="A13" s="125">
        <v>1971</v>
      </c>
      <c r="B13" s="801">
        <v>1602875</v>
      </c>
      <c r="C13" s="744">
        <f t="shared" si="0"/>
        <v>206</v>
      </c>
      <c r="D13" s="802">
        <v>816544</v>
      </c>
      <c r="E13" s="744">
        <f t="shared" si="1"/>
        <v>786331</v>
      </c>
      <c r="F13" s="803">
        <f t="shared" si="2"/>
        <v>96</v>
      </c>
      <c r="G13" s="804">
        <v>132367</v>
      </c>
      <c r="H13" s="803">
        <f t="shared" si="4"/>
        <v>1470508</v>
      </c>
      <c r="I13" s="796">
        <f t="shared" si="3"/>
        <v>91.74</v>
      </c>
    </row>
    <row r="14" spans="1:9" ht="24" customHeight="1">
      <c r="A14" s="125">
        <v>1981</v>
      </c>
      <c r="B14" s="801">
        <v>1853801</v>
      </c>
      <c r="C14" s="744">
        <f t="shared" si="0"/>
        <v>238</v>
      </c>
      <c r="D14" s="802">
        <v>947195</v>
      </c>
      <c r="E14" s="744">
        <f t="shared" si="1"/>
        <v>906606</v>
      </c>
      <c r="F14" s="803">
        <f t="shared" si="2"/>
        <v>96</v>
      </c>
      <c r="G14" s="804">
        <v>166762</v>
      </c>
      <c r="H14" s="803">
        <f t="shared" si="4"/>
        <v>1687039</v>
      </c>
      <c r="I14" s="796">
        <f t="shared" si="3"/>
        <v>91</v>
      </c>
    </row>
    <row r="15" spans="1:9" ht="24" customHeight="1">
      <c r="A15" s="125">
        <v>1991</v>
      </c>
      <c r="B15" s="801">
        <v>2224577</v>
      </c>
      <c r="C15" s="744">
        <f t="shared" si="0"/>
        <v>286</v>
      </c>
      <c r="D15" s="802">
        <v>1142771</v>
      </c>
      <c r="E15" s="744">
        <f t="shared" si="1"/>
        <v>1081806</v>
      </c>
      <c r="F15" s="803">
        <f t="shared" si="2"/>
        <v>95</v>
      </c>
      <c r="G15" s="804">
        <v>210006</v>
      </c>
      <c r="H15" s="803">
        <f t="shared" si="4"/>
        <v>2014571</v>
      </c>
      <c r="I15" s="796">
        <f t="shared" si="3"/>
        <v>90.56</v>
      </c>
    </row>
    <row r="16" spans="1:9" ht="24" customHeight="1">
      <c r="A16" s="125">
        <v>2001</v>
      </c>
      <c r="B16" s="801">
        <v>2536516</v>
      </c>
      <c r="C16" s="744">
        <f t="shared" si="0"/>
        <v>326</v>
      </c>
      <c r="D16" s="805">
        <v>1298078</v>
      </c>
      <c r="E16" s="744">
        <f t="shared" si="1"/>
        <v>1238438</v>
      </c>
      <c r="F16" s="795">
        <f t="shared" si="2"/>
        <v>95</v>
      </c>
      <c r="G16" s="804">
        <v>255426</v>
      </c>
      <c r="H16" s="795">
        <f t="shared" si="4"/>
        <v>2281090</v>
      </c>
      <c r="I16" s="796">
        <f t="shared" si="3"/>
        <v>89.93</v>
      </c>
    </row>
    <row r="17" spans="1:9" s="736" customFormat="1" ht="24" customHeight="1">
      <c r="A17" s="128">
        <v>2011</v>
      </c>
      <c r="B17" s="806">
        <v>2930115</v>
      </c>
      <c r="C17" s="807">
        <f t="shared" si="0"/>
        <v>377</v>
      </c>
      <c r="D17" s="806">
        <v>1496996</v>
      </c>
      <c r="E17" s="807">
        <f t="shared" si="1"/>
        <v>1433119</v>
      </c>
      <c r="F17" s="807">
        <f t="shared" si="2"/>
        <v>96</v>
      </c>
      <c r="G17" s="808">
        <v>373314</v>
      </c>
      <c r="H17" s="746">
        <f t="shared" si="4"/>
        <v>2556801</v>
      </c>
      <c r="I17" s="809">
        <f t="shared" si="3"/>
        <v>87.26</v>
      </c>
    </row>
    <row r="18" spans="1:9">
      <c r="I18" s="542" t="s">
        <v>19</v>
      </c>
    </row>
  </sheetData>
  <mergeCells count="2">
    <mergeCell ref="A1:I1"/>
    <mergeCell ref="A2:I2"/>
  </mergeCells>
  <phoneticPr fontId="0" type="noConversion"/>
  <printOptions horizontalCentered="1" verticalCentered="1"/>
  <pageMargins left="0.1" right="0.1" top="0.15" bottom="0.1" header="0.15" footer="0.1"/>
  <pageSetup paperSize="9" orientation="landscape" blackAndWhite="1" r:id="rId1"/>
  <headerFooter alignWithMargins="0"/>
</worksheet>
</file>

<file path=xl/worksheets/sheet12.xml><?xml version="1.0" encoding="utf-8"?>
<worksheet xmlns="http://schemas.openxmlformats.org/spreadsheetml/2006/main" xmlns:r="http://schemas.openxmlformats.org/officeDocument/2006/relationships">
  <sheetPr codeName="Sheet42"/>
  <dimension ref="A1:J34"/>
  <sheetViews>
    <sheetView workbookViewId="0">
      <selection activeCell="F14" sqref="F14"/>
    </sheetView>
  </sheetViews>
  <sheetFormatPr defaultRowHeight="12.75"/>
  <cols>
    <col min="1" max="1" width="27.28515625" style="723" customWidth="1"/>
    <col min="2" max="2" width="10.42578125" style="723" customWidth="1"/>
    <col min="3" max="3" width="10.85546875" style="723" customWidth="1"/>
    <col min="4" max="5" width="10.7109375" style="723" customWidth="1"/>
    <col min="6" max="6" width="10.85546875" style="723" customWidth="1"/>
    <col min="7" max="7" width="10" style="723" customWidth="1"/>
    <col min="8" max="9" width="11.7109375" style="723" customWidth="1"/>
    <col min="10" max="10" width="12.140625" style="723" customWidth="1"/>
    <col min="11" max="16384" width="9.140625" style="723"/>
  </cols>
  <sheetData>
    <row r="1" spans="1:10" ht="14.25" customHeight="1">
      <c r="A1" s="1399" t="s">
        <v>633</v>
      </c>
      <c r="B1" s="1399"/>
      <c r="C1" s="1399"/>
      <c r="D1" s="1399"/>
      <c r="E1" s="1399"/>
      <c r="F1" s="1399"/>
      <c r="G1" s="1399"/>
      <c r="H1" s="1399"/>
      <c r="I1" s="1399"/>
      <c r="J1" s="1399"/>
    </row>
    <row r="2" spans="1:10" ht="16.5">
      <c r="A2" s="1394" t="s">
        <v>1050</v>
      </c>
      <c r="B2" s="1394"/>
      <c r="C2" s="1394"/>
      <c r="D2" s="1394"/>
      <c r="E2" s="1394"/>
      <c r="F2" s="1394"/>
      <c r="G2" s="1394"/>
      <c r="H2" s="1394"/>
      <c r="I2" s="1394"/>
      <c r="J2" s="1394"/>
    </row>
    <row r="3" spans="1:10">
      <c r="B3" s="772"/>
      <c r="C3" s="772"/>
      <c r="D3" s="772"/>
      <c r="E3" s="772"/>
      <c r="F3" s="772"/>
      <c r="G3" s="772"/>
      <c r="H3" s="772"/>
      <c r="I3" s="772"/>
      <c r="J3" s="738" t="s">
        <v>1058</v>
      </c>
    </row>
    <row r="4" spans="1:10" ht="15" customHeight="1">
      <c r="A4" s="1408" t="s">
        <v>1215</v>
      </c>
      <c r="B4" s="1469" t="s">
        <v>208</v>
      </c>
      <c r="C4" s="1469"/>
      <c r="D4" s="1470"/>
      <c r="E4" s="1468" t="s">
        <v>206</v>
      </c>
      <c r="F4" s="1469"/>
      <c r="G4" s="1470"/>
      <c r="H4" s="1468" t="s">
        <v>1115</v>
      </c>
      <c r="I4" s="1469"/>
      <c r="J4" s="1470"/>
    </row>
    <row r="5" spans="1:10" ht="15" customHeight="1">
      <c r="A5" s="1409"/>
      <c r="B5" s="123" t="s">
        <v>1070</v>
      </c>
      <c r="C5" s="491" t="s">
        <v>1071</v>
      </c>
      <c r="D5" s="124" t="s">
        <v>1035</v>
      </c>
      <c r="E5" s="125" t="s">
        <v>1070</v>
      </c>
      <c r="F5" s="491" t="s">
        <v>1071</v>
      </c>
      <c r="G5" s="124" t="s">
        <v>1035</v>
      </c>
      <c r="H5" s="125" t="s">
        <v>1070</v>
      </c>
      <c r="I5" s="491" t="s">
        <v>1071</v>
      </c>
      <c r="J5" s="124" t="s">
        <v>1035</v>
      </c>
    </row>
    <row r="6" spans="1:10" ht="16.5" customHeight="1">
      <c r="A6" s="641" t="s">
        <v>1008</v>
      </c>
      <c r="B6" s="790" t="s">
        <v>1009</v>
      </c>
      <c r="C6" s="729" t="s">
        <v>1010</v>
      </c>
      <c r="D6" s="742" t="s">
        <v>1011</v>
      </c>
      <c r="E6" s="741" t="s">
        <v>1015</v>
      </c>
      <c r="F6" s="729" t="s">
        <v>1016</v>
      </c>
      <c r="G6" s="742" t="s">
        <v>1017</v>
      </c>
      <c r="H6" s="741" t="s">
        <v>1039</v>
      </c>
      <c r="I6" s="729" t="s">
        <v>1040</v>
      </c>
      <c r="J6" s="742" t="s">
        <v>1041</v>
      </c>
    </row>
    <row r="7" spans="1:10" ht="16.5" customHeight="1">
      <c r="A7" s="810" t="s">
        <v>619</v>
      </c>
      <c r="B7" s="811">
        <f>SUM(B8:B15)</f>
        <v>423087</v>
      </c>
      <c r="C7" s="812">
        <f>SUM(C8:C15)</f>
        <v>405377</v>
      </c>
      <c r="D7" s="813">
        <f>IF(SUM(B7,C7)=0,"-",SUM(B7,C7))</f>
        <v>828464</v>
      </c>
      <c r="E7" s="811">
        <f>SUM(E8:E15)</f>
        <v>24612</v>
      </c>
      <c r="F7" s="812">
        <f>SUM(F8:F15)</f>
        <v>22651</v>
      </c>
      <c r="G7" s="813">
        <f t="shared" ref="G7:G32" si="0">IF(SUM(E7,F7)=0,"-",SUM(E7,F7))</f>
        <v>47263</v>
      </c>
      <c r="H7" s="814">
        <f t="shared" ref="H7:H32" si="1">IF(SUM(B7,E7)=0,"-",SUM(B7,E7))</f>
        <v>447699</v>
      </c>
      <c r="I7" s="815">
        <f t="shared" ref="I7:I32" si="2">IF(SUM(C7,F7)=0,"-",SUM(C7,F7))</f>
        <v>428028</v>
      </c>
      <c r="J7" s="813">
        <f t="shared" ref="J7:J32" si="3">IF(SUM(H7,I7)=0,"-",SUM(H7,I7))</f>
        <v>875727</v>
      </c>
    </row>
    <row r="8" spans="1:10" ht="16.5" customHeight="1">
      <c r="A8" s="816" t="s">
        <v>26</v>
      </c>
      <c r="B8" s="803">
        <v>65917</v>
      </c>
      <c r="C8" s="744">
        <v>63231</v>
      </c>
      <c r="D8" s="817">
        <f t="shared" ref="D8:D32" si="4">IF(SUM(B8,C8)=0,"-",SUM(B8,C8))</f>
        <v>129148</v>
      </c>
      <c r="E8" s="803" t="s">
        <v>57</v>
      </c>
      <c r="F8" s="744" t="s">
        <v>57</v>
      </c>
      <c r="G8" s="817" t="str">
        <f t="shared" si="0"/>
        <v>-</v>
      </c>
      <c r="H8" s="818">
        <f t="shared" si="1"/>
        <v>65917</v>
      </c>
      <c r="I8" s="819">
        <f t="shared" si="2"/>
        <v>63231</v>
      </c>
      <c r="J8" s="817">
        <f t="shared" si="3"/>
        <v>129148</v>
      </c>
    </row>
    <row r="9" spans="1:10" ht="16.5" customHeight="1">
      <c r="A9" s="816" t="s">
        <v>27</v>
      </c>
      <c r="B9" s="803">
        <v>57599</v>
      </c>
      <c r="C9" s="744">
        <v>54849</v>
      </c>
      <c r="D9" s="817">
        <f t="shared" si="4"/>
        <v>112448</v>
      </c>
      <c r="E9" s="803" t="s">
        <v>57</v>
      </c>
      <c r="F9" s="744" t="s">
        <v>57</v>
      </c>
      <c r="G9" s="817" t="str">
        <f t="shared" si="0"/>
        <v>-</v>
      </c>
      <c r="H9" s="818">
        <f t="shared" si="1"/>
        <v>57599</v>
      </c>
      <c r="I9" s="819">
        <f t="shared" si="2"/>
        <v>54849</v>
      </c>
      <c r="J9" s="817">
        <f t="shared" si="3"/>
        <v>112448</v>
      </c>
    </row>
    <row r="10" spans="1:10" ht="16.5" customHeight="1">
      <c r="A10" s="816" t="s">
        <v>53</v>
      </c>
      <c r="B10" s="803">
        <v>49152</v>
      </c>
      <c r="C10" s="744">
        <v>47123</v>
      </c>
      <c r="D10" s="817">
        <f t="shared" si="4"/>
        <v>96275</v>
      </c>
      <c r="E10" s="803">
        <v>11294</v>
      </c>
      <c r="F10" s="744">
        <v>10533</v>
      </c>
      <c r="G10" s="817">
        <f t="shared" si="0"/>
        <v>21827</v>
      </c>
      <c r="H10" s="818">
        <f t="shared" si="1"/>
        <v>60446</v>
      </c>
      <c r="I10" s="819">
        <f t="shared" si="2"/>
        <v>57656</v>
      </c>
      <c r="J10" s="817">
        <f t="shared" si="3"/>
        <v>118102</v>
      </c>
    </row>
    <row r="11" spans="1:10" ht="16.5" customHeight="1">
      <c r="A11" s="816" t="s">
        <v>28</v>
      </c>
      <c r="B11" s="803">
        <v>70205</v>
      </c>
      <c r="C11" s="744">
        <v>69158</v>
      </c>
      <c r="D11" s="817">
        <f t="shared" si="4"/>
        <v>139363</v>
      </c>
      <c r="E11" s="803">
        <v>4003</v>
      </c>
      <c r="F11" s="744">
        <v>3561</v>
      </c>
      <c r="G11" s="817">
        <f t="shared" si="0"/>
        <v>7564</v>
      </c>
      <c r="H11" s="818">
        <f t="shared" si="1"/>
        <v>74208</v>
      </c>
      <c r="I11" s="819">
        <f t="shared" si="2"/>
        <v>72719</v>
      </c>
      <c r="J11" s="817">
        <f t="shared" si="3"/>
        <v>146927</v>
      </c>
    </row>
    <row r="12" spans="1:10" ht="16.5" customHeight="1">
      <c r="A12" s="816" t="s">
        <v>29</v>
      </c>
      <c r="B12" s="803">
        <v>58186</v>
      </c>
      <c r="C12" s="744">
        <v>53582</v>
      </c>
      <c r="D12" s="817">
        <f t="shared" si="4"/>
        <v>111768</v>
      </c>
      <c r="E12" s="803" t="s">
        <v>57</v>
      </c>
      <c r="F12" s="744" t="s">
        <v>57</v>
      </c>
      <c r="G12" s="817" t="str">
        <f t="shared" si="0"/>
        <v>-</v>
      </c>
      <c r="H12" s="818">
        <f t="shared" si="1"/>
        <v>58186</v>
      </c>
      <c r="I12" s="819">
        <f t="shared" si="2"/>
        <v>53582</v>
      </c>
      <c r="J12" s="817">
        <f t="shared" si="3"/>
        <v>111768</v>
      </c>
    </row>
    <row r="13" spans="1:10" ht="16.5" customHeight="1">
      <c r="A13" s="816" t="s">
        <v>48</v>
      </c>
      <c r="B13" s="803">
        <v>58793</v>
      </c>
      <c r="C13" s="744">
        <v>56955</v>
      </c>
      <c r="D13" s="817">
        <f t="shared" si="4"/>
        <v>115748</v>
      </c>
      <c r="E13" s="803" t="s">
        <v>57</v>
      </c>
      <c r="F13" s="744" t="s">
        <v>57</v>
      </c>
      <c r="G13" s="817" t="str">
        <f t="shared" si="0"/>
        <v>-</v>
      </c>
      <c r="H13" s="818">
        <f t="shared" si="1"/>
        <v>58793</v>
      </c>
      <c r="I13" s="819">
        <f t="shared" si="2"/>
        <v>56955</v>
      </c>
      <c r="J13" s="817">
        <f t="shared" si="3"/>
        <v>115748</v>
      </c>
    </row>
    <row r="14" spans="1:10" ht="16.5" customHeight="1">
      <c r="A14" s="816" t="s">
        <v>54</v>
      </c>
      <c r="B14" s="803">
        <v>63235</v>
      </c>
      <c r="C14" s="744">
        <v>60479</v>
      </c>
      <c r="D14" s="817">
        <f t="shared" si="4"/>
        <v>123714</v>
      </c>
      <c r="E14" s="803" t="s">
        <v>57</v>
      </c>
      <c r="F14" s="744" t="s">
        <v>57</v>
      </c>
      <c r="G14" s="817" t="str">
        <f t="shared" si="0"/>
        <v>-</v>
      </c>
      <c r="H14" s="818">
        <f t="shared" si="1"/>
        <v>63235</v>
      </c>
      <c r="I14" s="819">
        <f t="shared" si="2"/>
        <v>60479</v>
      </c>
      <c r="J14" s="817">
        <f t="shared" si="3"/>
        <v>123714</v>
      </c>
    </row>
    <row r="15" spans="1:10" ht="16.5" customHeight="1">
      <c r="A15" s="816" t="s">
        <v>49</v>
      </c>
      <c r="B15" s="805" t="s">
        <v>57</v>
      </c>
      <c r="C15" s="804" t="s">
        <v>57</v>
      </c>
      <c r="D15" s="817" t="str">
        <f t="shared" si="4"/>
        <v>-</v>
      </c>
      <c r="E15" s="801">
        <v>9315</v>
      </c>
      <c r="F15" s="804">
        <v>8557</v>
      </c>
      <c r="G15" s="817">
        <f t="shared" si="0"/>
        <v>17872</v>
      </c>
      <c r="H15" s="818">
        <f t="shared" si="1"/>
        <v>9315</v>
      </c>
      <c r="I15" s="819">
        <f t="shared" si="2"/>
        <v>8557</v>
      </c>
      <c r="J15" s="817">
        <f t="shared" si="3"/>
        <v>17872</v>
      </c>
    </row>
    <row r="16" spans="1:10" ht="16.5" customHeight="1">
      <c r="A16" s="820" t="s">
        <v>50</v>
      </c>
      <c r="B16" s="811">
        <f>SUM(B17:B24)</f>
        <v>407198</v>
      </c>
      <c r="C16" s="812">
        <f>SUM(C17:C24)</f>
        <v>392947</v>
      </c>
      <c r="D16" s="813">
        <f t="shared" si="4"/>
        <v>800145</v>
      </c>
      <c r="E16" s="811">
        <f>SUM(E17:E24)</f>
        <v>59092</v>
      </c>
      <c r="F16" s="812">
        <f>SUM(F17:F24)</f>
        <v>54714</v>
      </c>
      <c r="G16" s="813">
        <f t="shared" si="0"/>
        <v>113806</v>
      </c>
      <c r="H16" s="814">
        <f t="shared" si="1"/>
        <v>466290</v>
      </c>
      <c r="I16" s="815">
        <f t="shared" si="2"/>
        <v>447661</v>
      </c>
      <c r="J16" s="813">
        <f t="shared" si="3"/>
        <v>913951</v>
      </c>
    </row>
    <row r="17" spans="1:10" ht="16.5" customHeight="1">
      <c r="A17" s="816" t="s">
        <v>33</v>
      </c>
      <c r="B17" s="803">
        <v>42281</v>
      </c>
      <c r="C17" s="744">
        <v>41413</v>
      </c>
      <c r="D17" s="817">
        <f t="shared" si="4"/>
        <v>83694</v>
      </c>
      <c r="E17" s="803" t="s">
        <v>57</v>
      </c>
      <c r="F17" s="744" t="s">
        <v>57</v>
      </c>
      <c r="G17" s="817" t="str">
        <f t="shared" si="0"/>
        <v>-</v>
      </c>
      <c r="H17" s="818">
        <f t="shared" si="1"/>
        <v>42281</v>
      </c>
      <c r="I17" s="819">
        <f t="shared" si="2"/>
        <v>41413</v>
      </c>
      <c r="J17" s="817">
        <f t="shared" si="3"/>
        <v>83694</v>
      </c>
    </row>
    <row r="18" spans="1:10" ht="16.5" customHeight="1">
      <c r="A18" s="816" t="s">
        <v>34</v>
      </c>
      <c r="B18" s="803">
        <v>64453</v>
      </c>
      <c r="C18" s="744">
        <v>62990</v>
      </c>
      <c r="D18" s="817">
        <f t="shared" si="4"/>
        <v>127443</v>
      </c>
      <c r="E18" s="803" t="s">
        <v>57</v>
      </c>
      <c r="F18" s="744" t="s">
        <v>57</v>
      </c>
      <c r="G18" s="817" t="str">
        <f t="shared" si="0"/>
        <v>-</v>
      </c>
      <c r="H18" s="818">
        <f t="shared" si="1"/>
        <v>64453</v>
      </c>
      <c r="I18" s="819">
        <f t="shared" si="2"/>
        <v>62990</v>
      </c>
      <c r="J18" s="817">
        <f t="shared" si="3"/>
        <v>127443</v>
      </c>
    </row>
    <row r="19" spans="1:10" ht="16.5" customHeight="1">
      <c r="A19" s="816" t="s">
        <v>55</v>
      </c>
      <c r="B19" s="803">
        <v>64280</v>
      </c>
      <c r="C19" s="744">
        <v>63321</v>
      </c>
      <c r="D19" s="817">
        <f t="shared" si="4"/>
        <v>127601</v>
      </c>
      <c r="E19" s="803" t="s">
        <v>57</v>
      </c>
      <c r="F19" s="744" t="s">
        <v>57</v>
      </c>
      <c r="G19" s="817" t="str">
        <f t="shared" si="0"/>
        <v>-</v>
      </c>
      <c r="H19" s="818">
        <f t="shared" si="1"/>
        <v>64280</v>
      </c>
      <c r="I19" s="819">
        <f t="shared" si="2"/>
        <v>63321</v>
      </c>
      <c r="J19" s="817">
        <f t="shared" si="3"/>
        <v>127601</v>
      </c>
    </row>
    <row r="20" spans="1:10" ht="16.5" customHeight="1">
      <c r="A20" s="816" t="s">
        <v>56</v>
      </c>
      <c r="B20" s="803">
        <v>43361</v>
      </c>
      <c r="C20" s="744">
        <v>41892</v>
      </c>
      <c r="D20" s="817">
        <f t="shared" si="4"/>
        <v>85253</v>
      </c>
      <c r="E20" s="803" t="s">
        <v>57</v>
      </c>
      <c r="F20" s="744" t="s">
        <v>57</v>
      </c>
      <c r="G20" s="817" t="str">
        <f t="shared" si="0"/>
        <v>-</v>
      </c>
      <c r="H20" s="818">
        <f t="shared" si="1"/>
        <v>43361</v>
      </c>
      <c r="I20" s="819">
        <f t="shared" si="2"/>
        <v>41892</v>
      </c>
      <c r="J20" s="817">
        <f t="shared" si="3"/>
        <v>85253</v>
      </c>
    </row>
    <row r="21" spans="1:10" ht="16.5" customHeight="1">
      <c r="A21" s="816" t="s">
        <v>45</v>
      </c>
      <c r="B21" s="803">
        <v>54642</v>
      </c>
      <c r="C21" s="744">
        <v>53487</v>
      </c>
      <c r="D21" s="817">
        <f t="shared" si="4"/>
        <v>108129</v>
      </c>
      <c r="E21" s="803" t="s">
        <v>57</v>
      </c>
      <c r="F21" s="744" t="s">
        <v>57</v>
      </c>
      <c r="G21" s="817" t="str">
        <f t="shared" si="0"/>
        <v>-</v>
      </c>
      <c r="H21" s="818">
        <f t="shared" si="1"/>
        <v>54642</v>
      </c>
      <c r="I21" s="819">
        <f t="shared" si="2"/>
        <v>53487</v>
      </c>
      <c r="J21" s="817">
        <f t="shared" si="3"/>
        <v>108129</v>
      </c>
    </row>
    <row r="22" spans="1:10" ht="16.5" customHeight="1">
      <c r="A22" s="816" t="s">
        <v>46</v>
      </c>
      <c r="B22" s="803">
        <v>64798</v>
      </c>
      <c r="C22" s="744">
        <v>60520</v>
      </c>
      <c r="D22" s="817">
        <f t="shared" si="4"/>
        <v>125318</v>
      </c>
      <c r="E22" s="803" t="s">
        <v>57</v>
      </c>
      <c r="F22" s="744" t="s">
        <v>57</v>
      </c>
      <c r="G22" s="817" t="str">
        <f t="shared" si="0"/>
        <v>-</v>
      </c>
      <c r="H22" s="818">
        <f t="shared" si="1"/>
        <v>64798</v>
      </c>
      <c r="I22" s="819">
        <f t="shared" si="2"/>
        <v>60520</v>
      </c>
      <c r="J22" s="817">
        <f t="shared" si="3"/>
        <v>125318</v>
      </c>
    </row>
    <row r="23" spans="1:10" ht="16.5" customHeight="1">
      <c r="A23" s="816" t="s">
        <v>47</v>
      </c>
      <c r="B23" s="803">
        <v>73383</v>
      </c>
      <c r="C23" s="744">
        <v>69324</v>
      </c>
      <c r="D23" s="817">
        <f t="shared" si="4"/>
        <v>142707</v>
      </c>
      <c r="E23" s="803" t="s">
        <v>57</v>
      </c>
      <c r="F23" s="744" t="s">
        <v>57</v>
      </c>
      <c r="G23" s="817" t="str">
        <f t="shared" si="0"/>
        <v>-</v>
      </c>
      <c r="H23" s="818">
        <f t="shared" si="1"/>
        <v>73383</v>
      </c>
      <c r="I23" s="819">
        <f t="shared" si="2"/>
        <v>69324</v>
      </c>
      <c r="J23" s="817">
        <f t="shared" si="3"/>
        <v>142707</v>
      </c>
    </row>
    <row r="24" spans="1:10" ht="16.5" customHeight="1">
      <c r="A24" s="816" t="s">
        <v>58</v>
      </c>
      <c r="B24" s="803" t="s">
        <v>57</v>
      </c>
      <c r="C24" s="744" t="s">
        <v>57</v>
      </c>
      <c r="D24" s="817" t="str">
        <f t="shared" si="4"/>
        <v>-</v>
      </c>
      <c r="E24" s="803">
        <v>59092</v>
      </c>
      <c r="F24" s="744">
        <v>54714</v>
      </c>
      <c r="G24" s="817">
        <f t="shared" si="0"/>
        <v>113806</v>
      </c>
      <c r="H24" s="818">
        <f t="shared" si="1"/>
        <v>59092</v>
      </c>
      <c r="I24" s="819">
        <f t="shared" si="2"/>
        <v>54714</v>
      </c>
      <c r="J24" s="817">
        <f t="shared" si="3"/>
        <v>113806</v>
      </c>
    </row>
    <row r="25" spans="1:10" ht="16.5" customHeight="1">
      <c r="A25" s="821" t="s">
        <v>51</v>
      </c>
      <c r="B25" s="811">
        <f>SUM(B26:B32)</f>
        <v>334769</v>
      </c>
      <c r="C25" s="812">
        <f>SUM(C26:C32)</f>
        <v>317712</v>
      </c>
      <c r="D25" s="813">
        <f t="shared" si="4"/>
        <v>652481</v>
      </c>
      <c r="E25" s="811">
        <f>SUM(E26:E32)</f>
        <v>49320</v>
      </c>
      <c r="F25" s="812">
        <f>SUM(F26:F32)</f>
        <v>45037</v>
      </c>
      <c r="G25" s="813">
        <f t="shared" si="0"/>
        <v>94357</v>
      </c>
      <c r="H25" s="814">
        <f t="shared" si="1"/>
        <v>384089</v>
      </c>
      <c r="I25" s="815">
        <f t="shared" si="2"/>
        <v>362749</v>
      </c>
      <c r="J25" s="813">
        <f t="shared" si="3"/>
        <v>746838</v>
      </c>
    </row>
    <row r="26" spans="1:10" ht="16.5" customHeight="1">
      <c r="A26" s="816" t="s">
        <v>36</v>
      </c>
      <c r="B26" s="803">
        <v>83878</v>
      </c>
      <c r="C26" s="744">
        <v>81129</v>
      </c>
      <c r="D26" s="817">
        <f t="shared" si="4"/>
        <v>165007</v>
      </c>
      <c r="E26" s="803">
        <v>11377</v>
      </c>
      <c r="F26" s="744">
        <v>10654</v>
      </c>
      <c r="G26" s="817">
        <f t="shared" si="0"/>
        <v>22031</v>
      </c>
      <c r="H26" s="818">
        <f t="shared" si="1"/>
        <v>95255</v>
      </c>
      <c r="I26" s="819">
        <f t="shared" si="2"/>
        <v>91783</v>
      </c>
      <c r="J26" s="817">
        <f t="shared" si="3"/>
        <v>187038</v>
      </c>
    </row>
    <row r="27" spans="1:10" ht="16.5" customHeight="1">
      <c r="A27" s="816" t="s">
        <v>37</v>
      </c>
      <c r="B27" s="803">
        <v>40175</v>
      </c>
      <c r="C27" s="744">
        <v>37579</v>
      </c>
      <c r="D27" s="817">
        <f t="shared" si="4"/>
        <v>77754</v>
      </c>
      <c r="E27" s="803">
        <v>6795</v>
      </c>
      <c r="F27" s="744">
        <v>6100</v>
      </c>
      <c r="G27" s="817">
        <f t="shared" si="0"/>
        <v>12895</v>
      </c>
      <c r="H27" s="818">
        <f t="shared" si="1"/>
        <v>46970</v>
      </c>
      <c r="I27" s="819">
        <f t="shared" si="2"/>
        <v>43679</v>
      </c>
      <c r="J27" s="817">
        <f t="shared" si="3"/>
        <v>90649</v>
      </c>
    </row>
    <row r="28" spans="1:10" ht="16.5" customHeight="1">
      <c r="A28" s="816" t="s">
        <v>38</v>
      </c>
      <c r="B28" s="803">
        <v>83854</v>
      </c>
      <c r="C28" s="744">
        <v>78842</v>
      </c>
      <c r="D28" s="817">
        <f t="shared" si="4"/>
        <v>162696</v>
      </c>
      <c r="E28" s="803">
        <v>6437</v>
      </c>
      <c r="F28" s="744">
        <v>5487</v>
      </c>
      <c r="G28" s="817">
        <f t="shared" si="0"/>
        <v>11924</v>
      </c>
      <c r="H28" s="818">
        <f t="shared" si="1"/>
        <v>90291</v>
      </c>
      <c r="I28" s="819">
        <f t="shared" si="2"/>
        <v>84329</v>
      </c>
      <c r="J28" s="817">
        <f t="shared" si="3"/>
        <v>174620</v>
      </c>
    </row>
    <row r="29" spans="1:10" ht="16.5" customHeight="1">
      <c r="A29" s="816" t="s">
        <v>40</v>
      </c>
      <c r="B29" s="803">
        <v>43124</v>
      </c>
      <c r="C29" s="744">
        <v>40738</v>
      </c>
      <c r="D29" s="817">
        <f t="shared" si="4"/>
        <v>83862</v>
      </c>
      <c r="E29" s="803">
        <v>10321</v>
      </c>
      <c r="F29" s="744">
        <v>9603</v>
      </c>
      <c r="G29" s="817">
        <f t="shared" si="0"/>
        <v>19924</v>
      </c>
      <c r="H29" s="818">
        <f t="shared" si="1"/>
        <v>53445</v>
      </c>
      <c r="I29" s="819">
        <f t="shared" si="2"/>
        <v>50341</v>
      </c>
      <c r="J29" s="817">
        <f t="shared" si="3"/>
        <v>103786</v>
      </c>
    </row>
    <row r="30" spans="1:10" ht="16.5" customHeight="1">
      <c r="A30" s="816" t="s">
        <v>52</v>
      </c>
      <c r="B30" s="803">
        <v>47924</v>
      </c>
      <c r="C30" s="744">
        <v>45651</v>
      </c>
      <c r="D30" s="817">
        <f t="shared" si="4"/>
        <v>93575</v>
      </c>
      <c r="E30" s="803">
        <v>3001</v>
      </c>
      <c r="F30" s="744">
        <v>2650</v>
      </c>
      <c r="G30" s="817">
        <f t="shared" si="0"/>
        <v>5651</v>
      </c>
      <c r="H30" s="818">
        <f t="shared" si="1"/>
        <v>50925</v>
      </c>
      <c r="I30" s="819">
        <f t="shared" si="2"/>
        <v>48301</v>
      </c>
      <c r="J30" s="817">
        <f t="shared" si="3"/>
        <v>99226</v>
      </c>
    </row>
    <row r="31" spans="1:10" ht="16.5" customHeight="1">
      <c r="A31" s="816" t="s">
        <v>41</v>
      </c>
      <c r="B31" s="803" t="s">
        <v>57</v>
      </c>
      <c r="C31" s="744" t="s">
        <v>57</v>
      </c>
      <c r="D31" s="817" t="str">
        <f t="shared" si="4"/>
        <v>-</v>
      </c>
      <c r="E31" s="803">
        <v>11389</v>
      </c>
      <c r="F31" s="744">
        <v>10543</v>
      </c>
      <c r="G31" s="817">
        <f t="shared" si="0"/>
        <v>21932</v>
      </c>
      <c r="H31" s="818">
        <f t="shared" si="1"/>
        <v>11389</v>
      </c>
      <c r="I31" s="819">
        <f t="shared" si="2"/>
        <v>10543</v>
      </c>
      <c r="J31" s="817">
        <f t="shared" si="3"/>
        <v>21932</v>
      </c>
    </row>
    <row r="32" spans="1:10" ht="16.5" customHeight="1">
      <c r="A32" s="816" t="s">
        <v>39</v>
      </c>
      <c r="B32" s="803">
        <v>35814</v>
      </c>
      <c r="C32" s="744">
        <v>33773</v>
      </c>
      <c r="D32" s="817">
        <f t="shared" si="4"/>
        <v>69587</v>
      </c>
      <c r="E32" s="803" t="s">
        <v>57</v>
      </c>
      <c r="F32" s="744" t="s">
        <v>57</v>
      </c>
      <c r="G32" s="817" t="str">
        <f t="shared" si="0"/>
        <v>-</v>
      </c>
      <c r="H32" s="818">
        <f t="shared" si="1"/>
        <v>35814</v>
      </c>
      <c r="I32" s="819">
        <f t="shared" si="2"/>
        <v>33773</v>
      </c>
      <c r="J32" s="817">
        <f t="shared" si="3"/>
        <v>69587</v>
      </c>
    </row>
    <row r="33" spans="1:10" ht="18" customHeight="1">
      <c r="A33" s="822" t="s">
        <v>302</v>
      </c>
      <c r="B33" s="748">
        <f t="shared" ref="B33:J33" si="5">SUM(B7,B16,B25)</f>
        <v>1165054</v>
      </c>
      <c r="C33" s="735">
        <f t="shared" si="5"/>
        <v>1116036</v>
      </c>
      <c r="D33" s="499">
        <f t="shared" si="5"/>
        <v>2281090</v>
      </c>
      <c r="E33" s="498">
        <f t="shared" si="5"/>
        <v>133024</v>
      </c>
      <c r="F33" s="735">
        <f t="shared" si="5"/>
        <v>122402</v>
      </c>
      <c r="G33" s="499">
        <f t="shared" si="5"/>
        <v>255426</v>
      </c>
      <c r="H33" s="498">
        <f t="shared" si="5"/>
        <v>1298078</v>
      </c>
      <c r="I33" s="735">
        <f t="shared" si="5"/>
        <v>1238438</v>
      </c>
      <c r="J33" s="499">
        <f t="shared" si="5"/>
        <v>2536516</v>
      </c>
    </row>
    <row r="34" spans="1:10">
      <c r="H34" s="5"/>
      <c r="I34" s="5"/>
      <c r="J34" s="542" t="s">
        <v>1164</v>
      </c>
    </row>
  </sheetData>
  <mergeCells count="6">
    <mergeCell ref="A1:J1"/>
    <mergeCell ref="A2:J2"/>
    <mergeCell ref="E4:G4"/>
    <mergeCell ref="H4:J4"/>
    <mergeCell ref="A4:A5"/>
    <mergeCell ref="B4:D4"/>
  </mergeCells>
  <phoneticPr fontId="0" type="noConversion"/>
  <printOptions horizontalCentered="1" verticalCentered="1"/>
  <pageMargins left="0.1" right="0.1" top="0.19" bottom="0" header="0.17" footer="0"/>
  <pageSetup paperSize="9" orientation="landscape" blackAndWhite="1" r:id="rId1"/>
  <headerFooter alignWithMargins="0"/>
</worksheet>
</file>

<file path=xl/worksheets/sheet13.xml><?xml version="1.0" encoding="utf-8"?>
<worksheet xmlns="http://schemas.openxmlformats.org/spreadsheetml/2006/main" xmlns:r="http://schemas.openxmlformats.org/officeDocument/2006/relationships">
  <sheetPr codeName="Sheet43"/>
  <dimension ref="A1:J34"/>
  <sheetViews>
    <sheetView workbookViewId="0">
      <selection activeCell="F14" sqref="F14"/>
    </sheetView>
  </sheetViews>
  <sheetFormatPr defaultRowHeight="12.75"/>
  <cols>
    <col min="1" max="1" width="27.28515625" style="723" customWidth="1"/>
    <col min="2" max="2" width="10.42578125" style="723" customWidth="1"/>
    <col min="3" max="3" width="10.85546875" style="723" customWidth="1"/>
    <col min="4" max="5" width="10.7109375" style="723" customWidth="1"/>
    <col min="6" max="6" width="10.85546875" style="723" customWidth="1"/>
    <col min="7" max="7" width="10" style="723" customWidth="1"/>
    <col min="8" max="9" width="11.7109375" style="723" customWidth="1"/>
    <col min="10" max="10" width="12.140625" style="723" customWidth="1"/>
    <col min="11" max="16384" width="9.140625" style="723"/>
  </cols>
  <sheetData>
    <row r="1" spans="1:10" ht="14.25" customHeight="1">
      <c r="A1" s="1399" t="s">
        <v>634</v>
      </c>
      <c r="B1" s="1399"/>
      <c r="C1" s="1399"/>
      <c r="D1" s="1399"/>
      <c r="E1" s="1399"/>
      <c r="F1" s="1399"/>
      <c r="G1" s="1399"/>
      <c r="H1" s="1399"/>
      <c r="I1" s="1399"/>
      <c r="J1" s="1399"/>
    </row>
    <row r="2" spans="1:10" ht="16.5">
      <c r="A2" s="1394" t="s">
        <v>930</v>
      </c>
      <c r="B2" s="1394"/>
      <c r="C2" s="1394"/>
      <c r="D2" s="1394"/>
      <c r="E2" s="1394"/>
      <c r="F2" s="1394"/>
      <c r="G2" s="1394"/>
      <c r="H2" s="1394"/>
      <c r="I2" s="1394"/>
      <c r="J2" s="1394"/>
    </row>
    <row r="3" spans="1:10">
      <c r="B3" s="772"/>
      <c r="C3" s="772"/>
      <c r="D3" s="772"/>
      <c r="E3" s="772"/>
      <c r="F3" s="772"/>
      <c r="G3" s="772"/>
      <c r="H3" s="772"/>
      <c r="I3" s="772"/>
      <c r="J3" s="738" t="s">
        <v>1058</v>
      </c>
    </row>
    <row r="4" spans="1:10" ht="15" customHeight="1">
      <c r="A4" s="1408" t="s">
        <v>1215</v>
      </c>
      <c r="B4" s="1469" t="s">
        <v>208</v>
      </c>
      <c r="C4" s="1469"/>
      <c r="D4" s="1470"/>
      <c r="E4" s="1468" t="s">
        <v>206</v>
      </c>
      <c r="F4" s="1469"/>
      <c r="G4" s="1470"/>
      <c r="H4" s="1468" t="s">
        <v>1115</v>
      </c>
      <c r="I4" s="1469"/>
      <c r="J4" s="1470"/>
    </row>
    <row r="5" spans="1:10" ht="15" customHeight="1">
      <c r="A5" s="1409"/>
      <c r="B5" s="123" t="s">
        <v>1070</v>
      </c>
      <c r="C5" s="491" t="s">
        <v>1071</v>
      </c>
      <c r="D5" s="124" t="s">
        <v>1035</v>
      </c>
      <c r="E5" s="125" t="s">
        <v>1070</v>
      </c>
      <c r="F5" s="491" t="s">
        <v>1071</v>
      </c>
      <c r="G5" s="124" t="s">
        <v>1035</v>
      </c>
      <c r="H5" s="125" t="s">
        <v>1070</v>
      </c>
      <c r="I5" s="491" t="s">
        <v>1071</v>
      </c>
      <c r="J5" s="124" t="s">
        <v>1035</v>
      </c>
    </row>
    <row r="6" spans="1:10" ht="16.5" customHeight="1">
      <c r="A6" s="641" t="s">
        <v>1008</v>
      </c>
      <c r="B6" s="790" t="s">
        <v>1009</v>
      </c>
      <c r="C6" s="729" t="s">
        <v>1010</v>
      </c>
      <c r="D6" s="742" t="s">
        <v>1011</v>
      </c>
      <c r="E6" s="741" t="s">
        <v>1015</v>
      </c>
      <c r="F6" s="729" t="s">
        <v>1016</v>
      </c>
      <c r="G6" s="742" t="s">
        <v>1017</v>
      </c>
      <c r="H6" s="741" t="s">
        <v>1039</v>
      </c>
      <c r="I6" s="729" t="s">
        <v>1040</v>
      </c>
      <c r="J6" s="742" t="s">
        <v>1041</v>
      </c>
    </row>
    <row r="7" spans="1:10" ht="16.5" customHeight="1">
      <c r="A7" s="810" t="s">
        <v>619</v>
      </c>
      <c r="B7" s="811">
        <f>SUM(B8:B15)</f>
        <v>486411</v>
      </c>
      <c r="C7" s="812">
        <f>SUM(C8:C15)</f>
        <v>466594</v>
      </c>
      <c r="D7" s="813">
        <f t="shared" ref="D7:D32" si="0">IF(SUM(B7,C7)=0,"-",SUM(B7,C7))</f>
        <v>953005</v>
      </c>
      <c r="E7" s="811">
        <f>SUM(E8:E15)</f>
        <v>43430</v>
      </c>
      <c r="F7" s="812">
        <f>SUM(F8:F15)</f>
        <v>40586</v>
      </c>
      <c r="G7" s="813">
        <f t="shared" ref="G7:G32" si="1">IF(SUM(E7,F7)=0,"-",SUM(E7,F7))</f>
        <v>84016</v>
      </c>
      <c r="H7" s="814">
        <f t="shared" ref="H7:H32" si="2">IF(SUM(B7,E7)=0,"-",SUM(B7,E7))</f>
        <v>529841</v>
      </c>
      <c r="I7" s="815">
        <f t="shared" ref="I7:I32" si="3">IF(SUM(C7,F7)=0,"-",SUM(C7,F7))</f>
        <v>507180</v>
      </c>
      <c r="J7" s="813">
        <f t="shared" ref="J7:J32" si="4">IF(SUM(H7,I7)=0,"-",SUM(H7,I7))</f>
        <v>1037021</v>
      </c>
    </row>
    <row r="8" spans="1:10" ht="16.5" customHeight="1">
      <c r="A8" s="816" t="s">
        <v>26</v>
      </c>
      <c r="B8" s="803">
        <v>78398</v>
      </c>
      <c r="C8" s="744">
        <v>76338</v>
      </c>
      <c r="D8" s="817">
        <f t="shared" si="0"/>
        <v>154736</v>
      </c>
      <c r="E8" s="803" t="s">
        <v>57</v>
      </c>
      <c r="F8" s="744" t="s">
        <v>57</v>
      </c>
      <c r="G8" s="817" t="str">
        <f t="shared" si="1"/>
        <v>-</v>
      </c>
      <c r="H8" s="818">
        <f t="shared" si="2"/>
        <v>78398</v>
      </c>
      <c r="I8" s="819">
        <f t="shared" si="3"/>
        <v>76338</v>
      </c>
      <c r="J8" s="817">
        <f t="shared" si="4"/>
        <v>154736</v>
      </c>
    </row>
    <row r="9" spans="1:10" ht="16.5" customHeight="1">
      <c r="A9" s="816" t="s">
        <v>27</v>
      </c>
      <c r="B9" s="803">
        <v>69520</v>
      </c>
      <c r="C9" s="744">
        <v>66059</v>
      </c>
      <c r="D9" s="817">
        <f t="shared" si="0"/>
        <v>135579</v>
      </c>
      <c r="E9" s="803" t="s">
        <v>57</v>
      </c>
      <c r="F9" s="744" t="s">
        <v>57</v>
      </c>
      <c r="G9" s="817" t="str">
        <f t="shared" si="1"/>
        <v>-</v>
      </c>
      <c r="H9" s="818">
        <f t="shared" si="2"/>
        <v>69520</v>
      </c>
      <c r="I9" s="819">
        <f t="shared" si="3"/>
        <v>66059</v>
      </c>
      <c r="J9" s="817">
        <f t="shared" si="4"/>
        <v>135579</v>
      </c>
    </row>
    <row r="10" spans="1:10" ht="16.5" customHeight="1">
      <c r="A10" s="816" t="s">
        <v>53</v>
      </c>
      <c r="B10" s="803">
        <v>58314</v>
      </c>
      <c r="C10" s="744">
        <v>55205</v>
      </c>
      <c r="D10" s="817">
        <f t="shared" si="0"/>
        <v>113519</v>
      </c>
      <c r="E10" s="803">
        <v>12681</v>
      </c>
      <c r="F10" s="744">
        <v>11750</v>
      </c>
      <c r="G10" s="817">
        <f t="shared" si="1"/>
        <v>24431</v>
      </c>
      <c r="H10" s="818">
        <f t="shared" si="2"/>
        <v>70995</v>
      </c>
      <c r="I10" s="819">
        <f t="shared" si="3"/>
        <v>66955</v>
      </c>
      <c r="J10" s="817">
        <f t="shared" si="4"/>
        <v>137950</v>
      </c>
    </row>
    <row r="11" spans="1:10" ht="16.5" customHeight="1">
      <c r="A11" s="816" t="s">
        <v>28</v>
      </c>
      <c r="B11" s="803">
        <v>82158</v>
      </c>
      <c r="C11" s="744">
        <v>80350</v>
      </c>
      <c r="D11" s="817">
        <f t="shared" si="0"/>
        <v>162508</v>
      </c>
      <c r="E11" s="803">
        <v>4195</v>
      </c>
      <c r="F11" s="744">
        <v>3861</v>
      </c>
      <c r="G11" s="817">
        <f t="shared" si="1"/>
        <v>8056</v>
      </c>
      <c r="H11" s="818">
        <f t="shared" si="2"/>
        <v>86353</v>
      </c>
      <c r="I11" s="819">
        <f t="shared" si="3"/>
        <v>84211</v>
      </c>
      <c r="J11" s="817">
        <f t="shared" si="4"/>
        <v>170564</v>
      </c>
    </row>
    <row r="12" spans="1:10" ht="16.5" customHeight="1">
      <c r="A12" s="816" t="s">
        <v>29</v>
      </c>
      <c r="B12" s="803">
        <v>63633</v>
      </c>
      <c r="C12" s="744">
        <v>59457</v>
      </c>
      <c r="D12" s="817">
        <f t="shared" si="0"/>
        <v>123090</v>
      </c>
      <c r="E12" s="803">
        <v>5344</v>
      </c>
      <c r="F12" s="744">
        <v>4915</v>
      </c>
      <c r="G12" s="817">
        <f t="shared" si="1"/>
        <v>10259</v>
      </c>
      <c r="H12" s="818">
        <f t="shared" si="2"/>
        <v>68977</v>
      </c>
      <c r="I12" s="819">
        <f t="shared" si="3"/>
        <v>64372</v>
      </c>
      <c r="J12" s="817">
        <f t="shared" si="4"/>
        <v>133349</v>
      </c>
    </row>
    <row r="13" spans="1:10" ht="16.5" customHeight="1">
      <c r="A13" s="816" t="s">
        <v>48</v>
      </c>
      <c r="B13" s="803">
        <v>65247</v>
      </c>
      <c r="C13" s="744">
        <v>62512</v>
      </c>
      <c r="D13" s="817">
        <f t="shared" si="0"/>
        <v>127759</v>
      </c>
      <c r="E13" s="803">
        <v>4848</v>
      </c>
      <c r="F13" s="744">
        <v>4536</v>
      </c>
      <c r="G13" s="817">
        <f t="shared" si="1"/>
        <v>9384</v>
      </c>
      <c r="H13" s="818">
        <f t="shared" si="2"/>
        <v>70095</v>
      </c>
      <c r="I13" s="819">
        <f t="shared" si="3"/>
        <v>67048</v>
      </c>
      <c r="J13" s="817">
        <f t="shared" si="4"/>
        <v>137143</v>
      </c>
    </row>
    <row r="14" spans="1:10" ht="16.5" customHeight="1">
      <c r="A14" s="816" t="s">
        <v>54</v>
      </c>
      <c r="B14" s="803">
        <v>69141</v>
      </c>
      <c r="C14" s="744">
        <v>66673</v>
      </c>
      <c r="D14" s="817">
        <f t="shared" si="0"/>
        <v>135814</v>
      </c>
      <c r="E14" s="803">
        <v>6312</v>
      </c>
      <c r="F14" s="744">
        <v>6030</v>
      </c>
      <c r="G14" s="817">
        <f t="shared" si="1"/>
        <v>12342</v>
      </c>
      <c r="H14" s="818">
        <f t="shared" si="2"/>
        <v>75453</v>
      </c>
      <c r="I14" s="819">
        <f t="shared" si="3"/>
        <v>72703</v>
      </c>
      <c r="J14" s="817">
        <f t="shared" si="4"/>
        <v>148156</v>
      </c>
    </row>
    <row r="15" spans="1:10" ht="16.5" customHeight="1">
      <c r="A15" s="816" t="s">
        <v>49</v>
      </c>
      <c r="B15" s="805" t="s">
        <v>57</v>
      </c>
      <c r="C15" s="804" t="s">
        <v>57</v>
      </c>
      <c r="D15" s="817" t="str">
        <f t="shared" si="0"/>
        <v>-</v>
      </c>
      <c r="E15" s="801">
        <v>10050</v>
      </c>
      <c r="F15" s="804">
        <v>9494</v>
      </c>
      <c r="G15" s="817">
        <f t="shared" si="1"/>
        <v>19544</v>
      </c>
      <c r="H15" s="818">
        <f t="shared" si="2"/>
        <v>10050</v>
      </c>
      <c r="I15" s="819">
        <f t="shared" si="3"/>
        <v>9494</v>
      </c>
      <c r="J15" s="817">
        <f t="shared" si="4"/>
        <v>19544</v>
      </c>
    </row>
    <row r="16" spans="1:10" ht="16.5" customHeight="1">
      <c r="A16" s="820" t="s">
        <v>50</v>
      </c>
      <c r="B16" s="811">
        <f>SUM(B17:B24)</f>
        <v>457709</v>
      </c>
      <c r="C16" s="812">
        <f>SUM(C17:C24)</f>
        <v>443727</v>
      </c>
      <c r="D16" s="813">
        <f t="shared" si="0"/>
        <v>901436</v>
      </c>
      <c r="E16" s="811">
        <f>SUM(E17:E24)</f>
        <v>79285</v>
      </c>
      <c r="F16" s="812">
        <f>SUM(F17:F24)</f>
        <v>74616</v>
      </c>
      <c r="G16" s="813">
        <f t="shared" si="1"/>
        <v>153901</v>
      </c>
      <c r="H16" s="814">
        <f t="shared" si="2"/>
        <v>536994</v>
      </c>
      <c r="I16" s="815">
        <f t="shared" si="3"/>
        <v>518343</v>
      </c>
      <c r="J16" s="813">
        <f t="shared" si="4"/>
        <v>1055337</v>
      </c>
    </row>
    <row r="17" spans="1:10" ht="16.5" customHeight="1">
      <c r="A17" s="816" t="s">
        <v>33</v>
      </c>
      <c r="B17" s="803">
        <v>44686</v>
      </c>
      <c r="C17" s="744">
        <v>44250</v>
      </c>
      <c r="D17" s="817">
        <f t="shared" si="0"/>
        <v>88936</v>
      </c>
      <c r="E17" s="803">
        <v>3112</v>
      </c>
      <c r="F17" s="744">
        <v>2881</v>
      </c>
      <c r="G17" s="817">
        <f t="shared" si="1"/>
        <v>5993</v>
      </c>
      <c r="H17" s="818">
        <f t="shared" si="2"/>
        <v>47798</v>
      </c>
      <c r="I17" s="819">
        <f t="shared" si="3"/>
        <v>47131</v>
      </c>
      <c r="J17" s="817">
        <f t="shared" si="4"/>
        <v>94929</v>
      </c>
    </row>
    <row r="18" spans="1:10" ht="16.5" customHeight="1">
      <c r="A18" s="816" t="s">
        <v>34</v>
      </c>
      <c r="B18" s="803">
        <v>72867</v>
      </c>
      <c r="C18" s="744">
        <v>70708</v>
      </c>
      <c r="D18" s="817">
        <f t="shared" si="0"/>
        <v>143575</v>
      </c>
      <c r="E18" s="803" t="s">
        <v>57</v>
      </c>
      <c r="F18" s="744" t="s">
        <v>57</v>
      </c>
      <c r="G18" s="817" t="str">
        <f t="shared" si="1"/>
        <v>-</v>
      </c>
      <c r="H18" s="818">
        <f t="shared" si="2"/>
        <v>72867</v>
      </c>
      <c r="I18" s="819">
        <f t="shared" si="3"/>
        <v>70708</v>
      </c>
      <c r="J18" s="817">
        <f t="shared" si="4"/>
        <v>143575</v>
      </c>
    </row>
    <row r="19" spans="1:10" ht="16.5" customHeight="1">
      <c r="A19" s="816" t="s">
        <v>55</v>
      </c>
      <c r="B19" s="803">
        <v>73172</v>
      </c>
      <c r="C19" s="744">
        <v>71378</v>
      </c>
      <c r="D19" s="817">
        <f t="shared" si="0"/>
        <v>144550</v>
      </c>
      <c r="E19" s="803">
        <v>4867</v>
      </c>
      <c r="F19" s="744">
        <v>4654</v>
      </c>
      <c r="G19" s="817">
        <f t="shared" si="1"/>
        <v>9521</v>
      </c>
      <c r="H19" s="818">
        <f t="shared" si="2"/>
        <v>78039</v>
      </c>
      <c r="I19" s="819">
        <f t="shared" si="3"/>
        <v>76032</v>
      </c>
      <c r="J19" s="817">
        <f t="shared" si="4"/>
        <v>154071</v>
      </c>
    </row>
    <row r="20" spans="1:10" ht="16.5" customHeight="1">
      <c r="A20" s="816" t="s">
        <v>56</v>
      </c>
      <c r="B20" s="803">
        <v>48943</v>
      </c>
      <c r="C20" s="744">
        <v>48221</v>
      </c>
      <c r="D20" s="817">
        <f t="shared" si="0"/>
        <v>97164</v>
      </c>
      <c r="E20" s="803" t="s">
        <v>57</v>
      </c>
      <c r="F20" s="744" t="s">
        <v>57</v>
      </c>
      <c r="G20" s="817" t="str">
        <f t="shared" si="1"/>
        <v>-</v>
      </c>
      <c r="H20" s="818">
        <f t="shared" si="2"/>
        <v>48943</v>
      </c>
      <c r="I20" s="819">
        <f t="shared" si="3"/>
        <v>48221</v>
      </c>
      <c r="J20" s="817">
        <f t="shared" si="4"/>
        <v>97164</v>
      </c>
    </row>
    <row r="21" spans="1:10" ht="16.5" customHeight="1">
      <c r="A21" s="816" t="s">
        <v>45</v>
      </c>
      <c r="B21" s="803">
        <v>62676</v>
      </c>
      <c r="C21" s="744">
        <v>61179</v>
      </c>
      <c r="D21" s="817">
        <f t="shared" si="0"/>
        <v>123855</v>
      </c>
      <c r="E21" s="803" t="s">
        <v>57</v>
      </c>
      <c r="F21" s="744" t="s">
        <v>57</v>
      </c>
      <c r="G21" s="817" t="str">
        <f t="shared" si="1"/>
        <v>-</v>
      </c>
      <c r="H21" s="818">
        <f t="shared" si="2"/>
        <v>62676</v>
      </c>
      <c r="I21" s="819">
        <f t="shared" si="3"/>
        <v>61179</v>
      </c>
      <c r="J21" s="817">
        <f t="shared" si="4"/>
        <v>123855</v>
      </c>
    </row>
    <row r="22" spans="1:10" ht="16.5" customHeight="1">
      <c r="A22" s="816" t="s">
        <v>46</v>
      </c>
      <c r="B22" s="803">
        <v>74873</v>
      </c>
      <c r="C22" s="744">
        <v>70621</v>
      </c>
      <c r="D22" s="817">
        <f t="shared" si="0"/>
        <v>145494</v>
      </c>
      <c r="E22" s="803">
        <v>2985</v>
      </c>
      <c r="F22" s="744">
        <v>2709</v>
      </c>
      <c r="G22" s="817">
        <f t="shared" si="1"/>
        <v>5694</v>
      </c>
      <c r="H22" s="818">
        <f t="shared" si="2"/>
        <v>77858</v>
      </c>
      <c r="I22" s="819">
        <f t="shared" si="3"/>
        <v>73330</v>
      </c>
      <c r="J22" s="817">
        <f t="shared" si="4"/>
        <v>151188</v>
      </c>
    </row>
    <row r="23" spans="1:10" ht="16.5" customHeight="1">
      <c r="A23" s="816" t="s">
        <v>47</v>
      </c>
      <c r="B23" s="803">
        <v>80492</v>
      </c>
      <c r="C23" s="744">
        <v>77370</v>
      </c>
      <c r="D23" s="817">
        <f t="shared" si="0"/>
        <v>157862</v>
      </c>
      <c r="E23" s="803">
        <v>5970</v>
      </c>
      <c r="F23" s="744">
        <v>5656</v>
      </c>
      <c r="G23" s="817">
        <f t="shared" si="1"/>
        <v>11626</v>
      </c>
      <c r="H23" s="818">
        <f t="shared" si="2"/>
        <v>86462</v>
      </c>
      <c r="I23" s="819">
        <f t="shared" si="3"/>
        <v>83026</v>
      </c>
      <c r="J23" s="817">
        <f t="shared" si="4"/>
        <v>169488</v>
      </c>
    </row>
    <row r="24" spans="1:10" ht="16.5" customHeight="1">
      <c r="A24" s="816" t="s">
        <v>58</v>
      </c>
      <c r="B24" s="803" t="s">
        <v>57</v>
      </c>
      <c r="C24" s="744" t="s">
        <v>57</v>
      </c>
      <c r="D24" s="817" t="str">
        <f t="shared" si="0"/>
        <v>-</v>
      </c>
      <c r="E24" s="803">
        <v>62351</v>
      </c>
      <c r="F24" s="744">
        <v>58716</v>
      </c>
      <c r="G24" s="817">
        <f t="shared" si="1"/>
        <v>121067</v>
      </c>
      <c r="H24" s="818">
        <f t="shared" si="2"/>
        <v>62351</v>
      </c>
      <c r="I24" s="819">
        <f t="shared" si="3"/>
        <v>58716</v>
      </c>
      <c r="J24" s="817">
        <f t="shared" si="4"/>
        <v>121067</v>
      </c>
    </row>
    <row r="25" spans="1:10" ht="16.5" customHeight="1">
      <c r="A25" s="821" t="s">
        <v>51</v>
      </c>
      <c r="B25" s="811">
        <f>SUM(B26:B32)</f>
        <v>360088</v>
      </c>
      <c r="C25" s="812">
        <f>SUM(C26:C32)</f>
        <v>342272</v>
      </c>
      <c r="D25" s="813">
        <f t="shared" si="0"/>
        <v>702360</v>
      </c>
      <c r="E25" s="811">
        <f>SUM(E26:E32)</f>
        <v>70073</v>
      </c>
      <c r="F25" s="812">
        <f>SUM(F26:F32)</f>
        <v>65324</v>
      </c>
      <c r="G25" s="813">
        <f t="shared" si="1"/>
        <v>135397</v>
      </c>
      <c r="H25" s="814">
        <f t="shared" si="2"/>
        <v>430161</v>
      </c>
      <c r="I25" s="815">
        <f t="shared" si="3"/>
        <v>407596</v>
      </c>
      <c r="J25" s="813">
        <f t="shared" si="4"/>
        <v>837757</v>
      </c>
    </row>
    <row r="26" spans="1:10" ht="16.5" customHeight="1">
      <c r="A26" s="816" t="s">
        <v>36</v>
      </c>
      <c r="B26" s="803">
        <v>88738</v>
      </c>
      <c r="C26" s="744">
        <v>85587</v>
      </c>
      <c r="D26" s="817">
        <f t="shared" si="0"/>
        <v>174325</v>
      </c>
      <c r="E26" s="803">
        <v>13063</v>
      </c>
      <c r="F26" s="744">
        <v>12695</v>
      </c>
      <c r="G26" s="817">
        <f t="shared" si="1"/>
        <v>25758</v>
      </c>
      <c r="H26" s="818">
        <f t="shared" si="2"/>
        <v>101801</v>
      </c>
      <c r="I26" s="819">
        <f t="shared" si="3"/>
        <v>98282</v>
      </c>
      <c r="J26" s="817">
        <f t="shared" si="4"/>
        <v>200083</v>
      </c>
    </row>
    <row r="27" spans="1:10" ht="16.5" customHeight="1">
      <c r="A27" s="816" t="s">
        <v>37</v>
      </c>
      <c r="B27" s="803">
        <v>42707</v>
      </c>
      <c r="C27" s="744">
        <v>40430</v>
      </c>
      <c r="D27" s="817">
        <f t="shared" si="0"/>
        <v>83137</v>
      </c>
      <c r="E27" s="803">
        <v>9603</v>
      </c>
      <c r="F27" s="744">
        <v>8687</v>
      </c>
      <c r="G27" s="817">
        <f t="shared" si="1"/>
        <v>18290</v>
      </c>
      <c r="H27" s="818">
        <f t="shared" si="2"/>
        <v>52310</v>
      </c>
      <c r="I27" s="819">
        <f t="shared" si="3"/>
        <v>49117</v>
      </c>
      <c r="J27" s="817">
        <f t="shared" si="4"/>
        <v>101427</v>
      </c>
    </row>
    <row r="28" spans="1:10" ht="16.5" customHeight="1">
      <c r="A28" s="816" t="s">
        <v>38</v>
      </c>
      <c r="B28" s="803">
        <v>86423</v>
      </c>
      <c r="C28" s="744">
        <v>81574</v>
      </c>
      <c r="D28" s="817">
        <f t="shared" si="0"/>
        <v>167997</v>
      </c>
      <c r="E28" s="803">
        <v>16883</v>
      </c>
      <c r="F28" s="744">
        <v>15741</v>
      </c>
      <c r="G28" s="817">
        <f t="shared" si="1"/>
        <v>32624</v>
      </c>
      <c r="H28" s="818">
        <f t="shared" si="2"/>
        <v>103306</v>
      </c>
      <c r="I28" s="819">
        <f t="shared" si="3"/>
        <v>97315</v>
      </c>
      <c r="J28" s="817">
        <f t="shared" si="4"/>
        <v>200621</v>
      </c>
    </row>
    <row r="29" spans="1:10" ht="16.5" customHeight="1">
      <c r="A29" s="816" t="s">
        <v>40</v>
      </c>
      <c r="B29" s="803">
        <v>49762</v>
      </c>
      <c r="C29" s="744">
        <v>46726</v>
      </c>
      <c r="D29" s="817">
        <f t="shared" si="0"/>
        <v>96488</v>
      </c>
      <c r="E29" s="803">
        <v>11135</v>
      </c>
      <c r="F29" s="744">
        <v>10137</v>
      </c>
      <c r="G29" s="817">
        <f t="shared" si="1"/>
        <v>21272</v>
      </c>
      <c r="H29" s="818">
        <f t="shared" si="2"/>
        <v>60897</v>
      </c>
      <c r="I29" s="819">
        <f t="shared" si="3"/>
        <v>56863</v>
      </c>
      <c r="J29" s="817">
        <f t="shared" si="4"/>
        <v>117760</v>
      </c>
    </row>
    <row r="30" spans="1:10" ht="16.5" customHeight="1">
      <c r="A30" s="816" t="s">
        <v>52</v>
      </c>
      <c r="B30" s="803">
        <v>55463</v>
      </c>
      <c r="C30" s="744">
        <v>52364</v>
      </c>
      <c r="D30" s="817">
        <f t="shared" si="0"/>
        <v>107827</v>
      </c>
      <c r="E30" s="803">
        <v>3105</v>
      </c>
      <c r="F30" s="744">
        <v>2858</v>
      </c>
      <c r="G30" s="817">
        <f t="shared" si="1"/>
        <v>5963</v>
      </c>
      <c r="H30" s="818">
        <f t="shared" si="2"/>
        <v>58568</v>
      </c>
      <c r="I30" s="819">
        <f t="shared" si="3"/>
        <v>55222</v>
      </c>
      <c r="J30" s="817">
        <f t="shared" si="4"/>
        <v>113790</v>
      </c>
    </row>
    <row r="31" spans="1:10" ht="16.5" customHeight="1">
      <c r="A31" s="816" t="s">
        <v>41</v>
      </c>
      <c r="B31" s="803" t="s">
        <v>57</v>
      </c>
      <c r="C31" s="744" t="s">
        <v>57</v>
      </c>
      <c r="D31" s="817" t="str">
        <f t="shared" si="0"/>
        <v>-</v>
      </c>
      <c r="E31" s="803">
        <v>13194</v>
      </c>
      <c r="F31" s="744">
        <v>12367</v>
      </c>
      <c r="G31" s="817">
        <f t="shared" si="1"/>
        <v>25561</v>
      </c>
      <c r="H31" s="818">
        <f t="shared" si="2"/>
        <v>13194</v>
      </c>
      <c r="I31" s="819">
        <f t="shared" si="3"/>
        <v>12367</v>
      </c>
      <c r="J31" s="817">
        <f t="shared" si="4"/>
        <v>25561</v>
      </c>
    </row>
    <row r="32" spans="1:10" ht="16.5" customHeight="1">
      <c r="A32" s="816" t="s">
        <v>39</v>
      </c>
      <c r="B32" s="803">
        <v>36995</v>
      </c>
      <c r="C32" s="744">
        <v>35591</v>
      </c>
      <c r="D32" s="817">
        <f t="shared" si="0"/>
        <v>72586</v>
      </c>
      <c r="E32" s="803">
        <v>3090</v>
      </c>
      <c r="F32" s="744">
        <v>2839</v>
      </c>
      <c r="G32" s="817">
        <f t="shared" si="1"/>
        <v>5929</v>
      </c>
      <c r="H32" s="818">
        <f t="shared" si="2"/>
        <v>40085</v>
      </c>
      <c r="I32" s="819">
        <f t="shared" si="3"/>
        <v>38430</v>
      </c>
      <c r="J32" s="817">
        <f t="shared" si="4"/>
        <v>78515</v>
      </c>
    </row>
    <row r="33" spans="1:10" ht="18" customHeight="1">
      <c r="A33" s="822" t="s">
        <v>302</v>
      </c>
      <c r="B33" s="748">
        <f t="shared" ref="B33:J33" si="5">SUM(B7,B16,B25)</f>
        <v>1304208</v>
      </c>
      <c r="C33" s="735">
        <f t="shared" si="5"/>
        <v>1252593</v>
      </c>
      <c r="D33" s="499">
        <f t="shared" si="5"/>
        <v>2556801</v>
      </c>
      <c r="E33" s="498">
        <f t="shared" si="5"/>
        <v>192788</v>
      </c>
      <c r="F33" s="735">
        <f t="shared" si="5"/>
        <v>180526</v>
      </c>
      <c r="G33" s="499">
        <f t="shared" si="5"/>
        <v>373314</v>
      </c>
      <c r="H33" s="498">
        <f t="shared" si="5"/>
        <v>1496996</v>
      </c>
      <c r="I33" s="735">
        <f t="shared" si="5"/>
        <v>1433119</v>
      </c>
      <c r="J33" s="499">
        <f t="shared" si="5"/>
        <v>2930115</v>
      </c>
    </row>
    <row r="34" spans="1:10">
      <c r="H34" s="5"/>
      <c r="I34" s="5"/>
      <c r="J34" s="542" t="s">
        <v>931</v>
      </c>
    </row>
  </sheetData>
  <mergeCells count="6">
    <mergeCell ref="A1:J1"/>
    <mergeCell ref="A2:J2"/>
    <mergeCell ref="E4:G4"/>
    <mergeCell ref="H4:J4"/>
    <mergeCell ref="A4:A5"/>
    <mergeCell ref="B4:D4"/>
  </mergeCells>
  <phoneticPr fontId="0" type="noConversion"/>
  <printOptions horizontalCentered="1" verticalCentered="1"/>
  <pageMargins left="0.1" right="0.1" top="0.19" bottom="0" header="0.17" footer="0"/>
  <pageSetup paperSize="9" orientation="landscape" blackAndWhite="1" r:id="rId1"/>
  <headerFooter alignWithMargins="0"/>
</worksheet>
</file>

<file path=xl/worksheets/sheet14.xml><?xml version="1.0" encoding="utf-8"?>
<worksheet xmlns="http://schemas.openxmlformats.org/spreadsheetml/2006/main" xmlns:r="http://schemas.openxmlformats.org/officeDocument/2006/relationships">
  <dimension ref="A1:S27"/>
  <sheetViews>
    <sheetView workbookViewId="0">
      <selection activeCell="F14" sqref="F14"/>
    </sheetView>
  </sheetViews>
  <sheetFormatPr defaultRowHeight="12.75"/>
  <cols>
    <col min="1" max="1" width="10.5703125" style="723" customWidth="1"/>
    <col min="2" max="19" width="6.85546875" style="723" customWidth="1"/>
    <col min="20" max="16384" width="9.140625" style="723"/>
  </cols>
  <sheetData>
    <row r="1" spans="1:19" ht="15.75" customHeight="1">
      <c r="A1" s="1399" t="s">
        <v>636</v>
      </c>
      <c r="B1" s="1399"/>
      <c r="C1" s="1399"/>
      <c r="D1" s="1399"/>
      <c r="E1" s="1399"/>
      <c r="F1" s="1399"/>
      <c r="G1" s="1399"/>
      <c r="H1" s="1399"/>
      <c r="I1" s="1399"/>
      <c r="J1" s="1399"/>
      <c r="K1" s="1399"/>
      <c r="L1" s="1399"/>
      <c r="M1" s="1399"/>
      <c r="N1" s="1399"/>
      <c r="O1" s="1399"/>
      <c r="P1" s="1399"/>
      <c r="Q1" s="1399"/>
      <c r="R1" s="1399"/>
      <c r="S1" s="1399"/>
    </row>
    <row r="2" spans="1:19" ht="18" customHeight="1">
      <c r="A2" s="1413" t="s">
        <v>391</v>
      </c>
      <c r="B2" s="1413"/>
      <c r="C2" s="1413"/>
      <c r="D2" s="1413"/>
      <c r="E2" s="1413"/>
      <c r="F2" s="1413"/>
      <c r="G2" s="1413"/>
      <c r="H2" s="1413"/>
      <c r="I2" s="1413"/>
      <c r="J2" s="1413"/>
      <c r="K2" s="1413"/>
      <c r="L2" s="1413"/>
      <c r="M2" s="1413"/>
      <c r="N2" s="1413"/>
      <c r="O2" s="1413"/>
      <c r="P2" s="1413"/>
      <c r="Q2" s="1413"/>
      <c r="R2" s="1413"/>
      <c r="S2" s="1413"/>
    </row>
    <row r="3" spans="1:19" ht="18" customHeight="1">
      <c r="A3" s="753"/>
      <c r="B3" s="824"/>
      <c r="C3" s="825"/>
      <c r="D3" s="825"/>
      <c r="E3" s="825"/>
      <c r="F3" s="825"/>
      <c r="G3" s="825"/>
      <c r="H3" s="825"/>
      <c r="I3" s="825"/>
      <c r="J3" s="825"/>
      <c r="K3" s="825"/>
      <c r="L3" s="825"/>
      <c r="M3" s="825"/>
      <c r="N3" s="825"/>
      <c r="O3" s="825"/>
      <c r="P3" s="825"/>
      <c r="Q3" s="690"/>
      <c r="R3" s="690"/>
      <c r="S3" s="780" t="s">
        <v>605</v>
      </c>
    </row>
    <row r="4" spans="1:19" ht="16.5" customHeight="1">
      <c r="A4" s="1408" t="s">
        <v>1074</v>
      </c>
      <c r="B4" s="1468" t="s">
        <v>208</v>
      </c>
      <c r="C4" s="1469"/>
      <c r="D4" s="1469"/>
      <c r="E4" s="1469"/>
      <c r="F4" s="1469"/>
      <c r="G4" s="1470"/>
      <c r="H4" s="1468" t="s">
        <v>206</v>
      </c>
      <c r="I4" s="1469"/>
      <c r="J4" s="1469"/>
      <c r="K4" s="1469"/>
      <c r="L4" s="1469"/>
      <c r="M4" s="1470"/>
      <c r="N4" s="1468" t="s">
        <v>1115</v>
      </c>
      <c r="O4" s="1469"/>
      <c r="P4" s="1469"/>
      <c r="Q4" s="1469"/>
      <c r="R4" s="1469"/>
      <c r="S4" s="1470"/>
    </row>
    <row r="5" spans="1:19" ht="16.5" customHeight="1">
      <c r="A5" s="1472"/>
      <c r="B5" s="1400" t="s">
        <v>1070</v>
      </c>
      <c r="C5" s="1401"/>
      <c r="D5" s="1407" t="s">
        <v>1071</v>
      </c>
      <c r="E5" s="1401"/>
      <c r="F5" s="1400" t="s">
        <v>1035</v>
      </c>
      <c r="G5" s="1401"/>
      <c r="H5" s="1407" t="s">
        <v>1070</v>
      </c>
      <c r="I5" s="1401"/>
      <c r="J5" s="1407" t="s">
        <v>1071</v>
      </c>
      <c r="K5" s="1401"/>
      <c r="L5" s="1400" t="s">
        <v>1035</v>
      </c>
      <c r="M5" s="1401"/>
      <c r="N5" s="1407" t="s">
        <v>1070</v>
      </c>
      <c r="O5" s="1401"/>
      <c r="P5" s="1407" t="s">
        <v>1071</v>
      </c>
      <c r="Q5" s="1401"/>
      <c r="R5" s="1400" t="s">
        <v>1035</v>
      </c>
      <c r="S5" s="1401"/>
    </row>
    <row r="6" spans="1:19" ht="16.5" customHeight="1">
      <c r="A6" s="1409"/>
      <c r="B6" s="123" t="s">
        <v>1059</v>
      </c>
      <c r="C6" s="491" t="s">
        <v>1075</v>
      </c>
      <c r="D6" s="125" t="s">
        <v>1059</v>
      </c>
      <c r="E6" s="491" t="s">
        <v>1075</v>
      </c>
      <c r="F6" s="123" t="s">
        <v>1059</v>
      </c>
      <c r="G6" s="491" t="s">
        <v>1075</v>
      </c>
      <c r="H6" s="125" t="s">
        <v>1059</v>
      </c>
      <c r="I6" s="491" t="s">
        <v>1075</v>
      </c>
      <c r="J6" s="125" t="s">
        <v>1059</v>
      </c>
      <c r="K6" s="491" t="s">
        <v>1075</v>
      </c>
      <c r="L6" s="123" t="s">
        <v>1059</v>
      </c>
      <c r="M6" s="491" t="s">
        <v>1075</v>
      </c>
      <c r="N6" s="125" t="s">
        <v>1059</v>
      </c>
      <c r="O6" s="491" t="s">
        <v>1075</v>
      </c>
      <c r="P6" s="125" t="s">
        <v>1059</v>
      </c>
      <c r="Q6" s="491" t="s">
        <v>1075</v>
      </c>
      <c r="R6" s="123" t="s">
        <v>1059</v>
      </c>
      <c r="S6" s="491" t="s">
        <v>1075</v>
      </c>
    </row>
    <row r="7" spans="1:19" ht="16.5" customHeight="1">
      <c r="A7" s="827" t="s">
        <v>1008</v>
      </c>
      <c r="B7" s="828" t="s">
        <v>1009</v>
      </c>
      <c r="C7" s="829" t="s">
        <v>1010</v>
      </c>
      <c r="D7" s="830" t="s">
        <v>1011</v>
      </c>
      <c r="E7" s="831" t="s">
        <v>1015</v>
      </c>
      <c r="F7" s="828" t="s">
        <v>1016</v>
      </c>
      <c r="G7" s="831" t="s">
        <v>1017</v>
      </c>
      <c r="H7" s="830" t="s">
        <v>1039</v>
      </c>
      <c r="I7" s="829" t="s">
        <v>1040</v>
      </c>
      <c r="J7" s="830" t="s">
        <v>1041</v>
      </c>
      <c r="K7" s="829" t="s">
        <v>1042</v>
      </c>
      <c r="L7" s="828" t="s">
        <v>1076</v>
      </c>
      <c r="M7" s="831" t="s">
        <v>1077</v>
      </c>
      <c r="N7" s="832" t="s">
        <v>1078</v>
      </c>
      <c r="O7" s="831" t="s">
        <v>1079</v>
      </c>
      <c r="P7" s="832" t="s">
        <v>1080</v>
      </c>
      <c r="Q7" s="831" t="s">
        <v>1081</v>
      </c>
      <c r="R7" s="828" t="s">
        <v>1083</v>
      </c>
      <c r="S7" s="829" t="s">
        <v>1082</v>
      </c>
    </row>
    <row r="8" spans="1:19" ht="18" customHeight="1">
      <c r="A8" s="833" t="s">
        <v>1084</v>
      </c>
      <c r="B8" s="502">
        <v>125.8</v>
      </c>
      <c r="C8" s="132">
        <f t="shared" ref="C8:C21" si="0">ROUND(B8/B$26*100,2)</f>
        <v>10.8</v>
      </c>
      <c r="D8" s="503">
        <v>122.6</v>
      </c>
      <c r="E8" s="132">
        <f t="shared" ref="E8:E17" si="1">ROUND(D8/D$26*100,2)</f>
        <v>10.99</v>
      </c>
      <c r="F8" s="504">
        <f t="shared" ref="F8:F25" si="2">B8+D8</f>
        <v>248.39999999999998</v>
      </c>
      <c r="G8" s="132">
        <f t="shared" ref="G8:G20" si="3">ROUND(F8/F$26*100,2)</f>
        <v>10.89</v>
      </c>
      <c r="H8" s="505">
        <v>11.1</v>
      </c>
      <c r="I8" s="132">
        <f t="shared" ref="I8:I24" si="4">ROUND(H8/H$26*100,2)</f>
        <v>8.35</v>
      </c>
      <c r="J8" s="505">
        <v>10.4</v>
      </c>
      <c r="K8" s="132">
        <f t="shared" ref="K8:K25" si="5">ROUND(J8/J$26*100,2)</f>
        <v>8.5</v>
      </c>
      <c r="L8" s="504">
        <f t="shared" ref="L8:L25" si="6">H8+J8</f>
        <v>21.5</v>
      </c>
      <c r="M8" s="132">
        <f t="shared" ref="M8:M25" si="7">ROUND(L8/L$26*100,2)</f>
        <v>8.42</v>
      </c>
      <c r="N8" s="506">
        <f t="shared" ref="N8:N25" si="8">SUM(B8,H8)</f>
        <v>136.9</v>
      </c>
      <c r="O8" s="132">
        <f t="shared" ref="O8:O25" si="9">ROUND(N8/N$26*100,2)</f>
        <v>10.55</v>
      </c>
      <c r="P8" s="507">
        <f t="shared" ref="P8:P25" si="10">SUM(D8,J8)</f>
        <v>133</v>
      </c>
      <c r="Q8" s="132">
        <f>ROUND(P8/P$26*100,2)</f>
        <v>10.74</v>
      </c>
      <c r="R8" s="507">
        <f t="shared" ref="R8:R25" si="11">SUM(F8,L8)</f>
        <v>269.89999999999998</v>
      </c>
      <c r="S8" s="132">
        <f>ROUND(R8/R$26*100,2)</f>
        <v>10.64</v>
      </c>
    </row>
    <row r="9" spans="1:19" ht="18" customHeight="1">
      <c r="A9" s="834" t="s">
        <v>1085</v>
      </c>
      <c r="B9" s="502">
        <v>155.30000000000001</v>
      </c>
      <c r="C9" s="132">
        <f t="shared" si="0"/>
        <v>13.33</v>
      </c>
      <c r="D9" s="505">
        <v>148.80000000000001</v>
      </c>
      <c r="E9" s="132">
        <f t="shared" si="1"/>
        <v>13.33</v>
      </c>
      <c r="F9" s="504">
        <f t="shared" si="2"/>
        <v>304.10000000000002</v>
      </c>
      <c r="G9" s="132">
        <f t="shared" si="3"/>
        <v>13.33</v>
      </c>
      <c r="H9" s="505">
        <v>14.2</v>
      </c>
      <c r="I9" s="132">
        <f t="shared" si="4"/>
        <v>10.68</v>
      </c>
      <c r="J9" s="505">
        <v>13.2</v>
      </c>
      <c r="K9" s="132">
        <f t="shared" si="5"/>
        <v>10.78</v>
      </c>
      <c r="L9" s="504">
        <f t="shared" si="6"/>
        <v>27.4</v>
      </c>
      <c r="M9" s="132">
        <f t="shared" si="7"/>
        <v>10.73</v>
      </c>
      <c r="N9" s="506">
        <f t="shared" si="8"/>
        <v>169.5</v>
      </c>
      <c r="O9" s="132">
        <f t="shared" si="9"/>
        <v>13.06</v>
      </c>
      <c r="P9" s="507">
        <f t="shared" si="10"/>
        <v>162</v>
      </c>
      <c r="Q9" s="132">
        <f>ROUND(P9/P$26*100,2)</f>
        <v>13.08</v>
      </c>
      <c r="R9" s="507">
        <f t="shared" si="11"/>
        <v>331.5</v>
      </c>
      <c r="S9" s="132">
        <f>ROUND(R9/R$26*100,2)</f>
        <v>13.07</v>
      </c>
    </row>
    <row r="10" spans="1:19" ht="18" customHeight="1">
      <c r="A10" s="834" t="s">
        <v>1086</v>
      </c>
      <c r="B10" s="502">
        <v>140.5</v>
      </c>
      <c r="C10" s="132">
        <f t="shared" si="0"/>
        <v>12.06</v>
      </c>
      <c r="D10" s="505">
        <v>128.69999999999999</v>
      </c>
      <c r="E10" s="132">
        <f t="shared" si="1"/>
        <v>11.53</v>
      </c>
      <c r="F10" s="504">
        <f t="shared" si="2"/>
        <v>269.2</v>
      </c>
      <c r="G10" s="132">
        <f t="shared" si="3"/>
        <v>11.8</v>
      </c>
      <c r="H10" s="505">
        <v>15.5</v>
      </c>
      <c r="I10" s="132">
        <f t="shared" si="4"/>
        <v>11.65</v>
      </c>
      <c r="J10" s="505">
        <v>14.6</v>
      </c>
      <c r="K10" s="132">
        <f t="shared" si="5"/>
        <v>11.93</v>
      </c>
      <c r="L10" s="504">
        <f t="shared" si="6"/>
        <v>30.1</v>
      </c>
      <c r="M10" s="132">
        <f t="shared" si="7"/>
        <v>11.79</v>
      </c>
      <c r="N10" s="506">
        <f t="shared" si="8"/>
        <v>156</v>
      </c>
      <c r="O10" s="132">
        <f t="shared" si="9"/>
        <v>12.02</v>
      </c>
      <c r="P10" s="507">
        <f t="shared" si="10"/>
        <v>143.29999999999998</v>
      </c>
      <c r="Q10" s="132">
        <f>ROUND(P10/P$26*100,2)</f>
        <v>11.57</v>
      </c>
      <c r="R10" s="507">
        <f t="shared" si="11"/>
        <v>299.3</v>
      </c>
      <c r="S10" s="132">
        <f>ROUND(R10/R$26*100,2)</f>
        <v>11.8</v>
      </c>
    </row>
    <row r="11" spans="1:19" ht="18" customHeight="1">
      <c r="A11" s="834" t="s">
        <v>1087</v>
      </c>
      <c r="B11" s="502">
        <v>111.6</v>
      </c>
      <c r="C11" s="132">
        <f t="shared" si="0"/>
        <v>9.58</v>
      </c>
      <c r="D11" s="505">
        <v>92.4</v>
      </c>
      <c r="E11" s="132">
        <f t="shared" si="1"/>
        <v>8.2799999999999994</v>
      </c>
      <c r="F11" s="504">
        <f t="shared" si="2"/>
        <v>204</v>
      </c>
      <c r="G11" s="132">
        <f t="shared" si="3"/>
        <v>8.94</v>
      </c>
      <c r="H11" s="505">
        <v>14.3</v>
      </c>
      <c r="I11" s="132">
        <f t="shared" si="4"/>
        <v>10.75</v>
      </c>
      <c r="J11" s="505">
        <v>12.7</v>
      </c>
      <c r="K11" s="132">
        <f t="shared" si="5"/>
        <v>10.38</v>
      </c>
      <c r="L11" s="504">
        <f t="shared" si="6"/>
        <v>27</v>
      </c>
      <c r="M11" s="132">
        <f t="shared" si="7"/>
        <v>10.57</v>
      </c>
      <c r="N11" s="506">
        <f t="shared" si="8"/>
        <v>125.89999999999999</v>
      </c>
      <c r="O11" s="132">
        <f t="shared" si="9"/>
        <v>9.6999999999999993</v>
      </c>
      <c r="P11" s="507">
        <f t="shared" si="10"/>
        <v>105.10000000000001</v>
      </c>
      <c r="Q11" s="132">
        <f>ROUND(P11/P$26*100,2)</f>
        <v>8.49</v>
      </c>
      <c r="R11" s="507">
        <f t="shared" si="11"/>
        <v>231</v>
      </c>
      <c r="S11" s="132">
        <f>ROUND(R11/R$26*100,2)</f>
        <v>9.11</v>
      </c>
    </row>
    <row r="12" spans="1:19" ht="18" customHeight="1">
      <c r="A12" s="834" t="s">
        <v>1088</v>
      </c>
      <c r="B12" s="502">
        <v>89.5</v>
      </c>
      <c r="C12" s="132">
        <f t="shared" si="0"/>
        <v>7.68</v>
      </c>
      <c r="D12" s="505">
        <v>88.9</v>
      </c>
      <c r="E12" s="132">
        <f t="shared" si="1"/>
        <v>7.97</v>
      </c>
      <c r="F12" s="504">
        <f t="shared" si="2"/>
        <v>178.4</v>
      </c>
      <c r="G12" s="132">
        <f t="shared" si="3"/>
        <v>7.82</v>
      </c>
      <c r="H12" s="505">
        <v>11.8</v>
      </c>
      <c r="I12" s="132">
        <f t="shared" si="4"/>
        <v>8.8699999999999992</v>
      </c>
      <c r="J12" s="505">
        <v>10.8</v>
      </c>
      <c r="K12" s="132">
        <f t="shared" si="5"/>
        <v>8.82</v>
      </c>
      <c r="L12" s="504">
        <f t="shared" si="6"/>
        <v>22.6</v>
      </c>
      <c r="M12" s="132">
        <f t="shared" si="7"/>
        <v>8.85</v>
      </c>
      <c r="N12" s="506">
        <f t="shared" si="8"/>
        <v>101.3</v>
      </c>
      <c r="O12" s="132">
        <f t="shared" si="9"/>
        <v>7.8</v>
      </c>
      <c r="P12" s="507">
        <f t="shared" si="10"/>
        <v>99.7</v>
      </c>
      <c r="Q12" s="132">
        <f>ROUND(P12/P$26*100,2)</f>
        <v>8.0500000000000007</v>
      </c>
      <c r="R12" s="507">
        <f t="shared" si="11"/>
        <v>201</v>
      </c>
      <c r="S12" s="132">
        <f>ROUND(R12/R$26*100,2)+0.01</f>
        <v>7.93</v>
      </c>
    </row>
    <row r="13" spans="1:19" ht="18" customHeight="1">
      <c r="A13" s="834" t="s">
        <v>1089</v>
      </c>
      <c r="B13" s="502">
        <v>94.8</v>
      </c>
      <c r="C13" s="132">
        <f t="shared" si="0"/>
        <v>8.14</v>
      </c>
      <c r="D13" s="505">
        <v>94.7</v>
      </c>
      <c r="E13" s="132">
        <f t="shared" si="1"/>
        <v>8.49</v>
      </c>
      <c r="F13" s="504">
        <f t="shared" si="2"/>
        <v>189.5</v>
      </c>
      <c r="G13" s="132">
        <f t="shared" si="3"/>
        <v>8.31</v>
      </c>
      <c r="H13" s="508">
        <v>11.1</v>
      </c>
      <c r="I13" s="132">
        <f t="shared" si="4"/>
        <v>8.35</v>
      </c>
      <c r="J13" s="505">
        <v>11</v>
      </c>
      <c r="K13" s="132">
        <f t="shared" si="5"/>
        <v>8.99</v>
      </c>
      <c r="L13" s="504">
        <f t="shared" si="6"/>
        <v>22.1</v>
      </c>
      <c r="M13" s="132">
        <f t="shared" si="7"/>
        <v>8.65</v>
      </c>
      <c r="N13" s="506">
        <f t="shared" si="8"/>
        <v>105.89999999999999</v>
      </c>
      <c r="O13" s="132">
        <f t="shared" si="9"/>
        <v>8.16</v>
      </c>
      <c r="P13" s="507">
        <f t="shared" si="10"/>
        <v>105.7</v>
      </c>
      <c r="Q13" s="132">
        <f>ROUND(P13/P$26*100,2)-0.01</f>
        <v>8.5299999999999994</v>
      </c>
      <c r="R13" s="507">
        <f t="shared" si="11"/>
        <v>211.6</v>
      </c>
      <c r="S13" s="132">
        <f t="shared" ref="S13:S24" si="12">ROUND(R13/R$26*100,2)</f>
        <v>8.34</v>
      </c>
    </row>
    <row r="14" spans="1:19" ht="18" customHeight="1">
      <c r="A14" s="834" t="s">
        <v>1090</v>
      </c>
      <c r="B14" s="502">
        <v>85.3</v>
      </c>
      <c r="C14" s="132">
        <f t="shared" si="0"/>
        <v>7.32</v>
      </c>
      <c r="D14" s="505">
        <v>83.1</v>
      </c>
      <c r="E14" s="132">
        <f t="shared" si="1"/>
        <v>7.45</v>
      </c>
      <c r="F14" s="504">
        <f t="shared" si="2"/>
        <v>168.39999999999998</v>
      </c>
      <c r="G14" s="132">
        <f t="shared" si="3"/>
        <v>7.38</v>
      </c>
      <c r="H14" s="505">
        <v>10</v>
      </c>
      <c r="I14" s="132">
        <f t="shared" si="4"/>
        <v>7.52</v>
      </c>
      <c r="J14" s="505">
        <v>9.6</v>
      </c>
      <c r="K14" s="132">
        <f t="shared" si="5"/>
        <v>7.84</v>
      </c>
      <c r="L14" s="504">
        <f t="shared" si="6"/>
        <v>19.600000000000001</v>
      </c>
      <c r="M14" s="132">
        <f t="shared" si="7"/>
        <v>7.67</v>
      </c>
      <c r="N14" s="506">
        <f t="shared" si="8"/>
        <v>95.3</v>
      </c>
      <c r="O14" s="132">
        <f t="shared" si="9"/>
        <v>7.34</v>
      </c>
      <c r="P14" s="507">
        <f t="shared" si="10"/>
        <v>92.699999999999989</v>
      </c>
      <c r="Q14" s="132">
        <f t="shared" ref="Q14:Q25" si="13">ROUND(P14/P$26*100,2)</f>
        <v>7.49</v>
      </c>
      <c r="R14" s="507">
        <f t="shared" si="11"/>
        <v>187.99999999999997</v>
      </c>
      <c r="S14" s="132">
        <f t="shared" si="12"/>
        <v>7.41</v>
      </c>
    </row>
    <row r="15" spans="1:19" ht="18" customHeight="1">
      <c r="A15" s="834" t="s">
        <v>1091</v>
      </c>
      <c r="B15" s="502">
        <v>82.1</v>
      </c>
      <c r="C15" s="132">
        <f t="shared" si="0"/>
        <v>7.05</v>
      </c>
      <c r="D15" s="505">
        <v>75.2</v>
      </c>
      <c r="E15" s="132">
        <f t="shared" si="1"/>
        <v>6.74</v>
      </c>
      <c r="F15" s="504">
        <f t="shared" si="2"/>
        <v>157.30000000000001</v>
      </c>
      <c r="G15" s="132">
        <f t="shared" si="3"/>
        <v>6.9</v>
      </c>
      <c r="H15" s="505">
        <v>10</v>
      </c>
      <c r="I15" s="132">
        <f t="shared" si="4"/>
        <v>7.52</v>
      </c>
      <c r="J15" s="505">
        <v>9.6999999999999993</v>
      </c>
      <c r="K15" s="132">
        <f t="shared" si="5"/>
        <v>7.92</v>
      </c>
      <c r="L15" s="504">
        <f t="shared" si="6"/>
        <v>19.7</v>
      </c>
      <c r="M15" s="132">
        <f t="shared" si="7"/>
        <v>7.71</v>
      </c>
      <c r="N15" s="506">
        <f t="shared" si="8"/>
        <v>92.1</v>
      </c>
      <c r="O15" s="132">
        <f t="shared" si="9"/>
        <v>7.09</v>
      </c>
      <c r="P15" s="507">
        <f t="shared" si="10"/>
        <v>84.9</v>
      </c>
      <c r="Q15" s="132">
        <f t="shared" si="13"/>
        <v>6.86</v>
      </c>
      <c r="R15" s="507">
        <f t="shared" si="11"/>
        <v>177</v>
      </c>
      <c r="S15" s="132">
        <f t="shared" si="12"/>
        <v>6.98</v>
      </c>
    </row>
    <row r="16" spans="1:19" ht="18" customHeight="1">
      <c r="A16" s="834" t="s">
        <v>1092</v>
      </c>
      <c r="B16" s="502">
        <v>62.5</v>
      </c>
      <c r="C16" s="132">
        <f t="shared" si="0"/>
        <v>5.36</v>
      </c>
      <c r="D16" s="505">
        <v>57.7</v>
      </c>
      <c r="E16" s="132">
        <f t="shared" si="1"/>
        <v>5.17</v>
      </c>
      <c r="F16" s="504">
        <f t="shared" si="2"/>
        <v>120.2</v>
      </c>
      <c r="G16" s="132">
        <f t="shared" si="3"/>
        <v>5.27</v>
      </c>
      <c r="H16" s="505">
        <v>8.3000000000000007</v>
      </c>
      <c r="I16" s="132">
        <f t="shared" si="4"/>
        <v>6.24</v>
      </c>
      <c r="J16" s="505">
        <v>7.1</v>
      </c>
      <c r="K16" s="132">
        <f t="shared" si="5"/>
        <v>5.8</v>
      </c>
      <c r="L16" s="504">
        <f t="shared" si="6"/>
        <v>15.4</v>
      </c>
      <c r="M16" s="132">
        <f t="shared" si="7"/>
        <v>6.03</v>
      </c>
      <c r="N16" s="506">
        <f t="shared" si="8"/>
        <v>70.8</v>
      </c>
      <c r="O16" s="132">
        <f t="shared" si="9"/>
        <v>5.45</v>
      </c>
      <c r="P16" s="507">
        <f t="shared" si="10"/>
        <v>64.8</v>
      </c>
      <c r="Q16" s="132">
        <f t="shared" si="13"/>
        <v>5.23</v>
      </c>
      <c r="R16" s="507">
        <f t="shared" si="11"/>
        <v>135.6</v>
      </c>
      <c r="S16" s="132">
        <f t="shared" si="12"/>
        <v>5.35</v>
      </c>
    </row>
    <row r="17" spans="1:19" ht="18" customHeight="1">
      <c r="A17" s="834" t="s">
        <v>1093</v>
      </c>
      <c r="B17" s="501">
        <v>58</v>
      </c>
      <c r="C17" s="132">
        <f t="shared" si="0"/>
        <v>4.9800000000000004</v>
      </c>
      <c r="D17" s="503">
        <v>54.5</v>
      </c>
      <c r="E17" s="132">
        <f t="shared" si="1"/>
        <v>4.88</v>
      </c>
      <c r="F17" s="504">
        <f t="shared" si="2"/>
        <v>112.5</v>
      </c>
      <c r="G17" s="132">
        <f t="shared" si="3"/>
        <v>4.93</v>
      </c>
      <c r="H17" s="503">
        <v>7.9</v>
      </c>
      <c r="I17" s="132">
        <f t="shared" si="4"/>
        <v>5.94</v>
      </c>
      <c r="J17" s="503">
        <v>6.2</v>
      </c>
      <c r="K17" s="132">
        <f t="shared" si="5"/>
        <v>5.07</v>
      </c>
      <c r="L17" s="504">
        <f t="shared" si="6"/>
        <v>14.100000000000001</v>
      </c>
      <c r="M17" s="132">
        <f t="shared" si="7"/>
        <v>5.52</v>
      </c>
      <c r="N17" s="506">
        <f t="shared" si="8"/>
        <v>65.900000000000006</v>
      </c>
      <c r="O17" s="132">
        <f t="shared" si="9"/>
        <v>5.08</v>
      </c>
      <c r="P17" s="507">
        <f t="shared" si="10"/>
        <v>60.7</v>
      </c>
      <c r="Q17" s="132">
        <f t="shared" si="13"/>
        <v>4.9000000000000004</v>
      </c>
      <c r="R17" s="507">
        <f t="shared" si="11"/>
        <v>126.6</v>
      </c>
      <c r="S17" s="132">
        <f t="shared" si="12"/>
        <v>4.99</v>
      </c>
    </row>
    <row r="18" spans="1:19" ht="18" customHeight="1">
      <c r="A18" s="834" t="s">
        <v>1095</v>
      </c>
      <c r="B18" s="501">
        <v>44.2</v>
      </c>
      <c r="C18" s="132">
        <f t="shared" si="0"/>
        <v>3.79</v>
      </c>
      <c r="D18" s="503">
        <v>42.8</v>
      </c>
      <c r="E18" s="132">
        <f>ROUND(D18/D$26*100,2)-0.01</f>
        <v>3.83</v>
      </c>
      <c r="F18" s="504">
        <f t="shared" si="2"/>
        <v>87</v>
      </c>
      <c r="G18" s="132">
        <f t="shared" si="3"/>
        <v>3.81</v>
      </c>
      <c r="H18" s="503">
        <v>5.7</v>
      </c>
      <c r="I18" s="132">
        <f t="shared" si="4"/>
        <v>4.29</v>
      </c>
      <c r="J18" s="503">
        <v>4.5</v>
      </c>
      <c r="K18" s="132">
        <f t="shared" si="5"/>
        <v>3.68</v>
      </c>
      <c r="L18" s="504">
        <f t="shared" si="6"/>
        <v>10.199999999999999</v>
      </c>
      <c r="M18" s="132">
        <f t="shared" si="7"/>
        <v>3.99</v>
      </c>
      <c r="N18" s="506">
        <f t="shared" si="8"/>
        <v>49.900000000000006</v>
      </c>
      <c r="O18" s="132">
        <f t="shared" si="9"/>
        <v>3.84</v>
      </c>
      <c r="P18" s="507">
        <f t="shared" si="10"/>
        <v>47.3</v>
      </c>
      <c r="Q18" s="132">
        <f t="shared" si="13"/>
        <v>3.82</v>
      </c>
      <c r="R18" s="507">
        <f t="shared" si="11"/>
        <v>97.2</v>
      </c>
      <c r="S18" s="132">
        <f t="shared" si="12"/>
        <v>3.83</v>
      </c>
    </row>
    <row r="19" spans="1:19" ht="18" customHeight="1">
      <c r="A19" s="834" t="s">
        <v>1096</v>
      </c>
      <c r="B19" s="501">
        <v>36.1</v>
      </c>
      <c r="C19" s="132">
        <f t="shared" si="0"/>
        <v>3.1</v>
      </c>
      <c r="D19" s="503">
        <v>37.5</v>
      </c>
      <c r="E19" s="132">
        <f t="shared" ref="E19:E25" si="14">ROUND(D19/D$26*100,2)</f>
        <v>3.36</v>
      </c>
      <c r="F19" s="504">
        <f t="shared" si="2"/>
        <v>73.599999999999994</v>
      </c>
      <c r="G19" s="132">
        <f t="shared" si="3"/>
        <v>3.23</v>
      </c>
      <c r="H19" s="503">
        <v>4.5</v>
      </c>
      <c r="I19" s="132">
        <f t="shared" si="4"/>
        <v>3.38</v>
      </c>
      <c r="J19" s="503">
        <v>3.6</v>
      </c>
      <c r="K19" s="132">
        <f t="shared" si="5"/>
        <v>2.94</v>
      </c>
      <c r="L19" s="504">
        <f t="shared" si="6"/>
        <v>8.1</v>
      </c>
      <c r="M19" s="132">
        <f t="shared" si="7"/>
        <v>3.17</v>
      </c>
      <c r="N19" s="506">
        <f t="shared" si="8"/>
        <v>40.6</v>
      </c>
      <c r="O19" s="132">
        <f t="shared" si="9"/>
        <v>3.13</v>
      </c>
      <c r="P19" s="507">
        <f t="shared" si="10"/>
        <v>41.1</v>
      </c>
      <c r="Q19" s="132">
        <f t="shared" si="13"/>
        <v>3.32</v>
      </c>
      <c r="R19" s="507">
        <f t="shared" si="11"/>
        <v>81.699999999999989</v>
      </c>
      <c r="S19" s="132">
        <f t="shared" si="12"/>
        <v>3.22</v>
      </c>
    </row>
    <row r="20" spans="1:19" ht="18" customHeight="1">
      <c r="A20" s="834" t="s">
        <v>1097</v>
      </c>
      <c r="B20" s="501">
        <v>29.7</v>
      </c>
      <c r="C20" s="132">
        <f t="shared" si="0"/>
        <v>2.5499999999999998</v>
      </c>
      <c r="D20" s="503">
        <v>33.5</v>
      </c>
      <c r="E20" s="132">
        <f t="shared" si="14"/>
        <v>3</v>
      </c>
      <c r="F20" s="504">
        <f t="shared" si="2"/>
        <v>63.2</v>
      </c>
      <c r="G20" s="132">
        <f t="shared" si="3"/>
        <v>2.77</v>
      </c>
      <c r="H20" s="503">
        <v>3.2</v>
      </c>
      <c r="I20" s="132">
        <f t="shared" si="4"/>
        <v>2.41</v>
      </c>
      <c r="J20" s="503">
        <v>3.2</v>
      </c>
      <c r="K20" s="132">
        <f t="shared" si="5"/>
        <v>2.61</v>
      </c>
      <c r="L20" s="504">
        <f t="shared" si="6"/>
        <v>6.4</v>
      </c>
      <c r="M20" s="132">
        <f t="shared" si="7"/>
        <v>2.5099999999999998</v>
      </c>
      <c r="N20" s="506">
        <f t="shared" si="8"/>
        <v>32.9</v>
      </c>
      <c r="O20" s="132">
        <f t="shared" si="9"/>
        <v>2.5299999999999998</v>
      </c>
      <c r="P20" s="507">
        <f t="shared" si="10"/>
        <v>36.700000000000003</v>
      </c>
      <c r="Q20" s="132">
        <f t="shared" si="13"/>
        <v>2.96</v>
      </c>
      <c r="R20" s="507">
        <f t="shared" si="11"/>
        <v>69.600000000000009</v>
      </c>
      <c r="S20" s="132">
        <f t="shared" si="12"/>
        <v>2.74</v>
      </c>
    </row>
    <row r="21" spans="1:19" ht="18" customHeight="1">
      <c r="A21" s="834" t="s">
        <v>1098</v>
      </c>
      <c r="B21" s="501">
        <v>20.399999999999999</v>
      </c>
      <c r="C21" s="132">
        <f t="shared" si="0"/>
        <v>1.75</v>
      </c>
      <c r="D21" s="503">
        <v>24.4</v>
      </c>
      <c r="E21" s="132">
        <f t="shared" si="14"/>
        <v>2.19</v>
      </c>
      <c r="F21" s="504">
        <f t="shared" si="2"/>
        <v>44.8</v>
      </c>
      <c r="G21" s="132">
        <f>ROUND(F21/F$26*100,2)+0.01</f>
        <v>1.97</v>
      </c>
      <c r="H21" s="503">
        <v>2.1</v>
      </c>
      <c r="I21" s="132">
        <f t="shared" si="4"/>
        <v>1.58</v>
      </c>
      <c r="J21" s="503">
        <v>2.4</v>
      </c>
      <c r="K21" s="132">
        <f t="shared" si="5"/>
        <v>1.96</v>
      </c>
      <c r="L21" s="504">
        <f t="shared" si="6"/>
        <v>4.5</v>
      </c>
      <c r="M21" s="132">
        <f t="shared" si="7"/>
        <v>1.76</v>
      </c>
      <c r="N21" s="506">
        <f t="shared" si="8"/>
        <v>22.5</v>
      </c>
      <c r="O21" s="132">
        <f t="shared" si="9"/>
        <v>1.73</v>
      </c>
      <c r="P21" s="507">
        <f t="shared" si="10"/>
        <v>26.799999999999997</v>
      </c>
      <c r="Q21" s="132">
        <f t="shared" si="13"/>
        <v>2.16</v>
      </c>
      <c r="R21" s="507">
        <f t="shared" si="11"/>
        <v>49.3</v>
      </c>
      <c r="S21" s="132">
        <f t="shared" si="12"/>
        <v>1.94</v>
      </c>
    </row>
    <row r="22" spans="1:19" ht="18" customHeight="1">
      <c r="A22" s="834" t="s">
        <v>1101</v>
      </c>
      <c r="B22" s="501">
        <v>13.8</v>
      </c>
      <c r="C22" s="132">
        <f>ROUND(B22/B$26*100,2)+0.01</f>
        <v>1.19</v>
      </c>
      <c r="D22" s="503">
        <v>15.2</v>
      </c>
      <c r="E22" s="132">
        <f t="shared" si="14"/>
        <v>1.36</v>
      </c>
      <c r="F22" s="504">
        <f t="shared" si="2"/>
        <v>29</v>
      </c>
      <c r="G22" s="132">
        <f>ROUND(F22/F$26*100,2)</f>
        <v>1.27</v>
      </c>
      <c r="H22" s="503">
        <v>1.6</v>
      </c>
      <c r="I22" s="132">
        <f t="shared" si="4"/>
        <v>1.2</v>
      </c>
      <c r="J22" s="503">
        <v>1.6</v>
      </c>
      <c r="K22" s="132">
        <f t="shared" si="5"/>
        <v>1.31</v>
      </c>
      <c r="L22" s="504">
        <f t="shared" si="6"/>
        <v>3.2</v>
      </c>
      <c r="M22" s="132">
        <f t="shared" si="7"/>
        <v>1.25</v>
      </c>
      <c r="N22" s="506">
        <f t="shared" si="8"/>
        <v>15.4</v>
      </c>
      <c r="O22" s="132">
        <f t="shared" si="9"/>
        <v>1.19</v>
      </c>
      <c r="P22" s="507">
        <f t="shared" si="10"/>
        <v>16.8</v>
      </c>
      <c r="Q22" s="132">
        <f t="shared" si="13"/>
        <v>1.36</v>
      </c>
      <c r="R22" s="507">
        <f t="shared" si="11"/>
        <v>32.200000000000003</v>
      </c>
      <c r="S22" s="132">
        <f t="shared" si="12"/>
        <v>1.27</v>
      </c>
    </row>
    <row r="23" spans="1:19" ht="18" customHeight="1">
      <c r="A23" s="834" t="s">
        <v>1102</v>
      </c>
      <c r="B23" s="501">
        <v>6.8</v>
      </c>
      <c r="C23" s="132">
        <f>ROUND(B23/B$26*100,2)</f>
        <v>0.57999999999999996</v>
      </c>
      <c r="D23" s="503">
        <v>7.4</v>
      </c>
      <c r="E23" s="132">
        <f t="shared" si="14"/>
        <v>0.66</v>
      </c>
      <c r="F23" s="504">
        <f t="shared" si="2"/>
        <v>14.2</v>
      </c>
      <c r="G23" s="132">
        <f>ROUND(F23/F$26*100,2)</f>
        <v>0.62</v>
      </c>
      <c r="H23" s="503">
        <v>0.8</v>
      </c>
      <c r="I23" s="132">
        <f t="shared" si="4"/>
        <v>0.6</v>
      </c>
      <c r="J23" s="503">
        <v>0.8</v>
      </c>
      <c r="K23" s="132">
        <f t="shared" si="5"/>
        <v>0.65</v>
      </c>
      <c r="L23" s="504">
        <f t="shared" si="6"/>
        <v>1.6</v>
      </c>
      <c r="M23" s="132">
        <f t="shared" si="7"/>
        <v>0.63</v>
      </c>
      <c r="N23" s="506">
        <f t="shared" si="8"/>
        <v>7.6</v>
      </c>
      <c r="O23" s="132">
        <f t="shared" si="9"/>
        <v>0.59</v>
      </c>
      <c r="P23" s="507">
        <f t="shared" si="10"/>
        <v>8.2000000000000011</v>
      </c>
      <c r="Q23" s="132">
        <f t="shared" si="13"/>
        <v>0.66</v>
      </c>
      <c r="R23" s="507">
        <f t="shared" si="11"/>
        <v>15.799999999999999</v>
      </c>
      <c r="S23" s="132">
        <f t="shared" si="12"/>
        <v>0.62</v>
      </c>
    </row>
    <row r="24" spans="1:19" ht="18" customHeight="1">
      <c r="A24" s="834" t="s">
        <v>1103</v>
      </c>
      <c r="B24" s="501">
        <v>7.5</v>
      </c>
      <c r="C24" s="132">
        <f>ROUND(B24/B$26*100,2)</f>
        <v>0.64</v>
      </c>
      <c r="D24" s="503">
        <v>7.6</v>
      </c>
      <c r="E24" s="132">
        <f t="shared" si="14"/>
        <v>0.68</v>
      </c>
      <c r="F24" s="504">
        <f t="shared" si="2"/>
        <v>15.1</v>
      </c>
      <c r="G24" s="132">
        <f>ROUND(F24/F$26*100,2)</f>
        <v>0.66</v>
      </c>
      <c r="H24" s="503">
        <v>0.8</v>
      </c>
      <c r="I24" s="132">
        <f t="shared" si="4"/>
        <v>0.6</v>
      </c>
      <c r="J24" s="503">
        <v>0.9</v>
      </c>
      <c r="K24" s="132">
        <f t="shared" si="5"/>
        <v>0.74</v>
      </c>
      <c r="L24" s="504">
        <f t="shared" si="6"/>
        <v>1.7000000000000002</v>
      </c>
      <c r="M24" s="132">
        <f t="shared" si="7"/>
        <v>0.67</v>
      </c>
      <c r="N24" s="506">
        <f t="shared" si="8"/>
        <v>8.3000000000000007</v>
      </c>
      <c r="O24" s="132">
        <f t="shared" si="9"/>
        <v>0.64</v>
      </c>
      <c r="P24" s="507">
        <f t="shared" si="10"/>
        <v>8.5</v>
      </c>
      <c r="Q24" s="132">
        <f t="shared" si="13"/>
        <v>0.69</v>
      </c>
      <c r="R24" s="507">
        <f t="shared" si="11"/>
        <v>16.8</v>
      </c>
      <c r="S24" s="132">
        <f t="shared" si="12"/>
        <v>0.66</v>
      </c>
    </row>
    <row r="25" spans="1:19" ht="24" customHeight="1">
      <c r="A25" s="613" t="s">
        <v>1099</v>
      </c>
      <c r="B25" s="501">
        <v>1.2</v>
      </c>
      <c r="C25" s="132">
        <f>ROUND(B25/B$26*100,2)</f>
        <v>0.1</v>
      </c>
      <c r="D25" s="503">
        <v>1</v>
      </c>
      <c r="E25" s="132">
        <f t="shared" si="14"/>
        <v>0.09</v>
      </c>
      <c r="F25" s="504">
        <f t="shared" si="2"/>
        <v>2.2000000000000002</v>
      </c>
      <c r="G25" s="132">
        <f>ROUND(F25/F$26*100,2)</f>
        <v>0.1</v>
      </c>
      <c r="H25" s="503">
        <v>0.1</v>
      </c>
      <c r="I25" s="132">
        <f>ROUND(H25/H$26*100,2)-0.01</f>
        <v>7.0000000000000007E-2</v>
      </c>
      <c r="J25" s="503">
        <v>0.1</v>
      </c>
      <c r="K25" s="132">
        <f t="shared" si="5"/>
        <v>0.08</v>
      </c>
      <c r="L25" s="504">
        <f t="shared" si="6"/>
        <v>0.2</v>
      </c>
      <c r="M25" s="132">
        <f t="shared" si="7"/>
        <v>0.08</v>
      </c>
      <c r="N25" s="506">
        <f t="shared" si="8"/>
        <v>1.3</v>
      </c>
      <c r="O25" s="132">
        <f t="shared" si="9"/>
        <v>0.1</v>
      </c>
      <c r="P25" s="507">
        <f t="shared" si="10"/>
        <v>1.1000000000000001</v>
      </c>
      <c r="Q25" s="132">
        <f t="shared" si="13"/>
        <v>0.09</v>
      </c>
      <c r="R25" s="507">
        <f t="shared" si="11"/>
        <v>2.4000000000000004</v>
      </c>
      <c r="S25" s="132">
        <f>ROUND(R25/R$26*100,2)+0.01</f>
        <v>9.9999999999999992E-2</v>
      </c>
    </row>
    <row r="26" spans="1:19" ht="18" customHeight="1">
      <c r="A26" s="835" t="s">
        <v>1100</v>
      </c>
      <c r="B26" s="836">
        <f t="shared" ref="B26:S26" si="15">SUM(B8:B25)</f>
        <v>1165.0999999999999</v>
      </c>
      <c r="C26" s="837">
        <f t="shared" si="15"/>
        <v>99.999999999999986</v>
      </c>
      <c r="D26" s="836">
        <f t="shared" si="15"/>
        <v>1116.0000000000002</v>
      </c>
      <c r="E26" s="837">
        <f t="shared" si="15"/>
        <v>100</v>
      </c>
      <c r="F26" s="836">
        <f t="shared" si="15"/>
        <v>2281.0999999999995</v>
      </c>
      <c r="G26" s="837">
        <f t="shared" si="15"/>
        <v>99.999999999999986</v>
      </c>
      <c r="H26" s="836">
        <f t="shared" si="15"/>
        <v>133</v>
      </c>
      <c r="I26" s="837">
        <f t="shared" si="15"/>
        <v>99.999999999999972</v>
      </c>
      <c r="J26" s="836">
        <f t="shared" si="15"/>
        <v>122.39999999999999</v>
      </c>
      <c r="K26" s="837">
        <f t="shared" si="15"/>
        <v>100</v>
      </c>
      <c r="L26" s="836">
        <f t="shared" si="15"/>
        <v>255.39999999999992</v>
      </c>
      <c r="M26" s="837">
        <f t="shared" si="15"/>
        <v>99.999999999999986</v>
      </c>
      <c r="N26" s="836">
        <f t="shared" si="15"/>
        <v>1298.0999999999999</v>
      </c>
      <c r="O26" s="837">
        <f t="shared" si="15"/>
        <v>100</v>
      </c>
      <c r="P26" s="836">
        <f t="shared" si="15"/>
        <v>1238.3999999999996</v>
      </c>
      <c r="Q26" s="837">
        <f t="shared" si="15"/>
        <v>99.999999999999986</v>
      </c>
      <c r="R26" s="836">
        <f t="shared" si="15"/>
        <v>2536.5</v>
      </c>
      <c r="S26" s="837">
        <f t="shared" si="15"/>
        <v>99.999999999999972</v>
      </c>
    </row>
    <row r="27" spans="1:19">
      <c r="A27" s="838"/>
      <c r="B27" s="753"/>
      <c r="C27" s="753"/>
      <c r="D27" s="753"/>
      <c r="E27" s="753"/>
      <c r="F27" s="753"/>
      <c r="G27" s="753"/>
      <c r="H27" s="753"/>
      <c r="I27" s="753"/>
      <c r="J27" s="753"/>
      <c r="K27" s="753"/>
      <c r="L27" s="753"/>
      <c r="M27" s="1471" t="s">
        <v>1164</v>
      </c>
      <c r="N27" s="1471"/>
      <c r="O27" s="1471"/>
      <c r="P27" s="1471"/>
      <c r="Q27" s="1471"/>
      <c r="R27" s="1471"/>
      <c r="S27" s="1471"/>
    </row>
  </sheetData>
  <mergeCells count="16">
    <mergeCell ref="A2:S2"/>
    <mergeCell ref="A1:S1"/>
    <mergeCell ref="A4:A6"/>
    <mergeCell ref="B4:G4"/>
    <mergeCell ref="H4:M4"/>
    <mergeCell ref="N4:S4"/>
    <mergeCell ref="B5:C5"/>
    <mergeCell ref="D5:E5"/>
    <mergeCell ref="F5:G5"/>
    <mergeCell ref="H5:I5"/>
    <mergeCell ref="J5:K5"/>
    <mergeCell ref="M27:S27"/>
    <mergeCell ref="L5:M5"/>
    <mergeCell ref="N5:O5"/>
    <mergeCell ref="P5:Q5"/>
    <mergeCell ref="R5:S5"/>
  </mergeCells>
  <phoneticPr fontId="0" type="noConversion"/>
  <printOptions horizontalCentered="1" verticalCentered="1"/>
  <pageMargins left="0" right="0" top="0.38" bottom="0.21" header="0.5" footer="0.16"/>
  <pageSetup paperSize="9" orientation="landscape" blackAndWhite="1" r:id="rId1"/>
  <headerFooter alignWithMargins="0"/>
</worksheet>
</file>

<file path=xl/worksheets/sheet15.xml><?xml version="1.0" encoding="utf-8"?>
<worksheet xmlns="http://schemas.openxmlformats.org/spreadsheetml/2006/main" xmlns:r="http://schemas.openxmlformats.org/officeDocument/2006/relationships">
  <dimension ref="A1:S27"/>
  <sheetViews>
    <sheetView workbookViewId="0">
      <selection activeCell="F14" sqref="F14"/>
    </sheetView>
  </sheetViews>
  <sheetFormatPr defaultRowHeight="12.75"/>
  <cols>
    <col min="1" max="1" width="9.28515625" style="723" customWidth="1"/>
    <col min="2" max="2" width="9" style="723" customWidth="1"/>
    <col min="3" max="3" width="6.85546875" style="723" customWidth="1"/>
    <col min="4" max="4" width="8.85546875" style="723" customWidth="1"/>
    <col min="5" max="5" width="6.85546875" style="723" customWidth="1"/>
    <col min="6" max="6" width="8.7109375" style="723" customWidth="1"/>
    <col min="7" max="7" width="6.85546875" style="723" customWidth="1"/>
    <col min="8" max="8" width="8.140625" style="723" customWidth="1"/>
    <col min="9" max="9" width="6.85546875" style="723" customWidth="1"/>
    <col min="10" max="10" width="9" style="723" customWidth="1"/>
    <col min="11" max="11" width="6.85546875" style="723" customWidth="1"/>
    <col min="12" max="12" width="8" style="723" customWidth="1"/>
    <col min="13" max="13" width="6.85546875" style="723" customWidth="1"/>
    <col min="14" max="14" width="8" style="723" customWidth="1"/>
    <col min="15" max="15" width="6.85546875" style="723" customWidth="1"/>
    <col min="16" max="16" width="8.28515625" style="723" customWidth="1"/>
    <col min="17" max="17" width="6.85546875" style="723" customWidth="1"/>
    <col min="18" max="18" width="8.5703125" style="723" customWidth="1"/>
    <col min="19" max="19" width="6.85546875" style="723" customWidth="1"/>
    <col min="20" max="16384" width="9.140625" style="723"/>
  </cols>
  <sheetData>
    <row r="1" spans="1:19" ht="15.75" customHeight="1">
      <c r="A1" s="1399" t="s">
        <v>635</v>
      </c>
      <c r="B1" s="1399"/>
      <c r="C1" s="1399"/>
      <c r="D1" s="1399"/>
      <c r="E1" s="1399"/>
      <c r="F1" s="1399"/>
      <c r="G1" s="1399"/>
      <c r="H1" s="1399"/>
      <c r="I1" s="1399"/>
      <c r="J1" s="1399"/>
      <c r="K1" s="1399"/>
      <c r="L1" s="1399"/>
      <c r="M1" s="1399"/>
      <c r="N1" s="1399"/>
      <c r="O1" s="1399"/>
      <c r="P1" s="1399"/>
      <c r="Q1" s="1399"/>
      <c r="R1" s="1399"/>
      <c r="S1" s="1399"/>
    </row>
    <row r="2" spans="1:19" ht="18" customHeight="1">
      <c r="A2" s="1413" t="s">
        <v>935</v>
      </c>
      <c r="B2" s="1413"/>
      <c r="C2" s="1413"/>
      <c r="D2" s="1413"/>
      <c r="E2" s="1413"/>
      <c r="F2" s="1413"/>
      <c r="G2" s="1413"/>
      <c r="H2" s="1413"/>
      <c r="I2" s="1413"/>
      <c r="J2" s="1413"/>
      <c r="K2" s="1413"/>
      <c r="L2" s="1413"/>
      <c r="M2" s="1413"/>
      <c r="N2" s="1413"/>
      <c r="O2" s="1413"/>
      <c r="P2" s="1413"/>
      <c r="Q2" s="1413"/>
      <c r="R2" s="1413"/>
      <c r="S2" s="1413"/>
    </row>
    <row r="3" spans="1:19" ht="18" customHeight="1">
      <c r="A3" s="753"/>
      <c r="B3" s="824"/>
      <c r="C3" s="825"/>
      <c r="D3" s="825"/>
      <c r="E3" s="825"/>
      <c r="F3" s="825"/>
      <c r="G3" s="825"/>
      <c r="H3" s="825"/>
      <c r="I3" s="825"/>
      <c r="J3" s="825"/>
      <c r="K3" s="825"/>
      <c r="L3" s="825"/>
      <c r="M3" s="825"/>
      <c r="N3" s="825"/>
      <c r="O3" s="825"/>
      <c r="P3" s="825"/>
      <c r="Q3" s="690"/>
      <c r="R3" s="690"/>
      <c r="S3" s="539" t="s">
        <v>184</v>
      </c>
    </row>
    <row r="4" spans="1:19" ht="16.5" customHeight="1">
      <c r="A4" s="1408" t="s">
        <v>1074</v>
      </c>
      <c r="B4" s="1468" t="s">
        <v>208</v>
      </c>
      <c r="C4" s="1469"/>
      <c r="D4" s="1469"/>
      <c r="E4" s="1469"/>
      <c r="F4" s="1469"/>
      <c r="G4" s="1470"/>
      <c r="H4" s="1468" t="s">
        <v>206</v>
      </c>
      <c r="I4" s="1469"/>
      <c r="J4" s="1469"/>
      <c r="K4" s="1469"/>
      <c r="L4" s="1469"/>
      <c r="M4" s="1470"/>
      <c r="N4" s="1468" t="s">
        <v>1115</v>
      </c>
      <c r="O4" s="1469"/>
      <c r="P4" s="1469"/>
      <c r="Q4" s="1469"/>
      <c r="R4" s="1469"/>
      <c r="S4" s="1470"/>
    </row>
    <row r="5" spans="1:19" ht="16.5" customHeight="1">
      <c r="A5" s="1472"/>
      <c r="B5" s="1400" t="s">
        <v>1070</v>
      </c>
      <c r="C5" s="1401"/>
      <c r="D5" s="1407" t="s">
        <v>1071</v>
      </c>
      <c r="E5" s="1401"/>
      <c r="F5" s="1400" t="s">
        <v>1035</v>
      </c>
      <c r="G5" s="1401"/>
      <c r="H5" s="1407" t="s">
        <v>1070</v>
      </c>
      <c r="I5" s="1401"/>
      <c r="J5" s="1407" t="s">
        <v>1071</v>
      </c>
      <c r="K5" s="1401"/>
      <c r="L5" s="1400" t="s">
        <v>1035</v>
      </c>
      <c r="M5" s="1401"/>
      <c r="N5" s="1407" t="s">
        <v>1070</v>
      </c>
      <c r="O5" s="1401"/>
      <c r="P5" s="1407" t="s">
        <v>1071</v>
      </c>
      <c r="Q5" s="1401"/>
      <c r="R5" s="1400" t="s">
        <v>1035</v>
      </c>
      <c r="S5" s="1401"/>
    </row>
    <row r="6" spans="1:19" ht="16.5" customHeight="1">
      <c r="A6" s="1409"/>
      <c r="B6" s="123" t="s">
        <v>1059</v>
      </c>
      <c r="C6" s="491" t="s">
        <v>1075</v>
      </c>
      <c r="D6" s="125" t="s">
        <v>1059</v>
      </c>
      <c r="E6" s="491" t="s">
        <v>1075</v>
      </c>
      <c r="F6" s="123" t="s">
        <v>1059</v>
      </c>
      <c r="G6" s="491" t="s">
        <v>1075</v>
      </c>
      <c r="H6" s="125" t="s">
        <v>1059</v>
      </c>
      <c r="I6" s="491" t="s">
        <v>1075</v>
      </c>
      <c r="J6" s="125" t="s">
        <v>1059</v>
      </c>
      <c r="K6" s="491" t="s">
        <v>1075</v>
      </c>
      <c r="L6" s="123" t="s">
        <v>1059</v>
      </c>
      <c r="M6" s="491" t="s">
        <v>1075</v>
      </c>
      <c r="N6" s="125" t="s">
        <v>1059</v>
      </c>
      <c r="O6" s="491" t="s">
        <v>1075</v>
      </c>
      <c r="P6" s="125" t="s">
        <v>1059</v>
      </c>
      <c r="Q6" s="491" t="s">
        <v>1075</v>
      </c>
      <c r="R6" s="123" t="s">
        <v>1059</v>
      </c>
      <c r="S6" s="491" t="s">
        <v>1075</v>
      </c>
    </row>
    <row r="7" spans="1:19" ht="16.5" customHeight="1">
      <c r="A7" s="827" t="s">
        <v>1008</v>
      </c>
      <c r="B7" s="828" t="s">
        <v>1009</v>
      </c>
      <c r="C7" s="829" t="s">
        <v>1010</v>
      </c>
      <c r="D7" s="830" t="s">
        <v>1011</v>
      </c>
      <c r="E7" s="831" t="s">
        <v>1015</v>
      </c>
      <c r="F7" s="828" t="s">
        <v>1016</v>
      </c>
      <c r="G7" s="831" t="s">
        <v>1017</v>
      </c>
      <c r="H7" s="830" t="s">
        <v>1039</v>
      </c>
      <c r="I7" s="829" t="s">
        <v>1040</v>
      </c>
      <c r="J7" s="830" t="s">
        <v>1041</v>
      </c>
      <c r="K7" s="829" t="s">
        <v>1042</v>
      </c>
      <c r="L7" s="828" t="s">
        <v>1076</v>
      </c>
      <c r="M7" s="831" t="s">
        <v>1077</v>
      </c>
      <c r="N7" s="832" t="s">
        <v>1078</v>
      </c>
      <c r="O7" s="831" t="s">
        <v>1079</v>
      </c>
      <c r="P7" s="832" t="s">
        <v>1080</v>
      </c>
      <c r="Q7" s="831" t="s">
        <v>1081</v>
      </c>
      <c r="R7" s="828" t="s">
        <v>1083</v>
      </c>
      <c r="S7" s="829" t="s">
        <v>1082</v>
      </c>
    </row>
    <row r="8" spans="1:19" ht="18" customHeight="1">
      <c r="A8" s="833" t="s">
        <v>1084</v>
      </c>
      <c r="B8" s="697">
        <v>127780</v>
      </c>
      <c r="C8" s="132">
        <f t="shared" ref="C8:C21" si="0">ROUND(B8/B$26*100,2)</f>
        <v>9.8000000000000007</v>
      </c>
      <c r="D8" s="139">
        <v>122552</v>
      </c>
      <c r="E8" s="132">
        <f t="shared" ref="E8:E17" si="1">ROUND(D8/D$26*100,2)</f>
        <v>9.7799999999999994</v>
      </c>
      <c r="F8" s="700">
        <f t="shared" ref="F8:F25" si="2">B8+D8</f>
        <v>250332</v>
      </c>
      <c r="G8" s="132">
        <f t="shared" ref="G8:G20" si="3">ROUND(F8/F$26*100,2)</f>
        <v>9.7899999999999991</v>
      </c>
      <c r="H8" s="699">
        <v>15862</v>
      </c>
      <c r="I8" s="132">
        <f t="shared" ref="I8:I24" si="4">ROUND(H8/H$26*100,2)</f>
        <v>8.23</v>
      </c>
      <c r="J8" s="699">
        <v>15003</v>
      </c>
      <c r="K8" s="132">
        <f t="shared" ref="K8:K25" si="5">ROUND(J8/J$26*100,2)</f>
        <v>8.31</v>
      </c>
      <c r="L8" s="700">
        <f t="shared" ref="L8:L25" si="6">H8+J8</f>
        <v>30865</v>
      </c>
      <c r="M8" s="132">
        <f t="shared" ref="M8:M25" si="7">ROUND(L8/L$26*100,2)</f>
        <v>8.27</v>
      </c>
      <c r="N8" s="702">
        <f t="shared" ref="N8:N25" si="8">SUM(B8,H8)</f>
        <v>143642</v>
      </c>
      <c r="O8" s="132">
        <f>ROUND(N8/N$26*100,2)-0.01</f>
        <v>9.59</v>
      </c>
      <c r="P8" s="702">
        <f t="shared" ref="P8:P25" si="9">SUM(D8,J8)</f>
        <v>137555</v>
      </c>
      <c r="Q8" s="132">
        <f t="shared" ref="Q8:Q13" si="10">ROUND(P8/P$26*100,2)</f>
        <v>9.6</v>
      </c>
      <c r="R8" s="702">
        <f t="shared" ref="R8:R25" si="11">SUM(F8,L8)</f>
        <v>281197</v>
      </c>
      <c r="S8" s="132">
        <f>ROUND(R8/R$26*100,2)</f>
        <v>9.6</v>
      </c>
    </row>
    <row r="9" spans="1:19" ht="18" customHeight="1">
      <c r="A9" s="834" t="s">
        <v>1085</v>
      </c>
      <c r="B9" s="697">
        <v>141082</v>
      </c>
      <c r="C9" s="132">
        <f t="shared" si="0"/>
        <v>10.82</v>
      </c>
      <c r="D9" s="699">
        <v>135017</v>
      </c>
      <c r="E9" s="132">
        <f t="shared" si="1"/>
        <v>10.78</v>
      </c>
      <c r="F9" s="700">
        <f t="shared" si="2"/>
        <v>276099</v>
      </c>
      <c r="G9" s="132">
        <f t="shared" si="3"/>
        <v>10.8</v>
      </c>
      <c r="H9" s="699">
        <v>18298</v>
      </c>
      <c r="I9" s="132">
        <f t="shared" si="4"/>
        <v>9.49</v>
      </c>
      <c r="J9" s="699">
        <v>16571</v>
      </c>
      <c r="K9" s="132">
        <f t="shared" si="5"/>
        <v>9.18</v>
      </c>
      <c r="L9" s="700">
        <f t="shared" si="6"/>
        <v>34869</v>
      </c>
      <c r="M9" s="132">
        <f t="shared" si="7"/>
        <v>9.34</v>
      </c>
      <c r="N9" s="702">
        <f t="shared" si="8"/>
        <v>159380</v>
      </c>
      <c r="O9" s="132">
        <f t="shared" ref="O9:O25" si="12">ROUND(N9/N$26*100,2)</f>
        <v>10.65</v>
      </c>
      <c r="P9" s="702">
        <f t="shared" si="9"/>
        <v>151588</v>
      </c>
      <c r="Q9" s="132">
        <f t="shared" si="10"/>
        <v>10.58</v>
      </c>
      <c r="R9" s="702">
        <f t="shared" si="11"/>
        <v>310968</v>
      </c>
      <c r="S9" s="132">
        <f>ROUND(R9/R$26*100,2)</f>
        <v>10.61</v>
      </c>
    </row>
    <row r="10" spans="1:19" ht="18" customHeight="1">
      <c r="A10" s="834" t="s">
        <v>1086</v>
      </c>
      <c r="B10" s="697">
        <v>141383</v>
      </c>
      <c r="C10" s="132">
        <f t="shared" si="0"/>
        <v>10.84</v>
      </c>
      <c r="D10" s="699">
        <v>136242</v>
      </c>
      <c r="E10" s="132">
        <f t="shared" si="1"/>
        <v>10.88</v>
      </c>
      <c r="F10" s="700">
        <f t="shared" si="2"/>
        <v>277625</v>
      </c>
      <c r="G10" s="132">
        <f t="shared" si="3"/>
        <v>10.86</v>
      </c>
      <c r="H10" s="699">
        <v>18883</v>
      </c>
      <c r="I10" s="132">
        <f t="shared" si="4"/>
        <v>9.7899999999999991</v>
      </c>
      <c r="J10" s="699">
        <v>18057</v>
      </c>
      <c r="K10" s="132">
        <f t="shared" si="5"/>
        <v>10</v>
      </c>
      <c r="L10" s="700">
        <f t="shared" si="6"/>
        <v>36940</v>
      </c>
      <c r="M10" s="132">
        <f t="shared" si="7"/>
        <v>9.9</v>
      </c>
      <c r="N10" s="702">
        <f t="shared" si="8"/>
        <v>160266</v>
      </c>
      <c r="O10" s="132">
        <f t="shared" si="12"/>
        <v>10.71</v>
      </c>
      <c r="P10" s="702">
        <f t="shared" si="9"/>
        <v>154299</v>
      </c>
      <c r="Q10" s="132">
        <f t="shared" si="10"/>
        <v>10.77</v>
      </c>
      <c r="R10" s="702">
        <f t="shared" si="11"/>
        <v>314565</v>
      </c>
      <c r="S10" s="132">
        <f>ROUND(R10/R$26*100,2)-0.01</f>
        <v>10.73</v>
      </c>
    </row>
    <row r="11" spans="1:19" ht="18" customHeight="1">
      <c r="A11" s="834" t="s">
        <v>1087</v>
      </c>
      <c r="B11" s="697">
        <v>131076</v>
      </c>
      <c r="C11" s="132">
        <f t="shared" si="0"/>
        <v>10.050000000000001</v>
      </c>
      <c r="D11" s="699">
        <v>110082</v>
      </c>
      <c r="E11" s="132">
        <f t="shared" si="1"/>
        <v>8.7899999999999991</v>
      </c>
      <c r="F11" s="700">
        <f t="shared" si="2"/>
        <v>241158</v>
      </c>
      <c r="G11" s="132">
        <f t="shared" si="3"/>
        <v>9.43</v>
      </c>
      <c r="H11" s="699">
        <v>19390</v>
      </c>
      <c r="I11" s="132">
        <f t="shared" si="4"/>
        <v>10.06</v>
      </c>
      <c r="J11" s="699">
        <v>17695</v>
      </c>
      <c r="K11" s="132">
        <f t="shared" si="5"/>
        <v>9.8000000000000007</v>
      </c>
      <c r="L11" s="700">
        <f t="shared" si="6"/>
        <v>37085</v>
      </c>
      <c r="M11" s="132">
        <f t="shared" si="7"/>
        <v>9.93</v>
      </c>
      <c r="N11" s="702">
        <f t="shared" si="8"/>
        <v>150466</v>
      </c>
      <c r="O11" s="132">
        <f t="shared" si="12"/>
        <v>10.050000000000001</v>
      </c>
      <c r="P11" s="702">
        <f t="shared" si="9"/>
        <v>127777</v>
      </c>
      <c r="Q11" s="132">
        <f>ROUND(P11/P$26*100,2)-0.01</f>
        <v>8.91</v>
      </c>
      <c r="R11" s="702">
        <f t="shared" si="11"/>
        <v>278243</v>
      </c>
      <c r="S11" s="132">
        <f>ROUND(R11/R$26*100,2)</f>
        <v>9.5</v>
      </c>
    </row>
    <row r="12" spans="1:19" ht="18" customHeight="1">
      <c r="A12" s="834" t="s">
        <v>1088</v>
      </c>
      <c r="B12" s="697">
        <v>111516</v>
      </c>
      <c r="C12" s="132">
        <f t="shared" si="0"/>
        <v>8.5500000000000007</v>
      </c>
      <c r="D12" s="699">
        <v>107453</v>
      </c>
      <c r="E12" s="132">
        <f t="shared" si="1"/>
        <v>8.58</v>
      </c>
      <c r="F12" s="700">
        <f t="shared" si="2"/>
        <v>218969</v>
      </c>
      <c r="G12" s="132">
        <f>ROUND(F12/F$26*100,2)+0.01</f>
        <v>8.57</v>
      </c>
      <c r="H12" s="699">
        <v>17644</v>
      </c>
      <c r="I12" s="132">
        <f t="shared" si="4"/>
        <v>9.15</v>
      </c>
      <c r="J12" s="699">
        <v>17063</v>
      </c>
      <c r="K12" s="132">
        <f t="shared" si="5"/>
        <v>9.4499999999999993</v>
      </c>
      <c r="L12" s="700">
        <f t="shared" si="6"/>
        <v>34707</v>
      </c>
      <c r="M12" s="132">
        <f t="shared" si="7"/>
        <v>9.3000000000000007</v>
      </c>
      <c r="N12" s="702">
        <f t="shared" si="8"/>
        <v>129160</v>
      </c>
      <c r="O12" s="132">
        <f t="shared" si="12"/>
        <v>8.6300000000000008</v>
      </c>
      <c r="P12" s="702">
        <f t="shared" si="9"/>
        <v>124516</v>
      </c>
      <c r="Q12" s="132">
        <f t="shared" si="10"/>
        <v>8.69</v>
      </c>
      <c r="R12" s="702">
        <f t="shared" si="11"/>
        <v>253676</v>
      </c>
      <c r="S12" s="132">
        <f>ROUND(R12/R$26*100,2)</f>
        <v>8.66</v>
      </c>
    </row>
    <row r="13" spans="1:19" ht="18" customHeight="1">
      <c r="A13" s="834" t="s">
        <v>1089</v>
      </c>
      <c r="B13" s="697">
        <v>104534</v>
      </c>
      <c r="C13" s="132">
        <f t="shared" si="0"/>
        <v>8.02</v>
      </c>
      <c r="D13" s="699">
        <v>102351</v>
      </c>
      <c r="E13" s="132">
        <f t="shared" si="1"/>
        <v>8.17</v>
      </c>
      <c r="F13" s="700">
        <f t="shared" si="2"/>
        <v>206885</v>
      </c>
      <c r="G13" s="132">
        <f t="shared" si="3"/>
        <v>8.09</v>
      </c>
      <c r="H13" s="701">
        <v>16522</v>
      </c>
      <c r="I13" s="132">
        <f t="shared" si="4"/>
        <v>8.57</v>
      </c>
      <c r="J13" s="699">
        <v>16001</v>
      </c>
      <c r="K13" s="132">
        <f t="shared" si="5"/>
        <v>8.86</v>
      </c>
      <c r="L13" s="700">
        <f t="shared" si="6"/>
        <v>32523</v>
      </c>
      <c r="M13" s="132">
        <f t="shared" si="7"/>
        <v>8.7100000000000009</v>
      </c>
      <c r="N13" s="702">
        <f t="shared" si="8"/>
        <v>121056</v>
      </c>
      <c r="O13" s="132">
        <f t="shared" si="12"/>
        <v>8.09</v>
      </c>
      <c r="P13" s="702">
        <f t="shared" si="9"/>
        <v>118352</v>
      </c>
      <c r="Q13" s="132">
        <f t="shared" si="10"/>
        <v>8.26</v>
      </c>
      <c r="R13" s="702">
        <f t="shared" si="11"/>
        <v>239408</v>
      </c>
      <c r="S13" s="132">
        <f t="shared" ref="S13:S24" si="13">ROUND(R13/R$26*100,2)</f>
        <v>8.17</v>
      </c>
    </row>
    <row r="14" spans="1:19" ht="18" customHeight="1">
      <c r="A14" s="834" t="s">
        <v>1090</v>
      </c>
      <c r="B14" s="697">
        <v>89858</v>
      </c>
      <c r="C14" s="132">
        <f t="shared" si="0"/>
        <v>6.89</v>
      </c>
      <c r="D14" s="699">
        <v>89977</v>
      </c>
      <c r="E14" s="132">
        <f t="shared" si="1"/>
        <v>7.18</v>
      </c>
      <c r="F14" s="700">
        <f t="shared" si="2"/>
        <v>179835</v>
      </c>
      <c r="G14" s="132">
        <f t="shared" si="3"/>
        <v>7.03</v>
      </c>
      <c r="H14" s="699">
        <v>14514</v>
      </c>
      <c r="I14" s="132">
        <f t="shared" si="4"/>
        <v>7.53</v>
      </c>
      <c r="J14" s="699">
        <v>14103</v>
      </c>
      <c r="K14" s="132">
        <f t="shared" si="5"/>
        <v>7.81</v>
      </c>
      <c r="L14" s="700">
        <f t="shared" si="6"/>
        <v>28617</v>
      </c>
      <c r="M14" s="132">
        <f t="shared" si="7"/>
        <v>7.67</v>
      </c>
      <c r="N14" s="702">
        <f t="shared" si="8"/>
        <v>104372</v>
      </c>
      <c r="O14" s="132">
        <f t="shared" si="12"/>
        <v>6.97</v>
      </c>
      <c r="P14" s="702">
        <f t="shared" si="9"/>
        <v>104080</v>
      </c>
      <c r="Q14" s="132">
        <f t="shared" ref="Q14:Q25" si="14">ROUND(P14/P$26*100,2)</f>
        <v>7.26</v>
      </c>
      <c r="R14" s="702">
        <f t="shared" si="11"/>
        <v>208452</v>
      </c>
      <c r="S14" s="132">
        <f t="shared" si="13"/>
        <v>7.11</v>
      </c>
    </row>
    <row r="15" spans="1:19" ht="18" customHeight="1">
      <c r="A15" s="834" t="s">
        <v>1091</v>
      </c>
      <c r="B15" s="697">
        <v>93682</v>
      </c>
      <c r="C15" s="132">
        <f t="shared" si="0"/>
        <v>7.18</v>
      </c>
      <c r="D15" s="699">
        <v>90760</v>
      </c>
      <c r="E15" s="132">
        <f>ROUND(D15/D$26*100,2)-0.01</f>
        <v>7.24</v>
      </c>
      <c r="F15" s="700">
        <f t="shared" si="2"/>
        <v>184442</v>
      </c>
      <c r="G15" s="132">
        <f t="shared" si="3"/>
        <v>7.21</v>
      </c>
      <c r="H15" s="699">
        <v>14374</v>
      </c>
      <c r="I15" s="132">
        <f t="shared" si="4"/>
        <v>7.46</v>
      </c>
      <c r="J15" s="699">
        <v>14083</v>
      </c>
      <c r="K15" s="132">
        <f t="shared" si="5"/>
        <v>7.8</v>
      </c>
      <c r="L15" s="700">
        <f t="shared" si="6"/>
        <v>28457</v>
      </c>
      <c r="M15" s="132">
        <f t="shared" si="7"/>
        <v>7.62</v>
      </c>
      <c r="N15" s="702">
        <f t="shared" si="8"/>
        <v>108056</v>
      </c>
      <c r="O15" s="132">
        <f t="shared" si="12"/>
        <v>7.22</v>
      </c>
      <c r="P15" s="702">
        <f t="shared" si="9"/>
        <v>104843</v>
      </c>
      <c r="Q15" s="132">
        <f>ROUND(P15/P$26*100,2)-0.01</f>
        <v>7.3100000000000005</v>
      </c>
      <c r="R15" s="702">
        <f t="shared" si="11"/>
        <v>212899</v>
      </c>
      <c r="S15" s="132">
        <f>ROUND(R15/R$26*100,2)-0.01</f>
        <v>7.26</v>
      </c>
    </row>
    <row r="16" spans="1:19" ht="18" customHeight="1">
      <c r="A16" s="834" t="s">
        <v>1092</v>
      </c>
      <c r="B16" s="697">
        <v>83391</v>
      </c>
      <c r="C16" s="132">
        <f t="shared" si="0"/>
        <v>6.39</v>
      </c>
      <c r="D16" s="699">
        <v>76907</v>
      </c>
      <c r="E16" s="132">
        <f t="shared" si="1"/>
        <v>6.14</v>
      </c>
      <c r="F16" s="700">
        <f t="shared" si="2"/>
        <v>160298</v>
      </c>
      <c r="G16" s="132">
        <f t="shared" si="3"/>
        <v>6.27</v>
      </c>
      <c r="H16" s="699">
        <v>13140</v>
      </c>
      <c r="I16" s="132">
        <f>ROUND(H16/H$26*100,2)-0.01</f>
        <v>6.8100000000000005</v>
      </c>
      <c r="J16" s="699">
        <v>11628</v>
      </c>
      <c r="K16" s="132">
        <f t="shared" si="5"/>
        <v>6.44</v>
      </c>
      <c r="L16" s="700">
        <f t="shared" si="6"/>
        <v>24768</v>
      </c>
      <c r="M16" s="132">
        <f t="shared" si="7"/>
        <v>6.63</v>
      </c>
      <c r="N16" s="702">
        <f t="shared" si="8"/>
        <v>96531</v>
      </c>
      <c r="O16" s="132">
        <f t="shared" si="12"/>
        <v>6.45</v>
      </c>
      <c r="P16" s="702">
        <f t="shared" si="9"/>
        <v>88535</v>
      </c>
      <c r="Q16" s="132">
        <f t="shared" si="14"/>
        <v>6.18</v>
      </c>
      <c r="R16" s="702">
        <f t="shared" si="11"/>
        <v>185066</v>
      </c>
      <c r="S16" s="132">
        <f t="shared" si="13"/>
        <v>6.32</v>
      </c>
    </row>
    <row r="17" spans="1:19" ht="18" customHeight="1">
      <c r="A17" s="834" t="s">
        <v>1093</v>
      </c>
      <c r="B17" s="698">
        <v>71133</v>
      </c>
      <c r="C17" s="132">
        <f t="shared" si="0"/>
        <v>5.45</v>
      </c>
      <c r="D17" s="139">
        <v>65223</v>
      </c>
      <c r="E17" s="132">
        <f t="shared" si="1"/>
        <v>5.21</v>
      </c>
      <c r="F17" s="700">
        <f t="shared" si="2"/>
        <v>136356</v>
      </c>
      <c r="G17" s="132">
        <f t="shared" si="3"/>
        <v>5.33</v>
      </c>
      <c r="H17" s="139">
        <v>11634</v>
      </c>
      <c r="I17" s="132">
        <f t="shared" si="4"/>
        <v>6.03</v>
      </c>
      <c r="J17" s="139">
        <v>10369</v>
      </c>
      <c r="K17" s="132">
        <f>ROUND(J17/J$26*100,2)+0.01</f>
        <v>5.75</v>
      </c>
      <c r="L17" s="700">
        <f t="shared" si="6"/>
        <v>22003</v>
      </c>
      <c r="M17" s="132">
        <f t="shared" si="7"/>
        <v>5.89</v>
      </c>
      <c r="N17" s="702">
        <f t="shared" si="8"/>
        <v>82767</v>
      </c>
      <c r="O17" s="132">
        <f t="shared" si="12"/>
        <v>5.53</v>
      </c>
      <c r="P17" s="702">
        <f t="shared" si="9"/>
        <v>75592</v>
      </c>
      <c r="Q17" s="132">
        <f t="shared" si="14"/>
        <v>5.27</v>
      </c>
      <c r="R17" s="702">
        <f t="shared" si="11"/>
        <v>158359</v>
      </c>
      <c r="S17" s="132">
        <f t="shared" si="13"/>
        <v>5.4</v>
      </c>
    </row>
    <row r="18" spans="1:19" ht="18" customHeight="1">
      <c r="A18" s="834" t="s">
        <v>1095</v>
      </c>
      <c r="B18" s="698">
        <v>57298</v>
      </c>
      <c r="C18" s="132">
        <f t="shared" si="0"/>
        <v>4.3899999999999997</v>
      </c>
      <c r="D18" s="139">
        <v>51978</v>
      </c>
      <c r="E18" s="132">
        <f>ROUND(D18/D$26*100,2)</f>
        <v>4.1500000000000004</v>
      </c>
      <c r="F18" s="700">
        <f t="shared" si="2"/>
        <v>109276</v>
      </c>
      <c r="G18" s="132">
        <f t="shared" si="3"/>
        <v>4.2699999999999996</v>
      </c>
      <c r="H18" s="139">
        <v>9151</v>
      </c>
      <c r="I18" s="132">
        <f t="shared" si="4"/>
        <v>4.75</v>
      </c>
      <c r="J18" s="139">
        <v>7919</v>
      </c>
      <c r="K18" s="132">
        <f t="shared" si="5"/>
        <v>4.3899999999999997</v>
      </c>
      <c r="L18" s="700">
        <f t="shared" si="6"/>
        <v>17070</v>
      </c>
      <c r="M18" s="132">
        <f t="shared" si="7"/>
        <v>4.57</v>
      </c>
      <c r="N18" s="702">
        <f t="shared" si="8"/>
        <v>66449</v>
      </c>
      <c r="O18" s="132">
        <f t="shared" si="12"/>
        <v>4.4400000000000004</v>
      </c>
      <c r="P18" s="702">
        <f t="shared" si="9"/>
        <v>59897</v>
      </c>
      <c r="Q18" s="132">
        <f t="shared" si="14"/>
        <v>4.18</v>
      </c>
      <c r="R18" s="702">
        <f t="shared" si="11"/>
        <v>126346</v>
      </c>
      <c r="S18" s="132">
        <f t="shared" si="13"/>
        <v>4.3099999999999996</v>
      </c>
    </row>
    <row r="19" spans="1:19" ht="18" customHeight="1">
      <c r="A19" s="834" t="s">
        <v>1096</v>
      </c>
      <c r="B19" s="698">
        <v>43529</v>
      </c>
      <c r="C19" s="132">
        <f t="shared" si="0"/>
        <v>3.34</v>
      </c>
      <c r="D19" s="139">
        <v>45466</v>
      </c>
      <c r="E19" s="132">
        <f t="shared" ref="E19:E25" si="15">ROUND(D19/D$26*100,2)</f>
        <v>3.63</v>
      </c>
      <c r="F19" s="700">
        <f t="shared" si="2"/>
        <v>88995</v>
      </c>
      <c r="G19" s="132">
        <f t="shared" si="3"/>
        <v>3.48</v>
      </c>
      <c r="H19" s="139">
        <v>7555</v>
      </c>
      <c r="I19" s="132">
        <f t="shared" si="4"/>
        <v>3.92</v>
      </c>
      <c r="J19" s="139">
        <v>6328</v>
      </c>
      <c r="K19" s="132">
        <f t="shared" si="5"/>
        <v>3.51</v>
      </c>
      <c r="L19" s="700">
        <f t="shared" si="6"/>
        <v>13883</v>
      </c>
      <c r="M19" s="132">
        <f t="shared" si="7"/>
        <v>3.72</v>
      </c>
      <c r="N19" s="702">
        <f t="shared" si="8"/>
        <v>51084</v>
      </c>
      <c r="O19" s="132">
        <f t="shared" si="12"/>
        <v>3.41</v>
      </c>
      <c r="P19" s="702">
        <f t="shared" si="9"/>
        <v>51794</v>
      </c>
      <c r="Q19" s="132">
        <f t="shared" si="14"/>
        <v>3.61</v>
      </c>
      <c r="R19" s="702">
        <f t="shared" si="11"/>
        <v>102878</v>
      </c>
      <c r="S19" s="132">
        <f t="shared" si="13"/>
        <v>3.51</v>
      </c>
    </row>
    <row r="20" spans="1:19" ht="18" customHeight="1">
      <c r="A20" s="834" t="s">
        <v>1097</v>
      </c>
      <c r="B20" s="698">
        <v>41263</v>
      </c>
      <c r="C20" s="132">
        <f t="shared" si="0"/>
        <v>3.16</v>
      </c>
      <c r="D20" s="139">
        <v>45620</v>
      </c>
      <c r="E20" s="132">
        <f t="shared" si="15"/>
        <v>3.64</v>
      </c>
      <c r="F20" s="700">
        <f t="shared" si="2"/>
        <v>86883</v>
      </c>
      <c r="G20" s="132">
        <f t="shared" si="3"/>
        <v>3.4</v>
      </c>
      <c r="H20" s="139">
        <v>5684</v>
      </c>
      <c r="I20" s="132">
        <f t="shared" si="4"/>
        <v>2.95</v>
      </c>
      <c r="J20" s="139">
        <v>5779</v>
      </c>
      <c r="K20" s="132">
        <f t="shared" si="5"/>
        <v>3.2</v>
      </c>
      <c r="L20" s="700">
        <f t="shared" si="6"/>
        <v>11463</v>
      </c>
      <c r="M20" s="132">
        <f t="shared" si="7"/>
        <v>3.07</v>
      </c>
      <c r="N20" s="702">
        <f t="shared" si="8"/>
        <v>46947</v>
      </c>
      <c r="O20" s="132">
        <f t="shared" si="12"/>
        <v>3.14</v>
      </c>
      <c r="P20" s="702">
        <f t="shared" si="9"/>
        <v>51399</v>
      </c>
      <c r="Q20" s="132">
        <f t="shared" si="14"/>
        <v>3.59</v>
      </c>
      <c r="R20" s="702">
        <f t="shared" si="11"/>
        <v>98346</v>
      </c>
      <c r="S20" s="132">
        <f t="shared" si="13"/>
        <v>3.36</v>
      </c>
    </row>
    <row r="21" spans="1:19" ht="18" customHeight="1">
      <c r="A21" s="834" t="s">
        <v>1098</v>
      </c>
      <c r="B21" s="698">
        <v>29932</v>
      </c>
      <c r="C21" s="132">
        <f t="shared" si="0"/>
        <v>2.2999999999999998</v>
      </c>
      <c r="D21" s="139">
        <v>32580</v>
      </c>
      <c r="E21" s="132">
        <f t="shared" si="15"/>
        <v>2.6</v>
      </c>
      <c r="F21" s="700">
        <f t="shared" si="2"/>
        <v>62512</v>
      </c>
      <c r="G21" s="132">
        <f>ROUND(F21/F$26*100,2)+0.01</f>
        <v>2.4499999999999997</v>
      </c>
      <c r="H21" s="139">
        <v>4046</v>
      </c>
      <c r="I21" s="132">
        <f t="shared" si="4"/>
        <v>2.1</v>
      </c>
      <c r="J21" s="139">
        <v>3978</v>
      </c>
      <c r="K21" s="132">
        <f t="shared" si="5"/>
        <v>2.2000000000000002</v>
      </c>
      <c r="L21" s="700">
        <f t="shared" si="6"/>
        <v>8024</v>
      </c>
      <c r="M21" s="132">
        <f t="shared" si="7"/>
        <v>2.15</v>
      </c>
      <c r="N21" s="702">
        <f t="shared" si="8"/>
        <v>33978</v>
      </c>
      <c r="O21" s="132">
        <f t="shared" si="12"/>
        <v>2.27</v>
      </c>
      <c r="P21" s="702">
        <f t="shared" si="9"/>
        <v>36558</v>
      </c>
      <c r="Q21" s="132">
        <f t="shared" si="14"/>
        <v>2.5499999999999998</v>
      </c>
      <c r="R21" s="702">
        <f t="shared" si="11"/>
        <v>70536</v>
      </c>
      <c r="S21" s="132">
        <f t="shared" si="13"/>
        <v>2.41</v>
      </c>
    </row>
    <row r="22" spans="1:19" ht="18" customHeight="1">
      <c r="A22" s="834" t="s">
        <v>1101</v>
      </c>
      <c r="B22" s="698">
        <v>19048</v>
      </c>
      <c r="C22" s="132">
        <f>ROUND(B22/B$26*100,2)</f>
        <v>1.46</v>
      </c>
      <c r="D22" s="139">
        <v>20647</v>
      </c>
      <c r="E22" s="132">
        <f t="shared" si="15"/>
        <v>1.65</v>
      </c>
      <c r="F22" s="700">
        <f t="shared" si="2"/>
        <v>39695</v>
      </c>
      <c r="G22" s="132">
        <f>ROUND(F22/F$26*100,2)</f>
        <v>1.55</v>
      </c>
      <c r="H22" s="139">
        <v>2740</v>
      </c>
      <c r="I22" s="132">
        <f t="shared" si="4"/>
        <v>1.42</v>
      </c>
      <c r="J22" s="139">
        <v>2661</v>
      </c>
      <c r="K22" s="132">
        <f>ROUND(J22/J$26*100,2)+0.01</f>
        <v>1.48</v>
      </c>
      <c r="L22" s="700">
        <f t="shared" si="6"/>
        <v>5401</v>
      </c>
      <c r="M22" s="132">
        <f t="shared" si="7"/>
        <v>1.45</v>
      </c>
      <c r="N22" s="702">
        <f t="shared" si="8"/>
        <v>21788</v>
      </c>
      <c r="O22" s="132">
        <f>ROUND(N22/N$26*100,2)-0.01</f>
        <v>1.45</v>
      </c>
      <c r="P22" s="702">
        <f t="shared" si="9"/>
        <v>23308</v>
      </c>
      <c r="Q22" s="132">
        <f t="shared" si="14"/>
        <v>1.63</v>
      </c>
      <c r="R22" s="702">
        <f t="shared" si="11"/>
        <v>45096</v>
      </c>
      <c r="S22" s="132">
        <f t="shared" si="13"/>
        <v>1.54</v>
      </c>
    </row>
    <row r="23" spans="1:19" ht="18" customHeight="1">
      <c r="A23" s="834" t="s">
        <v>1102</v>
      </c>
      <c r="B23" s="698">
        <v>8460</v>
      </c>
      <c r="C23" s="132">
        <f>ROUND(B23/B$26*100,2)</f>
        <v>0.65</v>
      </c>
      <c r="D23" s="139">
        <v>9632</v>
      </c>
      <c r="E23" s="132">
        <f t="shared" si="15"/>
        <v>0.77</v>
      </c>
      <c r="F23" s="700">
        <f t="shared" si="2"/>
        <v>18092</v>
      </c>
      <c r="G23" s="132">
        <f>ROUND(F23/F$26*100,2)</f>
        <v>0.71</v>
      </c>
      <c r="H23" s="139">
        <v>1346</v>
      </c>
      <c r="I23" s="132">
        <f t="shared" si="4"/>
        <v>0.7</v>
      </c>
      <c r="J23" s="139">
        <v>1371</v>
      </c>
      <c r="K23" s="132">
        <f t="shared" si="5"/>
        <v>0.76</v>
      </c>
      <c r="L23" s="700">
        <f t="shared" si="6"/>
        <v>2717</v>
      </c>
      <c r="M23" s="132">
        <f t="shared" si="7"/>
        <v>0.73</v>
      </c>
      <c r="N23" s="702">
        <f t="shared" si="8"/>
        <v>9806</v>
      </c>
      <c r="O23" s="132">
        <f>ROUND(N23/N$26*100,2)-0.01</f>
        <v>0.65</v>
      </c>
      <c r="P23" s="702">
        <f t="shared" si="9"/>
        <v>11003</v>
      </c>
      <c r="Q23" s="132">
        <f t="shared" si="14"/>
        <v>0.77</v>
      </c>
      <c r="R23" s="702">
        <f t="shared" si="11"/>
        <v>20809</v>
      </c>
      <c r="S23" s="132">
        <f t="shared" si="13"/>
        <v>0.71</v>
      </c>
    </row>
    <row r="24" spans="1:19" ht="18" customHeight="1">
      <c r="A24" s="834" t="s">
        <v>1103</v>
      </c>
      <c r="B24" s="698">
        <v>8131</v>
      </c>
      <c r="C24" s="132">
        <f>ROUND(B24/B$26*100,2)</f>
        <v>0.62</v>
      </c>
      <c r="D24" s="139">
        <v>9106</v>
      </c>
      <c r="E24" s="132">
        <f t="shared" si="15"/>
        <v>0.73</v>
      </c>
      <c r="F24" s="700">
        <f t="shared" si="2"/>
        <v>17237</v>
      </c>
      <c r="G24" s="132">
        <f>ROUND(F24/F$26*100,2)+0.01</f>
        <v>0.68</v>
      </c>
      <c r="H24" s="139">
        <v>1451</v>
      </c>
      <c r="I24" s="132">
        <f t="shared" si="4"/>
        <v>0.75</v>
      </c>
      <c r="J24" s="139">
        <v>1467</v>
      </c>
      <c r="K24" s="132">
        <f t="shared" si="5"/>
        <v>0.81</v>
      </c>
      <c r="L24" s="700">
        <f t="shared" si="6"/>
        <v>2918</v>
      </c>
      <c r="M24" s="132">
        <f t="shared" si="7"/>
        <v>0.78</v>
      </c>
      <c r="N24" s="702">
        <f t="shared" si="8"/>
        <v>9582</v>
      </c>
      <c r="O24" s="132">
        <f t="shared" si="12"/>
        <v>0.64</v>
      </c>
      <c r="P24" s="702">
        <f t="shared" si="9"/>
        <v>10573</v>
      </c>
      <c r="Q24" s="132">
        <f t="shared" si="14"/>
        <v>0.74</v>
      </c>
      <c r="R24" s="702">
        <f t="shared" si="11"/>
        <v>20155</v>
      </c>
      <c r="S24" s="132">
        <f t="shared" si="13"/>
        <v>0.69</v>
      </c>
    </row>
    <row r="25" spans="1:19" ht="24" customHeight="1">
      <c r="A25" s="613" t="s">
        <v>1099</v>
      </c>
      <c r="B25" s="698">
        <v>1112</v>
      </c>
      <c r="C25" s="132">
        <f>ROUND(B25/B$26*100,2)</f>
        <v>0.09</v>
      </c>
      <c r="D25" s="139">
        <v>1000</v>
      </c>
      <c r="E25" s="132">
        <f t="shared" si="15"/>
        <v>0.08</v>
      </c>
      <c r="F25" s="700">
        <f t="shared" si="2"/>
        <v>2112</v>
      </c>
      <c r="G25" s="132">
        <f>ROUND(F25/F$26*100,2)</f>
        <v>0.08</v>
      </c>
      <c r="H25" s="139">
        <v>554</v>
      </c>
      <c r="I25" s="132">
        <f>ROUND(H25/H$26*100,2)</f>
        <v>0.28999999999999998</v>
      </c>
      <c r="J25" s="139">
        <v>450</v>
      </c>
      <c r="K25" s="132">
        <f t="shared" si="5"/>
        <v>0.25</v>
      </c>
      <c r="L25" s="700">
        <f t="shared" si="6"/>
        <v>1004</v>
      </c>
      <c r="M25" s="132">
        <f t="shared" si="7"/>
        <v>0.27</v>
      </c>
      <c r="N25" s="702">
        <f t="shared" si="8"/>
        <v>1666</v>
      </c>
      <c r="O25" s="132">
        <f t="shared" si="12"/>
        <v>0.11</v>
      </c>
      <c r="P25" s="702">
        <f t="shared" si="9"/>
        <v>1450</v>
      </c>
      <c r="Q25" s="132">
        <f t="shared" si="14"/>
        <v>0.1</v>
      </c>
      <c r="R25" s="702">
        <f t="shared" si="11"/>
        <v>3116</v>
      </c>
      <c r="S25" s="132">
        <f>ROUND(R25/R$26*100,2)</f>
        <v>0.11</v>
      </c>
    </row>
    <row r="26" spans="1:19" ht="18" customHeight="1">
      <c r="A26" s="835" t="s">
        <v>1100</v>
      </c>
      <c r="B26" s="839">
        <f t="shared" ref="B26:R26" si="16">SUM(B8:B25)</f>
        <v>1304208</v>
      </c>
      <c r="C26" s="837">
        <f>SUM(C8:C25)</f>
        <v>100.00000000000001</v>
      </c>
      <c r="D26" s="839">
        <f t="shared" si="16"/>
        <v>1252593</v>
      </c>
      <c r="E26" s="837">
        <f>SUM(E8:E25)</f>
        <v>99.999999999999986</v>
      </c>
      <c r="F26" s="839">
        <f t="shared" si="16"/>
        <v>2556801</v>
      </c>
      <c r="G26" s="837">
        <f>SUM(G8:G25)</f>
        <v>99.999999999999986</v>
      </c>
      <c r="H26" s="839">
        <f t="shared" si="16"/>
        <v>192788</v>
      </c>
      <c r="I26" s="837">
        <f>SUM(I8:I25)</f>
        <v>100.00000000000001</v>
      </c>
      <c r="J26" s="839">
        <f t="shared" si="16"/>
        <v>180526</v>
      </c>
      <c r="K26" s="837">
        <f>SUM(K8:K25)</f>
        <v>100.00000000000003</v>
      </c>
      <c r="L26" s="839">
        <f t="shared" si="16"/>
        <v>373314</v>
      </c>
      <c r="M26" s="837">
        <f>SUM(M8:M25)</f>
        <v>99.999999999999986</v>
      </c>
      <c r="N26" s="839">
        <f t="shared" si="16"/>
        <v>1496996</v>
      </c>
      <c r="O26" s="837">
        <f>SUM(O8:O25)</f>
        <v>100</v>
      </c>
      <c r="P26" s="839">
        <f t="shared" si="16"/>
        <v>1433119</v>
      </c>
      <c r="Q26" s="837">
        <f>SUM(Q8:Q25)</f>
        <v>99.999999999999972</v>
      </c>
      <c r="R26" s="839">
        <f t="shared" si="16"/>
        <v>2930115</v>
      </c>
      <c r="S26" s="837">
        <f>SUM(S8:S25)</f>
        <v>100.00000000000001</v>
      </c>
    </row>
    <row r="27" spans="1:19">
      <c r="A27" s="838"/>
      <c r="B27" s="753"/>
      <c r="C27" s="753"/>
      <c r="D27" s="753"/>
      <c r="E27" s="753"/>
      <c r="F27" s="753"/>
      <c r="G27" s="753"/>
      <c r="H27" s="753"/>
      <c r="I27" s="753"/>
      <c r="J27" s="753"/>
      <c r="K27" s="753"/>
      <c r="L27" s="753"/>
      <c r="M27" s="1471" t="s">
        <v>931</v>
      </c>
      <c r="N27" s="1471"/>
      <c r="O27" s="1471"/>
      <c r="P27" s="1471"/>
      <c r="Q27" s="1471"/>
      <c r="R27" s="1471"/>
      <c r="S27" s="1471"/>
    </row>
  </sheetData>
  <mergeCells count="16">
    <mergeCell ref="M27:S27"/>
    <mergeCell ref="L5:M5"/>
    <mergeCell ref="N5:O5"/>
    <mergeCell ref="P5:Q5"/>
    <mergeCell ref="R5:S5"/>
    <mergeCell ref="A2:S2"/>
    <mergeCell ref="A1:S1"/>
    <mergeCell ref="A4:A6"/>
    <mergeCell ref="B4:G4"/>
    <mergeCell ref="H4:M4"/>
    <mergeCell ref="N4:S4"/>
    <mergeCell ref="B5:C5"/>
    <mergeCell ref="D5:E5"/>
    <mergeCell ref="F5:G5"/>
    <mergeCell ref="H5:I5"/>
    <mergeCell ref="J5:K5"/>
  </mergeCells>
  <phoneticPr fontId="0" type="noConversion"/>
  <pageMargins left="0.14000000000000001" right="0" top="0.38" bottom="0.21" header="0.5" footer="0.16"/>
  <pageSetup paperSize="9" orientation="landscape" blackAndWhite="1" r:id="rId1"/>
  <headerFooter alignWithMargins="0"/>
</worksheet>
</file>

<file path=xl/worksheets/sheet16.xml><?xml version="1.0" encoding="utf-8"?>
<worksheet xmlns="http://schemas.openxmlformats.org/spreadsheetml/2006/main" xmlns:r="http://schemas.openxmlformats.org/officeDocument/2006/relationships">
  <sheetPr codeName="Sheet15"/>
  <dimension ref="A1:I61"/>
  <sheetViews>
    <sheetView workbookViewId="0">
      <selection activeCell="F14" sqref="F14"/>
    </sheetView>
  </sheetViews>
  <sheetFormatPr defaultRowHeight="12.75"/>
  <cols>
    <col min="1" max="1" width="25.42578125" style="723" customWidth="1"/>
    <col min="2" max="2" width="11.5703125" style="723" customWidth="1"/>
    <col min="3" max="7" width="16.7109375" style="723" customWidth="1"/>
    <col min="8" max="16384" width="9.140625" style="723"/>
  </cols>
  <sheetData>
    <row r="1" spans="1:9" ht="12.75" customHeight="1">
      <c r="A1" s="1399" t="s">
        <v>637</v>
      </c>
      <c r="B1" s="1399"/>
      <c r="C1" s="1399"/>
      <c r="D1" s="1399"/>
      <c r="E1" s="1399"/>
      <c r="F1" s="1399"/>
      <c r="G1" s="1399"/>
    </row>
    <row r="2" spans="1:9" ht="15.75" customHeight="1">
      <c r="A2" s="1473" t="s">
        <v>1209</v>
      </c>
      <c r="B2" s="1473"/>
      <c r="C2" s="1473"/>
      <c r="D2" s="1473"/>
      <c r="E2" s="1473"/>
      <c r="F2" s="1473"/>
      <c r="G2" s="1473"/>
    </row>
    <row r="3" spans="1:9" ht="12.75" customHeight="1">
      <c r="A3" s="840"/>
      <c r="B3" s="840"/>
      <c r="C3" s="841"/>
      <c r="D3" s="841"/>
      <c r="E3" s="841"/>
      <c r="F3" s="841"/>
      <c r="G3" s="842" t="s">
        <v>184</v>
      </c>
      <c r="H3" s="843"/>
    </row>
    <row r="4" spans="1:9" ht="15" customHeight="1">
      <c r="A4" s="1408" t="s">
        <v>112</v>
      </c>
      <c r="B4" s="1408" t="s">
        <v>111</v>
      </c>
      <c r="C4" s="1407" t="s">
        <v>488</v>
      </c>
      <c r="D4" s="1400"/>
      <c r="E4" s="1401"/>
      <c r="F4" s="1456" t="s">
        <v>1219</v>
      </c>
      <c r="G4" s="1457"/>
    </row>
    <row r="5" spans="1:9" ht="12.75" customHeight="1">
      <c r="A5" s="1409"/>
      <c r="B5" s="1409"/>
      <c r="C5" s="704" t="s">
        <v>1070</v>
      </c>
      <c r="D5" s="123" t="s">
        <v>1071</v>
      </c>
      <c r="E5" s="124" t="s">
        <v>1035</v>
      </c>
      <c r="F5" s="131" t="s">
        <v>1104</v>
      </c>
      <c r="G5" s="433" t="s">
        <v>1071</v>
      </c>
    </row>
    <row r="6" spans="1:9" ht="12" customHeight="1">
      <c r="A6" s="729" t="s">
        <v>1008</v>
      </c>
      <c r="B6" s="741" t="s">
        <v>1009</v>
      </c>
      <c r="C6" s="741" t="s">
        <v>1010</v>
      </c>
      <c r="D6" s="790" t="s">
        <v>1011</v>
      </c>
      <c r="E6" s="742" t="s">
        <v>1015</v>
      </c>
      <c r="F6" s="790" t="s">
        <v>1016</v>
      </c>
      <c r="G6" s="742" t="s">
        <v>1017</v>
      </c>
      <c r="H6" s="736"/>
      <c r="I6" s="736"/>
    </row>
    <row r="7" spans="1:9" ht="13.5" customHeight="1">
      <c r="A7" s="844" t="s">
        <v>566</v>
      </c>
      <c r="B7" s="845" t="s">
        <v>1207</v>
      </c>
      <c r="C7" s="141">
        <v>24612</v>
      </c>
      <c r="D7" s="308">
        <v>22651</v>
      </c>
      <c r="E7" s="124">
        <f>SUM(C7,D7)</f>
        <v>47263</v>
      </c>
      <c r="F7" s="703">
        <f>ROUND(C7/E7*100,2)</f>
        <v>52.07</v>
      </c>
      <c r="G7" s="589">
        <f>ROUND(D7/E7*100,2)</f>
        <v>47.93</v>
      </c>
      <c r="H7" s="736"/>
      <c r="I7" s="736"/>
    </row>
    <row r="8" spans="1:9" ht="13.5" customHeight="1">
      <c r="A8" s="846" t="s">
        <v>32</v>
      </c>
      <c r="B8" s="125" t="s">
        <v>555</v>
      </c>
      <c r="C8" s="141">
        <v>4848</v>
      </c>
      <c r="D8" s="308">
        <v>4536</v>
      </c>
      <c r="E8" s="124">
        <f>SUM(C8,D8)</f>
        <v>9384</v>
      </c>
      <c r="F8" s="703">
        <f t="shared" ref="F8:F30" si="0">ROUND(C8/E8*100,2)</f>
        <v>51.66</v>
      </c>
      <c r="G8" s="589">
        <f t="shared" ref="G8:G30" si="1">ROUND(D8/E8*100,2)</f>
        <v>48.34</v>
      </c>
      <c r="H8" s="736"/>
      <c r="I8" s="736"/>
    </row>
    <row r="9" spans="1:9" ht="13.5" customHeight="1">
      <c r="A9" s="846" t="s">
        <v>29</v>
      </c>
      <c r="B9" s="125" t="s">
        <v>555</v>
      </c>
      <c r="C9" s="141">
        <v>5344</v>
      </c>
      <c r="D9" s="308">
        <v>4915</v>
      </c>
      <c r="E9" s="124">
        <f>SUM(C9,D9)</f>
        <v>10259</v>
      </c>
      <c r="F9" s="703">
        <f t="shared" si="0"/>
        <v>52.09</v>
      </c>
      <c r="G9" s="589">
        <f t="shared" si="1"/>
        <v>47.91</v>
      </c>
      <c r="H9" s="736"/>
      <c r="I9" s="736"/>
    </row>
    <row r="10" spans="1:9" ht="13.5" customHeight="1">
      <c r="A10" s="846" t="s">
        <v>1194</v>
      </c>
      <c r="B10" s="125" t="s">
        <v>555</v>
      </c>
      <c r="C10" s="141">
        <v>3070</v>
      </c>
      <c r="D10" s="308">
        <v>2925</v>
      </c>
      <c r="E10" s="124">
        <f>SUM(C10,D10)</f>
        <v>5995</v>
      </c>
      <c r="F10" s="703">
        <f t="shared" si="0"/>
        <v>51.21</v>
      </c>
      <c r="G10" s="589">
        <f t="shared" si="1"/>
        <v>48.79</v>
      </c>
      <c r="H10" s="736"/>
      <c r="I10" s="736"/>
    </row>
    <row r="11" spans="1:9" ht="13.5" customHeight="1">
      <c r="A11" s="846" t="s">
        <v>1195</v>
      </c>
      <c r="B11" s="125" t="s">
        <v>555</v>
      </c>
      <c r="C11" s="141">
        <v>3242</v>
      </c>
      <c r="D11" s="308">
        <v>3105</v>
      </c>
      <c r="E11" s="124">
        <f>SUM(C11,D11)</f>
        <v>6347</v>
      </c>
      <c r="F11" s="703">
        <f t="shared" si="0"/>
        <v>51.08</v>
      </c>
      <c r="G11" s="589">
        <f t="shared" si="1"/>
        <v>48.92</v>
      </c>
      <c r="H11" s="736"/>
      <c r="I11" s="736"/>
    </row>
    <row r="12" spans="1:9" ht="13.5" customHeight="1">
      <c r="A12" s="441" t="s">
        <v>53</v>
      </c>
      <c r="B12" s="125" t="s">
        <v>555</v>
      </c>
      <c r="C12" s="141">
        <v>12681</v>
      </c>
      <c r="D12" s="308">
        <v>11750</v>
      </c>
      <c r="E12" s="124">
        <f t="shared" ref="E12:E38" si="2">C12+D12</f>
        <v>24431</v>
      </c>
      <c r="F12" s="703">
        <f t="shared" si="0"/>
        <v>51.91</v>
      </c>
      <c r="G12" s="589">
        <f t="shared" si="1"/>
        <v>48.09</v>
      </c>
      <c r="H12" s="736"/>
      <c r="I12" s="736"/>
    </row>
    <row r="13" spans="1:9" ht="13.5" customHeight="1">
      <c r="A13" s="441" t="s">
        <v>28</v>
      </c>
      <c r="B13" s="125" t="s">
        <v>555</v>
      </c>
      <c r="C13" s="141">
        <v>4195</v>
      </c>
      <c r="D13" s="308">
        <v>3861</v>
      </c>
      <c r="E13" s="124">
        <f t="shared" si="2"/>
        <v>8056</v>
      </c>
      <c r="F13" s="703">
        <f t="shared" si="0"/>
        <v>52.07</v>
      </c>
      <c r="G13" s="589">
        <f t="shared" si="1"/>
        <v>47.93</v>
      </c>
      <c r="H13" s="736"/>
      <c r="I13" s="736"/>
    </row>
    <row r="14" spans="1:9" ht="13.5" customHeight="1">
      <c r="A14" s="441" t="s">
        <v>32</v>
      </c>
      <c r="B14" s="125" t="s">
        <v>113</v>
      </c>
      <c r="C14" s="141">
        <v>10050</v>
      </c>
      <c r="D14" s="308">
        <v>9494</v>
      </c>
      <c r="E14" s="124">
        <f t="shared" si="2"/>
        <v>19544</v>
      </c>
      <c r="F14" s="703">
        <f t="shared" si="0"/>
        <v>51.42</v>
      </c>
      <c r="G14" s="589">
        <f t="shared" si="1"/>
        <v>48.58</v>
      </c>
      <c r="H14" s="736"/>
      <c r="I14" s="736"/>
    </row>
    <row r="15" spans="1:9" ht="13.5" customHeight="1">
      <c r="A15" s="847" t="s">
        <v>50</v>
      </c>
      <c r="B15" s="848" t="s">
        <v>1208</v>
      </c>
      <c r="C15" s="141">
        <v>59092</v>
      </c>
      <c r="D15" s="308">
        <v>54714</v>
      </c>
      <c r="E15" s="124">
        <f t="shared" si="2"/>
        <v>113806</v>
      </c>
      <c r="F15" s="703">
        <f t="shared" si="0"/>
        <v>51.92</v>
      </c>
      <c r="G15" s="589">
        <f t="shared" si="1"/>
        <v>48.08</v>
      </c>
      <c r="H15" s="736"/>
      <c r="I15" s="736"/>
    </row>
    <row r="16" spans="1:9" ht="13.5" customHeight="1">
      <c r="A16" s="846" t="s">
        <v>1196</v>
      </c>
      <c r="B16" s="849" t="s">
        <v>555</v>
      </c>
      <c r="C16" s="141">
        <v>3003</v>
      </c>
      <c r="D16" s="308">
        <v>2745</v>
      </c>
      <c r="E16" s="124">
        <f t="shared" si="2"/>
        <v>5748</v>
      </c>
      <c r="F16" s="703">
        <f t="shared" si="0"/>
        <v>52.24</v>
      </c>
      <c r="G16" s="589">
        <f t="shared" si="1"/>
        <v>47.76</v>
      </c>
      <c r="H16" s="736"/>
      <c r="I16" s="736"/>
    </row>
    <row r="17" spans="1:9" ht="13.5" customHeight="1">
      <c r="A17" s="846" t="s">
        <v>1197</v>
      </c>
      <c r="B17" s="849" t="s">
        <v>555</v>
      </c>
      <c r="C17" s="141">
        <v>2967</v>
      </c>
      <c r="D17" s="308">
        <v>2911</v>
      </c>
      <c r="E17" s="124">
        <f t="shared" si="2"/>
        <v>5878</v>
      </c>
      <c r="F17" s="703">
        <f t="shared" si="0"/>
        <v>50.48</v>
      </c>
      <c r="G17" s="589">
        <f t="shared" si="1"/>
        <v>49.52</v>
      </c>
      <c r="H17" s="736"/>
      <c r="I17" s="736"/>
    </row>
    <row r="18" spans="1:9" ht="13.5" customHeight="1">
      <c r="A18" s="846" t="s">
        <v>304</v>
      </c>
      <c r="B18" s="849" t="s">
        <v>555</v>
      </c>
      <c r="C18" s="141">
        <v>4867</v>
      </c>
      <c r="D18" s="308">
        <v>4654</v>
      </c>
      <c r="E18" s="124">
        <f t="shared" si="2"/>
        <v>9521</v>
      </c>
      <c r="F18" s="703">
        <f t="shared" si="0"/>
        <v>51.12</v>
      </c>
      <c r="G18" s="589">
        <f t="shared" si="1"/>
        <v>48.88</v>
      </c>
      <c r="H18" s="736"/>
      <c r="I18" s="736"/>
    </row>
    <row r="19" spans="1:9" ht="13.5" customHeight="1">
      <c r="A19" s="846" t="s">
        <v>1198</v>
      </c>
      <c r="B19" s="849" t="s">
        <v>555</v>
      </c>
      <c r="C19" s="141">
        <v>3112</v>
      </c>
      <c r="D19" s="308">
        <v>2881</v>
      </c>
      <c r="E19" s="124">
        <f t="shared" si="2"/>
        <v>5993</v>
      </c>
      <c r="F19" s="703">
        <f t="shared" si="0"/>
        <v>51.93</v>
      </c>
      <c r="G19" s="589">
        <f t="shared" si="1"/>
        <v>48.07</v>
      </c>
      <c r="H19" s="736"/>
      <c r="I19" s="736"/>
    </row>
    <row r="20" spans="1:9" ht="13.5" customHeight="1">
      <c r="A20" s="846" t="s">
        <v>1199</v>
      </c>
      <c r="B20" s="849" t="s">
        <v>555</v>
      </c>
      <c r="C20" s="141">
        <v>2985</v>
      </c>
      <c r="D20" s="308">
        <v>2709</v>
      </c>
      <c r="E20" s="124">
        <f t="shared" si="2"/>
        <v>5694</v>
      </c>
      <c r="F20" s="703">
        <f t="shared" si="0"/>
        <v>52.42</v>
      </c>
      <c r="G20" s="589">
        <f t="shared" si="1"/>
        <v>47.58</v>
      </c>
      <c r="H20" s="736"/>
      <c r="I20" s="736"/>
    </row>
    <row r="21" spans="1:9" ht="13.5" customHeight="1">
      <c r="A21" s="441" t="s">
        <v>20</v>
      </c>
      <c r="B21" s="125" t="s">
        <v>113</v>
      </c>
      <c r="C21" s="141">
        <v>62351</v>
      </c>
      <c r="D21" s="308">
        <v>58716</v>
      </c>
      <c r="E21" s="124">
        <f t="shared" si="2"/>
        <v>121067</v>
      </c>
      <c r="F21" s="703">
        <f t="shared" si="0"/>
        <v>51.5</v>
      </c>
      <c r="G21" s="589">
        <f t="shared" si="1"/>
        <v>48.5</v>
      </c>
      <c r="H21" s="736"/>
      <c r="I21" s="736"/>
    </row>
    <row r="22" spans="1:9" ht="13.5" customHeight="1">
      <c r="A22" s="847" t="s">
        <v>51</v>
      </c>
      <c r="B22" s="850" t="s">
        <v>1363</v>
      </c>
      <c r="C22" s="141">
        <f>SUM(C31:C37)</f>
        <v>35707</v>
      </c>
      <c r="D22" s="308">
        <f>SUM(D31:D37)</f>
        <v>33032</v>
      </c>
      <c r="E22" s="124">
        <f t="shared" si="2"/>
        <v>68739</v>
      </c>
      <c r="F22" s="703">
        <f t="shared" si="0"/>
        <v>51.95</v>
      </c>
      <c r="G22" s="589">
        <f t="shared" si="1"/>
        <v>48.05</v>
      </c>
      <c r="H22" s="736"/>
      <c r="I22" s="736"/>
    </row>
    <row r="23" spans="1:9" ht="13.5" customHeight="1">
      <c r="A23" s="846" t="s">
        <v>1200</v>
      </c>
      <c r="B23" s="141" t="s">
        <v>555</v>
      </c>
      <c r="C23" s="141">
        <v>3530</v>
      </c>
      <c r="D23" s="308">
        <v>3354</v>
      </c>
      <c r="E23" s="124">
        <f t="shared" si="2"/>
        <v>6884</v>
      </c>
      <c r="F23" s="703">
        <f t="shared" si="0"/>
        <v>51.28</v>
      </c>
      <c r="G23" s="589">
        <f t="shared" si="1"/>
        <v>48.72</v>
      </c>
      <c r="H23" s="736"/>
    </row>
    <row r="24" spans="1:9" ht="13.5" customHeight="1">
      <c r="A24" s="846" t="s">
        <v>1201</v>
      </c>
      <c r="B24" s="141" t="s">
        <v>555</v>
      </c>
      <c r="C24" s="141">
        <v>2866</v>
      </c>
      <c r="D24" s="308">
        <v>2640</v>
      </c>
      <c r="E24" s="124">
        <f t="shared" si="2"/>
        <v>5506</v>
      </c>
      <c r="F24" s="703">
        <f t="shared" si="0"/>
        <v>52.05</v>
      </c>
      <c r="G24" s="589">
        <f t="shared" si="1"/>
        <v>47.95</v>
      </c>
      <c r="H24" s="736"/>
    </row>
    <row r="25" spans="1:9" ht="13.5" customHeight="1">
      <c r="A25" s="846" t="s">
        <v>1202</v>
      </c>
      <c r="B25" s="141" t="s">
        <v>555</v>
      </c>
      <c r="C25" s="141">
        <v>5735</v>
      </c>
      <c r="D25" s="308">
        <v>5436</v>
      </c>
      <c r="E25" s="124">
        <f t="shared" si="2"/>
        <v>11171</v>
      </c>
      <c r="F25" s="703">
        <f t="shared" si="0"/>
        <v>51.34</v>
      </c>
      <c r="G25" s="589">
        <f t="shared" si="1"/>
        <v>48.66</v>
      </c>
      <c r="H25" s="736"/>
    </row>
    <row r="26" spans="1:9" ht="13.5" customHeight="1">
      <c r="A26" s="846" t="s">
        <v>558</v>
      </c>
      <c r="B26" s="141" t="s">
        <v>555</v>
      </c>
      <c r="C26" s="141">
        <v>11135</v>
      </c>
      <c r="D26" s="308">
        <v>10137</v>
      </c>
      <c r="E26" s="124">
        <f t="shared" si="2"/>
        <v>21272</v>
      </c>
      <c r="F26" s="703">
        <f t="shared" si="0"/>
        <v>52.35</v>
      </c>
      <c r="G26" s="589">
        <f t="shared" si="1"/>
        <v>47.65</v>
      </c>
      <c r="H26" s="736"/>
    </row>
    <row r="27" spans="1:9" ht="13.5" customHeight="1">
      <c r="A27" s="846" t="s">
        <v>1203</v>
      </c>
      <c r="B27" s="141" t="s">
        <v>555</v>
      </c>
      <c r="C27" s="141">
        <v>2543</v>
      </c>
      <c r="D27" s="308">
        <v>2551</v>
      </c>
      <c r="E27" s="124">
        <f t="shared" si="2"/>
        <v>5094</v>
      </c>
      <c r="F27" s="703">
        <f t="shared" si="0"/>
        <v>49.92</v>
      </c>
      <c r="G27" s="589">
        <f t="shared" si="1"/>
        <v>50.08</v>
      </c>
      <c r="H27" s="736"/>
    </row>
    <row r="28" spans="1:9" ht="13.5" customHeight="1">
      <c r="A28" s="846" t="s">
        <v>1204</v>
      </c>
      <c r="B28" s="141" t="s">
        <v>555</v>
      </c>
      <c r="C28" s="141">
        <v>3090</v>
      </c>
      <c r="D28" s="308">
        <v>2839</v>
      </c>
      <c r="E28" s="124">
        <f t="shared" si="2"/>
        <v>5929</v>
      </c>
      <c r="F28" s="703">
        <f t="shared" si="0"/>
        <v>52.12</v>
      </c>
      <c r="G28" s="589">
        <f t="shared" si="1"/>
        <v>47.88</v>
      </c>
      <c r="H28" s="736"/>
    </row>
    <row r="29" spans="1:9" ht="13.5" customHeight="1">
      <c r="A29" s="846" t="s">
        <v>1205</v>
      </c>
      <c r="B29" s="141" t="s">
        <v>555</v>
      </c>
      <c r="C29" s="141">
        <v>2736</v>
      </c>
      <c r="D29" s="308">
        <v>2699</v>
      </c>
      <c r="E29" s="124">
        <f t="shared" si="2"/>
        <v>5435</v>
      </c>
      <c r="F29" s="703">
        <f t="shared" si="0"/>
        <v>50.34</v>
      </c>
      <c r="G29" s="589">
        <f t="shared" si="1"/>
        <v>49.66</v>
      </c>
      <c r="H29" s="736"/>
    </row>
    <row r="30" spans="1:9" ht="13.5" customHeight="1">
      <c r="A30" s="846" t="s">
        <v>1206</v>
      </c>
      <c r="B30" s="141" t="s">
        <v>555</v>
      </c>
      <c r="C30" s="141">
        <v>2731</v>
      </c>
      <c r="D30" s="308">
        <v>2636</v>
      </c>
      <c r="E30" s="124">
        <f t="shared" si="2"/>
        <v>5367</v>
      </c>
      <c r="F30" s="703">
        <f t="shared" si="0"/>
        <v>50.89</v>
      </c>
      <c r="G30" s="589">
        <f t="shared" si="1"/>
        <v>49.11</v>
      </c>
      <c r="H30" s="736"/>
    </row>
    <row r="31" spans="1:9" ht="13.5" customHeight="1">
      <c r="A31" s="441" t="s">
        <v>556</v>
      </c>
      <c r="B31" s="125" t="s">
        <v>555</v>
      </c>
      <c r="C31" s="141">
        <v>7596</v>
      </c>
      <c r="D31" s="308">
        <v>7360</v>
      </c>
      <c r="E31" s="124">
        <f t="shared" si="2"/>
        <v>14956</v>
      </c>
      <c r="F31" s="851">
        <f t="shared" ref="F31:F38" si="3">ROUND(C31/E31*100,2)</f>
        <v>50.79</v>
      </c>
      <c r="G31" s="852">
        <f t="shared" ref="G31:G38" si="4">ROUND(D31/E31*100,2)</f>
        <v>49.21</v>
      </c>
      <c r="H31" s="853"/>
    </row>
    <row r="32" spans="1:9" ht="13.5" customHeight="1">
      <c r="A32" s="441" t="s">
        <v>557</v>
      </c>
      <c r="B32" s="125" t="s">
        <v>555</v>
      </c>
      <c r="C32" s="141">
        <v>2783</v>
      </c>
      <c r="D32" s="308">
        <v>2496</v>
      </c>
      <c r="E32" s="124">
        <f t="shared" si="2"/>
        <v>5279</v>
      </c>
      <c r="F32" s="851">
        <f t="shared" si="3"/>
        <v>52.72</v>
      </c>
      <c r="G32" s="852">
        <f t="shared" si="4"/>
        <v>47.28</v>
      </c>
      <c r="H32" s="736"/>
    </row>
    <row r="33" spans="1:9" ht="13.5" customHeight="1">
      <c r="A33" s="441" t="s">
        <v>559</v>
      </c>
      <c r="B33" s="125" t="s">
        <v>555</v>
      </c>
      <c r="C33" s="141">
        <v>3381</v>
      </c>
      <c r="D33" s="308">
        <v>3175</v>
      </c>
      <c r="E33" s="124">
        <f t="shared" si="2"/>
        <v>6556</v>
      </c>
      <c r="F33" s="851">
        <f t="shared" si="3"/>
        <v>51.57</v>
      </c>
      <c r="G33" s="852">
        <f t="shared" si="4"/>
        <v>48.43</v>
      </c>
      <c r="H33" s="736"/>
    </row>
    <row r="34" spans="1:9" ht="13.5" customHeight="1">
      <c r="A34" s="441" t="s">
        <v>560</v>
      </c>
      <c r="B34" s="125" t="s">
        <v>555</v>
      </c>
      <c r="C34" s="141">
        <v>4277</v>
      </c>
      <c r="D34" s="308">
        <v>3640</v>
      </c>
      <c r="E34" s="124">
        <f t="shared" si="2"/>
        <v>7917</v>
      </c>
      <c r="F34" s="851">
        <f t="shared" si="3"/>
        <v>54.02</v>
      </c>
      <c r="G34" s="852">
        <f t="shared" si="4"/>
        <v>45.98</v>
      </c>
      <c r="H34" s="736"/>
    </row>
    <row r="35" spans="1:9" ht="13.5" customHeight="1">
      <c r="A35" s="441" t="s">
        <v>561</v>
      </c>
      <c r="B35" s="125" t="s">
        <v>555</v>
      </c>
      <c r="C35" s="141">
        <v>3105</v>
      </c>
      <c r="D35" s="308">
        <v>2858</v>
      </c>
      <c r="E35" s="124">
        <f t="shared" si="2"/>
        <v>5963</v>
      </c>
      <c r="F35" s="851">
        <f t="shared" si="3"/>
        <v>52.07</v>
      </c>
      <c r="G35" s="852">
        <f t="shared" si="4"/>
        <v>47.93</v>
      </c>
      <c r="H35" s="736"/>
    </row>
    <row r="36" spans="1:9" ht="13.5" customHeight="1">
      <c r="A36" s="441" t="s">
        <v>35</v>
      </c>
      <c r="B36" s="125" t="s">
        <v>113</v>
      </c>
      <c r="C36" s="141">
        <v>13194</v>
      </c>
      <c r="D36" s="308">
        <v>12367</v>
      </c>
      <c r="E36" s="124">
        <f t="shared" si="2"/>
        <v>25561</v>
      </c>
      <c r="F36" s="851">
        <f t="shared" si="3"/>
        <v>51.62</v>
      </c>
      <c r="G36" s="852">
        <f t="shared" si="4"/>
        <v>48.38</v>
      </c>
      <c r="H36" s="736"/>
      <c r="I36" s="736"/>
    </row>
    <row r="37" spans="1:9" ht="27" customHeight="1">
      <c r="A37" s="442" t="s">
        <v>562</v>
      </c>
      <c r="B37" s="125" t="s">
        <v>555</v>
      </c>
      <c r="C37" s="141">
        <v>1371</v>
      </c>
      <c r="D37" s="308">
        <v>1136</v>
      </c>
      <c r="E37" s="124">
        <f t="shared" si="2"/>
        <v>2507</v>
      </c>
      <c r="F37" s="854">
        <f t="shared" si="3"/>
        <v>54.69</v>
      </c>
      <c r="G37" s="809">
        <f t="shared" si="4"/>
        <v>45.31</v>
      </c>
      <c r="H37" s="736"/>
      <c r="I37" s="736"/>
    </row>
    <row r="38" spans="1:9" ht="17.25" customHeight="1">
      <c r="A38" s="822" t="s">
        <v>302</v>
      </c>
      <c r="B38" s="855" t="s">
        <v>1364</v>
      </c>
      <c r="C38" s="856">
        <f>SUM(C7,C15,C22)</f>
        <v>119411</v>
      </c>
      <c r="D38" s="857">
        <f>SUM(D7,D15,D22)</f>
        <v>110397</v>
      </c>
      <c r="E38" s="499">
        <f t="shared" si="2"/>
        <v>229808</v>
      </c>
      <c r="F38" s="858">
        <f t="shared" si="3"/>
        <v>51.96</v>
      </c>
      <c r="G38" s="859">
        <f t="shared" si="4"/>
        <v>48.04</v>
      </c>
    </row>
    <row r="39" spans="1:9">
      <c r="E39" s="1474" t="s">
        <v>931</v>
      </c>
      <c r="F39" s="1474"/>
      <c r="G39" s="1474"/>
    </row>
    <row r="44" spans="1:9">
      <c r="A44" s="860"/>
      <c r="B44" s="860"/>
      <c r="C44" s="860"/>
      <c r="D44" s="860"/>
      <c r="E44" s="860"/>
      <c r="F44" s="860"/>
      <c r="G44" s="860"/>
    </row>
    <row r="61" spans="1:7">
      <c r="A61" s="860"/>
      <c r="B61" s="860"/>
      <c r="C61" s="860"/>
      <c r="D61" s="860"/>
      <c r="E61" s="860"/>
      <c r="F61" s="860"/>
      <c r="G61" s="860"/>
    </row>
  </sheetData>
  <mergeCells count="7">
    <mergeCell ref="A1:G1"/>
    <mergeCell ref="A2:G2"/>
    <mergeCell ref="A4:A5"/>
    <mergeCell ref="E39:G39"/>
    <mergeCell ref="F4:G4"/>
    <mergeCell ref="C4:E4"/>
    <mergeCell ref="B4:B5"/>
  </mergeCells>
  <phoneticPr fontId="0" type="noConversion"/>
  <printOptions horizontalCentered="1"/>
  <pageMargins left="0" right="0" top="0.47" bottom="0.1" header="0.48" footer="0.1"/>
  <pageSetup paperSize="9" orientation="landscape" blackAndWhite="1" r:id="rId1"/>
  <headerFooter alignWithMargins="0"/>
</worksheet>
</file>

<file path=xl/worksheets/sheet17.xml><?xml version="1.0" encoding="utf-8"?>
<worksheet xmlns="http://schemas.openxmlformats.org/spreadsheetml/2006/main" xmlns:r="http://schemas.openxmlformats.org/officeDocument/2006/relationships">
  <sheetPr codeName="Sheet16"/>
  <dimension ref="A1:R40"/>
  <sheetViews>
    <sheetView workbookViewId="0">
      <selection activeCell="F14" sqref="F14"/>
    </sheetView>
  </sheetViews>
  <sheetFormatPr defaultRowHeight="12.75"/>
  <cols>
    <col min="1" max="1" width="22.140625" style="7" customWidth="1"/>
    <col min="2" max="2" width="10.42578125" style="7" customWidth="1"/>
    <col min="3" max="3" width="7" style="7" customWidth="1"/>
    <col min="4" max="4" width="7.28515625" style="7" customWidth="1"/>
    <col min="5" max="5" width="6.7109375" style="7" customWidth="1"/>
    <col min="6" max="6" width="7.28515625" style="7" customWidth="1"/>
    <col min="7" max="7" width="6.7109375" style="7" customWidth="1"/>
    <col min="8" max="8" width="8" style="7" customWidth="1"/>
    <col min="9" max="11" width="6.7109375" style="7" customWidth="1"/>
    <col min="12" max="12" width="7.28515625" style="7" customWidth="1"/>
    <col min="13" max="13" width="5.7109375" style="7" customWidth="1"/>
    <col min="14" max="14" width="7.28515625" style="7" customWidth="1"/>
    <col min="15" max="15" width="5.7109375" style="7" customWidth="1"/>
    <col min="16" max="16" width="7.7109375" style="7" customWidth="1"/>
    <col min="17" max="17" width="5.85546875" style="7" customWidth="1"/>
    <col min="18" max="18" width="8.140625" style="7" customWidth="1"/>
    <col min="19" max="16384" width="9.140625" style="7"/>
  </cols>
  <sheetData>
    <row r="1" spans="1:18">
      <c r="A1" s="1399" t="s">
        <v>638</v>
      </c>
      <c r="B1" s="1399"/>
      <c r="C1" s="1399"/>
      <c r="D1" s="1399"/>
      <c r="E1" s="1399"/>
      <c r="F1" s="1399"/>
      <c r="G1" s="1399"/>
      <c r="H1" s="1399"/>
      <c r="I1" s="1399"/>
      <c r="J1" s="1399"/>
      <c r="K1" s="1399"/>
      <c r="L1" s="1399"/>
      <c r="M1" s="1399"/>
      <c r="N1" s="1399"/>
      <c r="O1" s="1399"/>
      <c r="P1" s="1399"/>
      <c r="Q1" s="1399"/>
      <c r="R1" s="1399"/>
    </row>
    <row r="2" spans="1:18" ht="16.5">
      <c r="A2" s="1394" t="str">
        <f>CONCATENATE(" Distribution of Population over different categories of workers and non-workers in the district of ",District!$A$1,", 2011")</f>
        <v xml:space="preserve"> Distribution of Population over different categories of workers and non-workers in the district of Purulia, 2011</v>
      </c>
      <c r="B2" s="1394"/>
      <c r="C2" s="1394"/>
      <c r="D2" s="1394"/>
      <c r="E2" s="1394"/>
      <c r="F2" s="1394"/>
      <c r="G2" s="1394"/>
      <c r="H2" s="1394"/>
      <c r="I2" s="1394"/>
      <c r="J2" s="1394"/>
      <c r="K2" s="1394"/>
      <c r="L2" s="1394"/>
      <c r="M2" s="1394"/>
      <c r="N2" s="1394"/>
      <c r="O2" s="1394"/>
      <c r="P2" s="1394"/>
      <c r="Q2" s="1394"/>
      <c r="R2" s="1394"/>
    </row>
    <row r="3" spans="1:18" ht="12.75" customHeight="1">
      <c r="A3" s="171"/>
      <c r="B3" s="172"/>
      <c r="C3" s="172"/>
      <c r="D3" s="172"/>
      <c r="E3" s="172"/>
      <c r="F3" s="172"/>
      <c r="G3" s="172"/>
      <c r="H3" s="172"/>
      <c r="I3" s="172"/>
      <c r="J3" s="172"/>
      <c r="K3" s="172"/>
      <c r="L3" s="172"/>
      <c r="M3" s="172"/>
      <c r="N3" s="172"/>
      <c r="O3" s="172"/>
      <c r="P3" s="861"/>
      <c r="Q3" s="172"/>
      <c r="R3" s="862" t="s">
        <v>184</v>
      </c>
    </row>
    <row r="4" spans="1:18" ht="15" customHeight="1">
      <c r="A4" s="1430" t="s">
        <v>431</v>
      </c>
      <c r="B4" s="1443" t="s">
        <v>1125</v>
      </c>
      <c r="C4" s="1444"/>
      <c r="D4" s="1442" t="s">
        <v>1108</v>
      </c>
      <c r="E4" s="1443"/>
      <c r="F4" s="1443"/>
      <c r="G4" s="1443"/>
      <c r="H4" s="1443"/>
      <c r="I4" s="1443"/>
      <c r="J4" s="1443"/>
      <c r="K4" s="1444"/>
      <c r="L4" s="1475" t="s">
        <v>1112</v>
      </c>
      <c r="M4" s="1476"/>
      <c r="N4" s="1475" t="s">
        <v>1114</v>
      </c>
      <c r="O4" s="1476"/>
      <c r="P4" s="1475" t="s">
        <v>973</v>
      </c>
      <c r="Q4" s="1476"/>
      <c r="R4" s="1447" t="s">
        <v>1115</v>
      </c>
    </row>
    <row r="5" spans="1:18" ht="15" customHeight="1">
      <c r="A5" s="1441"/>
      <c r="B5" s="1482" t="s">
        <v>1105</v>
      </c>
      <c r="C5" s="1483" t="s">
        <v>1075</v>
      </c>
      <c r="D5" s="1475" t="s">
        <v>1107</v>
      </c>
      <c r="E5" s="1476"/>
      <c r="F5" s="1477" t="s">
        <v>1109</v>
      </c>
      <c r="G5" s="1478"/>
      <c r="H5" s="1477" t="s">
        <v>1111</v>
      </c>
      <c r="I5" s="1478"/>
      <c r="J5" s="1475" t="s">
        <v>1110</v>
      </c>
      <c r="K5" s="1476"/>
      <c r="L5" s="1428" t="s">
        <v>1105</v>
      </c>
      <c r="M5" s="1429" t="s">
        <v>1075</v>
      </c>
      <c r="N5" s="1428" t="s">
        <v>1105</v>
      </c>
      <c r="O5" s="1429" t="s">
        <v>1075</v>
      </c>
      <c r="P5" s="1428" t="s">
        <v>1105</v>
      </c>
      <c r="Q5" s="1429" t="s">
        <v>1075</v>
      </c>
      <c r="R5" s="1448"/>
    </row>
    <row r="6" spans="1:18" ht="15" customHeight="1">
      <c r="A6" s="1431"/>
      <c r="B6" s="1449"/>
      <c r="C6" s="1484"/>
      <c r="D6" s="863" t="s">
        <v>955</v>
      </c>
      <c r="E6" s="864" t="s">
        <v>1106</v>
      </c>
      <c r="F6" s="863" t="s">
        <v>955</v>
      </c>
      <c r="G6" s="864" t="s">
        <v>1106</v>
      </c>
      <c r="H6" s="863" t="s">
        <v>955</v>
      </c>
      <c r="I6" s="864" t="s">
        <v>1106</v>
      </c>
      <c r="J6" s="863" t="s">
        <v>955</v>
      </c>
      <c r="K6" s="864" t="s">
        <v>1106</v>
      </c>
      <c r="L6" s="1480"/>
      <c r="M6" s="1481"/>
      <c r="N6" s="1480"/>
      <c r="O6" s="1481"/>
      <c r="P6" s="1480"/>
      <c r="Q6" s="1481"/>
      <c r="R6" s="1479"/>
    </row>
    <row r="7" spans="1:18" ht="15" customHeight="1">
      <c r="A7" s="760" t="s">
        <v>1008</v>
      </c>
      <c r="B7" s="762" t="s">
        <v>1009</v>
      </c>
      <c r="C7" s="865" t="s">
        <v>1010</v>
      </c>
      <c r="D7" s="761" t="s">
        <v>1011</v>
      </c>
      <c r="E7" s="865" t="s">
        <v>1015</v>
      </c>
      <c r="F7" s="761" t="s">
        <v>1016</v>
      </c>
      <c r="G7" s="865" t="s">
        <v>1017</v>
      </c>
      <c r="H7" s="761" t="s">
        <v>1039</v>
      </c>
      <c r="I7" s="865" t="s">
        <v>1040</v>
      </c>
      <c r="J7" s="761" t="s">
        <v>1041</v>
      </c>
      <c r="K7" s="865" t="s">
        <v>1042</v>
      </c>
      <c r="L7" s="761" t="s">
        <v>1076</v>
      </c>
      <c r="M7" s="763" t="s">
        <v>1077</v>
      </c>
      <c r="N7" s="761" t="s">
        <v>1078</v>
      </c>
      <c r="O7" s="763" t="s">
        <v>1079</v>
      </c>
      <c r="P7" s="761" t="s">
        <v>1080</v>
      </c>
      <c r="Q7" s="763" t="s">
        <v>1081</v>
      </c>
      <c r="R7" s="760" t="s">
        <v>1083</v>
      </c>
    </row>
    <row r="8" spans="1:18" ht="15" customHeight="1">
      <c r="A8" s="866" t="s">
        <v>566</v>
      </c>
      <c r="B8" s="867">
        <f>SUM(B9:B16)</f>
        <v>458627</v>
      </c>
      <c r="C8" s="868">
        <f>ROUND(B8/$R8*100,2)</f>
        <v>44.23</v>
      </c>
      <c r="D8" s="867">
        <f>SUM(D9:D16)</f>
        <v>116756</v>
      </c>
      <c r="E8" s="868">
        <f>ROUND(D8/$B8*100,2)</f>
        <v>25.46</v>
      </c>
      <c r="F8" s="867">
        <f>SUM(F9:F16)</f>
        <v>169722</v>
      </c>
      <c r="G8" s="868">
        <f t="shared" ref="G8:G34" si="0">ROUND(F8/$B8*100,2)</f>
        <v>37.01</v>
      </c>
      <c r="H8" s="867">
        <f>SUM(H9:H16)</f>
        <v>59098</v>
      </c>
      <c r="I8" s="868">
        <f>ROUND(H8/$B8*100,2)-0.01</f>
        <v>12.88</v>
      </c>
      <c r="J8" s="867">
        <f>SUM(J9:J16)</f>
        <v>113051</v>
      </c>
      <c r="K8" s="868">
        <f t="shared" ref="K8:K33" si="1">ROUND(J8/$B8*100,2)</f>
        <v>24.65</v>
      </c>
      <c r="L8" s="867">
        <f>SUM(L9:L16)</f>
        <v>233524</v>
      </c>
      <c r="M8" s="868">
        <f t="shared" ref="M8:M33" si="2">ROUND(L8/$R8*100,2)</f>
        <v>22.52</v>
      </c>
      <c r="N8" s="294">
        <f>SUM(N9:N16)</f>
        <v>225103</v>
      </c>
      <c r="O8" s="868">
        <f t="shared" ref="O8:O33" si="3">ROUND(N8/$R8*100,2)</f>
        <v>21.71</v>
      </c>
      <c r="P8" s="294">
        <f>SUM(P9:P16)</f>
        <v>578394</v>
      </c>
      <c r="Q8" s="868">
        <f t="shared" ref="Q8:Q34" si="4">ROUND(P8/$R8*100,2)</f>
        <v>55.77</v>
      </c>
      <c r="R8" s="164">
        <f>SUM(R9:R16)</f>
        <v>1037021</v>
      </c>
    </row>
    <row r="9" spans="1:18" ht="15" customHeight="1">
      <c r="A9" s="869" t="s">
        <v>26</v>
      </c>
      <c r="B9" s="757">
        <v>73497</v>
      </c>
      <c r="C9" s="870">
        <f t="shared" ref="C9:C33" si="5">ROUND(B9/$R9*100,2)</f>
        <v>47.5</v>
      </c>
      <c r="D9" s="705">
        <v>19904</v>
      </c>
      <c r="E9" s="870">
        <f t="shared" ref="E9:E34" si="6">ROUND(D9/$B9*100,2)</f>
        <v>27.08</v>
      </c>
      <c r="F9" s="705">
        <v>30374</v>
      </c>
      <c r="G9" s="870">
        <f t="shared" si="0"/>
        <v>41.33</v>
      </c>
      <c r="H9" s="705">
        <v>9266</v>
      </c>
      <c r="I9" s="870">
        <f t="shared" ref="I9:I34" si="7">ROUND(H9/$B9*100,2)</f>
        <v>12.61</v>
      </c>
      <c r="J9" s="705">
        <v>13953</v>
      </c>
      <c r="K9" s="870">
        <f t="shared" si="1"/>
        <v>18.98</v>
      </c>
      <c r="L9" s="705">
        <v>34714</v>
      </c>
      <c r="M9" s="870">
        <f t="shared" si="2"/>
        <v>22.43</v>
      </c>
      <c r="N9" s="705">
        <v>38783</v>
      </c>
      <c r="O9" s="870">
        <f t="shared" si="3"/>
        <v>25.06</v>
      </c>
      <c r="P9" s="705">
        <v>81239</v>
      </c>
      <c r="Q9" s="870">
        <f t="shared" si="4"/>
        <v>52.5</v>
      </c>
      <c r="R9" s="712">
        <f t="shared" ref="R9:R33" si="8">P9+N9+L9</f>
        <v>154736</v>
      </c>
    </row>
    <row r="10" spans="1:18" ht="15" customHeight="1">
      <c r="A10" s="869" t="s">
        <v>27</v>
      </c>
      <c r="B10" s="757">
        <v>63235</v>
      </c>
      <c r="C10" s="870">
        <f t="shared" si="5"/>
        <v>46.64</v>
      </c>
      <c r="D10" s="705">
        <v>17359</v>
      </c>
      <c r="E10" s="870">
        <f t="shared" si="6"/>
        <v>27.45</v>
      </c>
      <c r="F10" s="705">
        <v>30308</v>
      </c>
      <c r="G10" s="870">
        <f t="shared" si="0"/>
        <v>47.93</v>
      </c>
      <c r="H10" s="705">
        <v>1340</v>
      </c>
      <c r="I10" s="870">
        <f t="shared" si="7"/>
        <v>2.12</v>
      </c>
      <c r="J10" s="705">
        <v>14228</v>
      </c>
      <c r="K10" s="870">
        <f t="shared" si="1"/>
        <v>22.5</v>
      </c>
      <c r="L10" s="705">
        <v>27137</v>
      </c>
      <c r="M10" s="870">
        <f t="shared" si="2"/>
        <v>20.02</v>
      </c>
      <c r="N10" s="705">
        <v>36098</v>
      </c>
      <c r="O10" s="870">
        <f t="shared" si="3"/>
        <v>26.63</v>
      </c>
      <c r="P10" s="705">
        <v>72344</v>
      </c>
      <c r="Q10" s="870">
        <f t="shared" si="4"/>
        <v>53.36</v>
      </c>
      <c r="R10" s="712">
        <f t="shared" si="8"/>
        <v>135579</v>
      </c>
    </row>
    <row r="11" spans="1:18" ht="15" customHeight="1">
      <c r="A11" s="869" t="s">
        <v>53</v>
      </c>
      <c r="B11" s="757">
        <v>56675</v>
      </c>
      <c r="C11" s="870">
        <f t="shared" si="5"/>
        <v>41.08</v>
      </c>
      <c r="D11" s="705">
        <v>12333</v>
      </c>
      <c r="E11" s="870">
        <f t="shared" si="6"/>
        <v>21.76</v>
      </c>
      <c r="F11" s="705">
        <v>21384</v>
      </c>
      <c r="G11" s="870">
        <f t="shared" si="0"/>
        <v>37.729999999999997</v>
      </c>
      <c r="H11" s="705">
        <v>1517</v>
      </c>
      <c r="I11" s="870">
        <f t="shared" si="7"/>
        <v>2.68</v>
      </c>
      <c r="J11" s="705">
        <v>21441</v>
      </c>
      <c r="K11" s="870">
        <f t="shared" si="1"/>
        <v>37.83</v>
      </c>
      <c r="L11" s="705">
        <v>28739</v>
      </c>
      <c r="M11" s="870">
        <f t="shared" si="2"/>
        <v>20.83</v>
      </c>
      <c r="N11" s="705">
        <v>27936</v>
      </c>
      <c r="O11" s="870">
        <f t="shared" si="3"/>
        <v>20.25</v>
      </c>
      <c r="P11" s="705">
        <v>81275</v>
      </c>
      <c r="Q11" s="870">
        <f t="shared" si="4"/>
        <v>58.92</v>
      </c>
      <c r="R11" s="712">
        <f t="shared" si="8"/>
        <v>137950</v>
      </c>
    </row>
    <row r="12" spans="1:18" ht="15" customHeight="1">
      <c r="A12" s="869" t="s">
        <v>28</v>
      </c>
      <c r="B12" s="757">
        <v>84304</v>
      </c>
      <c r="C12" s="870">
        <f t="shared" si="5"/>
        <v>49.43</v>
      </c>
      <c r="D12" s="705">
        <v>24110</v>
      </c>
      <c r="E12" s="870">
        <f t="shared" si="6"/>
        <v>28.6</v>
      </c>
      <c r="F12" s="705">
        <v>42185</v>
      </c>
      <c r="G12" s="870">
        <f t="shared" si="0"/>
        <v>50.04</v>
      </c>
      <c r="H12" s="705">
        <v>2436</v>
      </c>
      <c r="I12" s="870">
        <f t="shared" si="7"/>
        <v>2.89</v>
      </c>
      <c r="J12" s="705">
        <v>15573</v>
      </c>
      <c r="K12" s="870">
        <f t="shared" si="1"/>
        <v>18.47</v>
      </c>
      <c r="L12" s="705">
        <v>39590</v>
      </c>
      <c r="M12" s="870">
        <f t="shared" si="2"/>
        <v>23.21</v>
      </c>
      <c r="N12" s="705">
        <v>44714</v>
      </c>
      <c r="O12" s="870">
        <f t="shared" si="3"/>
        <v>26.22</v>
      </c>
      <c r="P12" s="705">
        <v>86260</v>
      </c>
      <c r="Q12" s="870">
        <f t="shared" si="4"/>
        <v>50.57</v>
      </c>
      <c r="R12" s="712">
        <f t="shared" si="8"/>
        <v>170564</v>
      </c>
    </row>
    <row r="13" spans="1:18" ht="15" customHeight="1">
      <c r="A13" s="869" t="s">
        <v>29</v>
      </c>
      <c r="B13" s="757">
        <v>51675</v>
      </c>
      <c r="C13" s="870">
        <f t="shared" si="5"/>
        <v>38.75</v>
      </c>
      <c r="D13" s="705">
        <v>15230</v>
      </c>
      <c r="E13" s="870">
        <f t="shared" si="6"/>
        <v>29.47</v>
      </c>
      <c r="F13" s="705">
        <v>15541</v>
      </c>
      <c r="G13" s="870">
        <f t="shared" si="0"/>
        <v>30.07</v>
      </c>
      <c r="H13" s="705">
        <v>6425</v>
      </c>
      <c r="I13" s="870">
        <f t="shared" si="7"/>
        <v>12.43</v>
      </c>
      <c r="J13" s="705">
        <v>14479</v>
      </c>
      <c r="K13" s="870">
        <f t="shared" si="1"/>
        <v>28.02</v>
      </c>
      <c r="L13" s="705">
        <v>25499</v>
      </c>
      <c r="M13" s="870">
        <f t="shared" si="2"/>
        <v>19.12</v>
      </c>
      <c r="N13" s="705">
        <v>26176</v>
      </c>
      <c r="O13" s="870">
        <f t="shared" si="3"/>
        <v>19.63</v>
      </c>
      <c r="P13" s="705">
        <v>81674</v>
      </c>
      <c r="Q13" s="870">
        <f t="shared" si="4"/>
        <v>61.25</v>
      </c>
      <c r="R13" s="712">
        <f t="shared" si="8"/>
        <v>133349</v>
      </c>
    </row>
    <row r="14" spans="1:18" ht="15" customHeight="1">
      <c r="A14" s="869" t="s">
        <v>48</v>
      </c>
      <c r="B14" s="757">
        <v>56219</v>
      </c>
      <c r="C14" s="870">
        <f t="shared" si="5"/>
        <v>40.99</v>
      </c>
      <c r="D14" s="705">
        <v>17082</v>
      </c>
      <c r="E14" s="870">
        <f t="shared" si="6"/>
        <v>30.38</v>
      </c>
      <c r="F14" s="705">
        <v>19776</v>
      </c>
      <c r="G14" s="870">
        <f t="shared" si="0"/>
        <v>35.18</v>
      </c>
      <c r="H14" s="705">
        <v>5572</v>
      </c>
      <c r="I14" s="870">
        <f t="shared" si="7"/>
        <v>9.91</v>
      </c>
      <c r="J14" s="705">
        <v>13789</v>
      </c>
      <c r="K14" s="870">
        <f t="shared" si="1"/>
        <v>24.53</v>
      </c>
      <c r="L14" s="705">
        <v>30061</v>
      </c>
      <c r="M14" s="870">
        <f t="shared" si="2"/>
        <v>21.92</v>
      </c>
      <c r="N14" s="705">
        <v>26158</v>
      </c>
      <c r="O14" s="870">
        <f t="shared" si="3"/>
        <v>19.07</v>
      </c>
      <c r="P14" s="705">
        <v>80924</v>
      </c>
      <c r="Q14" s="870">
        <f t="shared" si="4"/>
        <v>59.01</v>
      </c>
      <c r="R14" s="712">
        <f t="shared" si="8"/>
        <v>137143</v>
      </c>
    </row>
    <row r="15" spans="1:18" ht="15" customHeight="1">
      <c r="A15" s="869" t="s">
        <v>54</v>
      </c>
      <c r="B15" s="757">
        <v>67178</v>
      </c>
      <c r="C15" s="870">
        <f t="shared" si="5"/>
        <v>45.34</v>
      </c>
      <c r="D15" s="705">
        <v>10637</v>
      </c>
      <c r="E15" s="870">
        <f t="shared" si="6"/>
        <v>15.83</v>
      </c>
      <c r="F15" s="705">
        <v>10126</v>
      </c>
      <c r="G15" s="870">
        <f t="shared" si="0"/>
        <v>15.07</v>
      </c>
      <c r="H15" s="705">
        <v>32347</v>
      </c>
      <c r="I15" s="870">
        <f t="shared" si="7"/>
        <v>48.15</v>
      </c>
      <c r="J15" s="705">
        <v>14068</v>
      </c>
      <c r="K15" s="870">
        <f t="shared" si="1"/>
        <v>20.94</v>
      </c>
      <c r="L15" s="705">
        <v>42838</v>
      </c>
      <c r="M15" s="870">
        <f t="shared" si="2"/>
        <v>28.91</v>
      </c>
      <c r="N15" s="705">
        <v>24340</v>
      </c>
      <c r="O15" s="870">
        <f t="shared" si="3"/>
        <v>16.43</v>
      </c>
      <c r="P15" s="705">
        <v>80978</v>
      </c>
      <c r="Q15" s="870">
        <f t="shared" si="4"/>
        <v>54.66</v>
      </c>
      <c r="R15" s="712">
        <f t="shared" si="8"/>
        <v>148156</v>
      </c>
    </row>
    <row r="16" spans="1:18" ht="15" customHeight="1">
      <c r="A16" s="869" t="s">
        <v>49</v>
      </c>
      <c r="B16" s="757">
        <v>5844</v>
      </c>
      <c r="C16" s="870">
        <f t="shared" si="5"/>
        <v>29.9</v>
      </c>
      <c r="D16" s="705">
        <v>101</v>
      </c>
      <c r="E16" s="870">
        <f t="shared" si="6"/>
        <v>1.73</v>
      </c>
      <c r="F16" s="705">
        <v>28</v>
      </c>
      <c r="G16" s="870">
        <f t="shared" si="0"/>
        <v>0.48</v>
      </c>
      <c r="H16" s="705">
        <v>195</v>
      </c>
      <c r="I16" s="870">
        <f t="shared" si="7"/>
        <v>3.34</v>
      </c>
      <c r="J16" s="705">
        <v>5520</v>
      </c>
      <c r="K16" s="870">
        <f t="shared" si="1"/>
        <v>94.46</v>
      </c>
      <c r="L16" s="705">
        <v>4946</v>
      </c>
      <c r="M16" s="870">
        <f t="shared" si="2"/>
        <v>25.31</v>
      </c>
      <c r="N16" s="705">
        <v>898</v>
      </c>
      <c r="O16" s="870">
        <f t="shared" si="3"/>
        <v>4.59</v>
      </c>
      <c r="P16" s="705">
        <v>13700</v>
      </c>
      <c r="Q16" s="870">
        <f t="shared" si="4"/>
        <v>70.099999999999994</v>
      </c>
      <c r="R16" s="712">
        <f t="shared" si="8"/>
        <v>19544</v>
      </c>
    </row>
    <row r="17" spans="1:18" ht="15" customHeight="1">
      <c r="A17" s="866" t="s">
        <v>50</v>
      </c>
      <c r="B17" s="294">
        <f>SUM(B18:B25)</f>
        <v>479677</v>
      </c>
      <c r="C17" s="868">
        <f t="shared" si="5"/>
        <v>45.45</v>
      </c>
      <c r="D17" s="294">
        <f>SUM(D18:D25)</f>
        <v>101190</v>
      </c>
      <c r="E17" s="868">
        <f t="shared" si="6"/>
        <v>21.1</v>
      </c>
      <c r="F17" s="294">
        <f>SUM(F18:F25)</f>
        <v>217256</v>
      </c>
      <c r="G17" s="868">
        <f t="shared" si="0"/>
        <v>45.29</v>
      </c>
      <c r="H17" s="294">
        <f>SUM(H18:H25)</f>
        <v>18617</v>
      </c>
      <c r="I17" s="868">
        <f t="shared" si="7"/>
        <v>3.88</v>
      </c>
      <c r="J17" s="294">
        <f>SUM(J18:J25)</f>
        <v>142614</v>
      </c>
      <c r="K17" s="868">
        <f t="shared" si="1"/>
        <v>29.73</v>
      </c>
      <c r="L17" s="294">
        <f>SUM(L18:L25)</f>
        <v>221071</v>
      </c>
      <c r="M17" s="868">
        <f t="shared" si="2"/>
        <v>20.95</v>
      </c>
      <c r="N17" s="294">
        <f>SUM(N18:N25)</f>
        <v>258606</v>
      </c>
      <c r="O17" s="868">
        <f t="shared" si="3"/>
        <v>24.5</v>
      </c>
      <c r="P17" s="294">
        <f>SUM(P18:P25)</f>
        <v>575660</v>
      </c>
      <c r="Q17" s="868">
        <f t="shared" si="4"/>
        <v>54.55</v>
      </c>
      <c r="R17" s="164">
        <f>SUM(R18:R25)</f>
        <v>1055337</v>
      </c>
    </row>
    <row r="18" spans="1:18" ht="15" customHeight="1">
      <c r="A18" s="869" t="s">
        <v>33</v>
      </c>
      <c r="B18" s="757">
        <v>47396</v>
      </c>
      <c r="C18" s="870">
        <f t="shared" si="5"/>
        <v>49.93</v>
      </c>
      <c r="D18" s="705">
        <v>8752</v>
      </c>
      <c r="E18" s="870">
        <f t="shared" si="6"/>
        <v>18.47</v>
      </c>
      <c r="F18" s="705">
        <v>24834</v>
      </c>
      <c r="G18" s="870">
        <f t="shared" si="0"/>
        <v>52.4</v>
      </c>
      <c r="H18" s="705">
        <v>4776</v>
      </c>
      <c r="I18" s="870">
        <f t="shared" si="7"/>
        <v>10.08</v>
      </c>
      <c r="J18" s="705">
        <v>9034</v>
      </c>
      <c r="K18" s="870">
        <f t="shared" si="1"/>
        <v>19.059999999999999</v>
      </c>
      <c r="L18" s="705">
        <v>19424</v>
      </c>
      <c r="M18" s="870">
        <f t="shared" si="2"/>
        <v>20.46</v>
      </c>
      <c r="N18" s="705">
        <v>27972</v>
      </c>
      <c r="O18" s="870">
        <f t="shared" si="3"/>
        <v>29.47</v>
      </c>
      <c r="P18" s="705">
        <v>47533</v>
      </c>
      <c r="Q18" s="870">
        <f t="shared" si="4"/>
        <v>50.07</v>
      </c>
      <c r="R18" s="712">
        <f t="shared" si="8"/>
        <v>94929</v>
      </c>
    </row>
    <row r="19" spans="1:18" ht="15" customHeight="1">
      <c r="A19" s="869" t="s">
        <v>34</v>
      </c>
      <c r="B19" s="757">
        <v>69640</v>
      </c>
      <c r="C19" s="870">
        <f t="shared" si="5"/>
        <v>48.5</v>
      </c>
      <c r="D19" s="705">
        <v>17454</v>
      </c>
      <c r="E19" s="870">
        <f t="shared" si="6"/>
        <v>25.06</v>
      </c>
      <c r="F19" s="705">
        <v>35033</v>
      </c>
      <c r="G19" s="870">
        <f t="shared" si="0"/>
        <v>50.31</v>
      </c>
      <c r="H19" s="705">
        <v>1762</v>
      </c>
      <c r="I19" s="870">
        <f t="shared" si="7"/>
        <v>2.5299999999999998</v>
      </c>
      <c r="J19" s="705">
        <v>15391</v>
      </c>
      <c r="K19" s="870">
        <f t="shared" si="1"/>
        <v>22.1</v>
      </c>
      <c r="L19" s="705">
        <v>31812</v>
      </c>
      <c r="M19" s="870">
        <f t="shared" si="2"/>
        <v>22.16</v>
      </c>
      <c r="N19" s="705">
        <v>37828</v>
      </c>
      <c r="O19" s="870">
        <f t="shared" si="3"/>
        <v>26.35</v>
      </c>
      <c r="P19" s="705">
        <v>73935</v>
      </c>
      <c r="Q19" s="870">
        <f t="shared" si="4"/>
        <v>51.5</v>
      </c>
      <c r="R19" s="712">
        <f t="shared" si="8"/>
        <v>143575</v>
      </c>
    </row>
    <row r="20" spans="1:18" ht="15" customHeight="1">
      <c r="A20" s="869" t="s">
        <v>55</v>
      </c>
      <c r="B20" s="757">
        <v>73876</v>
      </c>
      <c r="C20" s="870">
        <f t="shared" si="5"/>
        <v>47.95</v>
      </c>
      <c r="D20" s="705">
        <v>13914</v>
      </c>
      <c r="E20" s="870">
        <f t="shared" si="6"/>
        <v>18.829999999999998</v>
      </c>
      <c r="F20" s="705">
        <v>43646</v>
      </c>
      <c r="G20" s="870">
        <f t="shared" si="0"/>
        <v>59.08</v>
      </c>
      <c r="H20" s="705">
        <v>2125</v>
      </c>
      <c r="I20" s="870">
        <f t="shared" si="7"/>
        <v>2.88</v>
      </c>
      <c r="J20" s="705">
        <v>14191</v>
      </c>
      <c r="K20" s="870">
        <f t="shared" si="1"/>
        <v>19.21</v>
      </c>
      <c r="L20" s="705">
        <v>26937</v>
      </c>
      <c r="M20" s="870">
        <f t="shared" si="2"/>
        <v>17.48</v>
      </c>
      <c r="N20" s="705">
        <v>46939</v>
      </c>
      <c r="O20" s="870">
        <f t="shared" si="3"/>
        <v>30.47</v>
      </c>
      <c r="P20" s="705">
        <v>80195</v>
      </c>
      <c r="Q20" s="870">
        <f t="shared" si="4"/>
        <v>52.05</v>
      </c>
      <c r="R20" s="712">
        <f t="shared" si="8"/>
        <v>154071</v>
      </c>
    </row>
    <row r="21" spans="1:18" ht="15" customHeight="1">
      <c r="A21" s="869" t="s">
        <v>56</v>
      </c>
      <c r="B21" s="757">
        <v>51492</v>
      </c>
      <c r="C21" s="870">
        <f t="shared" si="5"/>
        <v>52.99</v>
      </c>
      <c r="D21" s="705">
        <v>13866</v>
      </c>
      <c r="E21" s="870">
        <f t="shared" si="6"/>
        <v>26.93</v>
      </c>
      <c r="F21" s="705">
        <v>32070</v>
      </c>
      <c r="G21" s="870">
        <f t="shared" si="0"/>
        <v>62.28</v>
      </c>
      <c r="H21" s="705">
        <v>935</v>
      </c>
      <c r="I21" s="870">
        <f t="shared" si="7"/>
        <v>1.82</v>
      </c>
      <c r="J21" s="705">
        <v>4621</v>
      </c>
      <c r="K21" s="870">
        <f t="shared" si="1"/>
        <v>8.9700000000000006</v>
      </c>
      <c r="L21" s="705">
        <v>20806</v>
      </c>
      <c r="M21" s="870">
        <f t="shared" si="2"/>
        <v>21.41</v>
      </c>
      <c r="N21" s="705">
        <v>30686</v>
      </c>
      <c r="O21" s="870">
        <f t="shared" si="3"/>
        <v>31.58</v>
      </c>
      <c r="P21" s="705">
        <v>45672</v>
      </c>
      <c r="Q21" s="870">
        <f t="shared" si="4"/>
        <v>47.01</v>
      </c>
      <c r="R21" s="712">
        <f t="shared" si="8"/>
        <v>97164</v>
      </c>
    </row>
    <row r="22" spans="1:18" ht="15" customHeight="1">
      <c r="A22" s="869" t="s">
        <v>45</v>
      </c>
      <c r="B22" s="757">
        <v>65031</v>
      </c>
      <c r="C22" s="870">
        <f t="shared" si="5"/>
        <v>52.51</v>
      </c>
      <c r="D22" s="705">
        <v>21480</v>
      </c>
      <c r="E22" s="870">
        <f t="shared" si="6"/>
        <v>33.03</v>
      </c>
      <c r="F22" s="705">
        <v>30933</v>
      </c>
      <c r="G22" s="870">
        <f t="shared" si="0"/>
        <v>47.57</v>
      </c>
      <c r="H22" s="705">
        <v>1581</v>
      </c>
      <c r="I22" s="870">
        <f t="shared" si="7"/>
        <v>2.4300000000000002</v>
      </c>
      <c r="J22" s="705">
        <v>11037</v>
      </c>
      <c r="K22" s="870">
        <f t="shared" si="1"/>
        <v>16.97</v>
      </c>
      <c r="L22" s="705">
        <v>29861</v>
      </c>
      <c r="M22" s="870">
        <f t="shared" si="2"/>
        <v>24.11</v>
      </c>
      <c r="N22" s="705">
        <v>35170</v>
      </c>
      <c r="O22" s="870">
        <f t="shared" si="3"/>
        <v>28.4</v>
      </c>
      <c r="P22" s="705">
        <v>58824</v>
      </c>
      <c r="Q22" s="870">
        <f t="shared" si="4"/>
        <v>47.49</v>
      </c>
      <c r="R22" s="712">
        <f t="shared" si="8"/>
        <v>123855</v>
      </c>
    </row>
    <row r="23" spans="1:18" ht="15" customHeight="1">
      <c r="A23" s="869" t="s">
        <v>46</v>
      </c>
      <c r="B23" s="757">
        <v>61470</v>
      </c>
      <c r="C23" s="870">
        <f t="shared" si="5"/>
        <v>40.659999999999997</v>
      </c>
      <c r="D23" s="705">
        <v>12935</v>
      </c>
      <c r="E23" s="870">
        <f t="shared" si="6"/>
        <v>21.04</v>
      </c>
      <c r="F23" s="705">
        <v>24156</v>
      </c>
      <c r="G23" s="870">
        <f t="shared" si="0"/>
        <v>39.299999999999997</v>
      </c>
      <c r="H23" s="705">
        <v>2216</v>
      </c>
      <c r="I23" s="870">
        <f t="shared" si="7"/>
        <v>3.61</v>
      </c>
      <c r="J23" s="705">
        <v>22163</v>
      </c>
      <c r="K23" s="870">
        <f t="shared" si="1"/>
        <v>36.049999999999997</v>
      </c>
      <c r="L23" s="705">
        <v>27753</v>
      </c>
      <c r="M23" s="870">
        <f t="shared" si="2"/>
        <v>18.36</v>
      </c>
      <c r="N23" s="705">
        <v>33717</v>
      </c>
      <c r="O23" s="870">
        <f t="shared" si="3"/>
        <v>22.3</v>
      </c>
      <c r="P23" s="705">
        <v>89718</v>
      </c>
      <c r="Q23" s="870">
        <f t="shared" si="4"/>
        <v>59.34</v>
      </c>
      <c r="R23" s="712">
        <f t="shared" si="8"/>
        <v>151188</v>
      </c>
    </row>
    <row r="24" spans="1:18" ht="15" customHeight="1">
      <c r="A24" s="869" t="s">
        <v>47</v>
      </c>
      <c r="B24" s="757">
        <v>70212</v>
      </c>
      <c r="C24" s="870">
        <f t="shared" si="5"/>
        <v>41.43</v>
      </c>
      <c r="D24" s="705">
        <v>12343</v>
      </c>
      <c r="E24" s="870">
        <f t="shared" si="6"/>
        <v>17.579999999999998</v>
      </c>
      <c r="F24" s="705">
        <v>26245</v>
      </c>
      <c r="G24" s="870">
        <f t="shared" si="0"/>
        <v>37.380000000000003</v>
      </c>
      <c r="H24" s="705">
        <v>4137</v>
      </c>
      <c r="I24" s="870">
        <f t="shared" si="7"/>
        <v>5.89</v>
      </c>
      <c r="J24" s="705">
        <v>27487</v>
      </c>
      <c r="K24" s="870">
        <f t="shared" si="1"/>
        <v>39.15</v>
      </c>
      <c r="L24" s="705">
        <v>31296</v>
      </c>
      <c r="M24" s="870">
        <f t="shared" si="2"/>
        <v>18.47</v>
      </c>
      <c r="N24" s="705">
        <v>38916</v>
      </c>
      <c r="O24" s="870">
        <f t="shared" si="3"/>
        <v>22.96</v>
      </c>
      <c r="P24" s="705">
        <v>99276</v>
      </c>
      <c r="Q24" s="870">
        <f t="shared" si="4"/>
        <v>58.57</v>
      </c>
      <c r="R24" s="712">
        <f t="shared" si="8"/>
        <v>169488</v>
      </c>
    </row>
    <row r="25" spans="1:18" ht="15" customHeight="1">
      <c r="A25" s="869" t="s">
        <v>58</v>
      </c>
      <c r="B25" s="757">
        <v>40560</v>
      </c>
      <c r="C25" s="870">
        <f t="shared" si="5"/>
        <v>33.5</v>
      </c>
      <c r="D25" s="705">
        <v>446</v>
      </c>
      <c r="E25" s="870">
        <f t="shared" si="6"/>
        <v>1.1000000000000001</v>
      </c>
      <c r="F25" s="705">
        <v>339</v>
      </c>
      <c r="G25" s="870">
        <f t="shared" si="0"/>
        <v>0.84</v>
      </c>
      <c r="H25" s="705">
        <v>1085</v>
      </c>
      <c r="I25" s="870">
        <f t="shared" si="7"/>
        <v>2.68</v>
      </c>
      <c r="J25" s="705">
        <v>38690</v>
      </c>
      <c r="K25" s="870">
        <f t="shared" si="1"/>
        <v>95.39</v>
      </c>
      <c r="L25" s="705">
        <v>33182</v>
      </c>
      <c r="M25" s="870">
        <f t="shared" si="2"/>
        <v>27.41</v>
      </c>
      <c r="N25" s="705">
        <v>7378</v>
      </c>
      <c r="O25" s="870">
        <f t="shared" si="3"/>
        <v>6.09</v>
      </c>
      <c r="P25" s="705">
        <v>80507</v>
      </c>
      <c r="Q25" s="870">
        <f t="shared" si="4"/>
        <v>66.5</v>
      </c>
      <c r="R25" s="712">
        <f t="shared" si="8"/>
        <v>121067</v>
      </c>
    </row>
    <row r="26" spans="1:18" ht="15" customHeight="1">
      <c r="A26" s="866" t="s">
        <v>392</v>
      </c>
      <c r="B26" s="294">
        <f>SUM(B27:B33)</f>
        <v>311338</v>
      </c>
      <c r="C26" s="868">
        <f t="shared" si="5"/>
        <v>37.159999999999997</v>
      </c>
      <c r="D26" s="294">
        <f>SUM(D27:D33)</f>
        <v>50854</v>
      </c>
      <c r="E26" s="868">
        <f t="shared" si="6"/>
        <v>16.329999999999998</v>
      </c>
      <c r="F26" s="294">
        <f>SUM(F27:F33)</f>
        <v>105227</v>
      </c>
      <c r="G26" s="868">
        <f t="shared" si="0"/>
        <v>33.799999999999997</v>
      </c>
      <c r="H26" s="294">
        <f>SUM(H27:H33)</f>
        <v>9845</v>
      </c>
      <c r="I26" s="868">
        <f t="shared" si="7"/>
        <v>3.16</v>
      </c>
      <c r="J26" s="294">
        <f>SUM(J27:J33)</f>
        <v>145412</v>
      </c>
      <c r="K26" s="868">
        <f t="shared" si="1"/>
        <v>46.71</v>
      </c>
      <c r="L26" s="294">
        <f>SUM(L27:L33)</f>
        <v>158803</v>
      </c>
      <c r="M26" s="868">
        <f>ROUND(L26/$R26*100,2)-0.01</f>
        <v>18.95</v>
      </c>
      <c r="N26" s="294">
        <f>SUM(N27:N33)</f>
        <v>152535</v>
      </c>
      <c r="O26" s="868">
        <f t="shared" si="3"/>
        <v>18.21</v>
      </c>
      <c r="P26" s="294">
        <f>SUM(P27:P33)</f>
        <v>526419</v>
      </c>
      <c r="Q26" s="868">
        <f t="shared" si="4"/>
        <v>62.84</v>
      </c>
      <c r="R26" s="164">
        <f>SUM(R27:R33)</f>
        <v>837757</v>
      </c>
    </row>
    <row r="27" spans="1:18" ht="15" customHeight="1">
      <c r="A27" s="869" t="s">
        <v>36</v>
      </c>
      <c r="B27" s="757">
        <v>82995</v>
      </c>
      <c r="C27" s="870">
        <f t="shared" si="5"/>
        <v>41.48</v>
      </c>
      <c r="D27" s="705">
        <v>15208</v>
      </c>
      <c r="E27" s="870">
        <f t="shared" si="6"/>
        <v>18.32</v>
      </c>
      <c r="F27" s="705">
        <v>36249</v>
      </c>
      <c r="G27" s="870">
        <f t="shared" si="0"/>
        <v>43.68</v>
      </c>
      <c r="H27" s="705">
        <v>2463</v>
      </c>
      <c r="I27" s="870">
        <f t="shared" si="7"/>
        <v>2.97</v>
      </c>
      <c r="J27" s="705">
        <v>29075</v>
      </c>
      <c r="K27" s="870">
        <f t="shared" si="1"/>
        <v>35.03</v>
      </c>
      <c r="L27" s="705">
        <v>37495</v>
      </c>
      <c r="M27" s="870">
        <f t="shared" si="2"/>
        <v>18.739999999999998</v>
      </c>
      <c r="N27" s="705">
        <v>45500</v>
      </c>
      <c r="O27" s="870">
        <f t="shared" si="3"/>
        <v>22.74</v>
      </c>
      <c r="P27" s="705">
        <v>117088</v>
      </c>
      <c r="Q27" s="870">
        <f t="shared" si="4"/>
        <v>58.52</v>
      </c>
      <c r="R27" s="712">
        <f t="shared" si="8"/>
        <v>200083</v>
      </c>
    </row>
    <row r="28" spans="1:18" ht="15" customHeight="1">
      <c r="A28" s="869" t="s">
        <v>37</v>
      </c>
      <c r="B28" s="757">
        <v>37274</v>
      </c>
      <c r="C28" s="870">
        <f t="shared" si="5"/>
        <v>36.75</v>
      </c>
      <c r="D28" s="705">
        <v>5655</v>
      </c>
      <c r="E28" s="870">
        <f t="shared" si="6"/>
        <v>15.17</v>
      </c>
      <c r="F28" s="705">
        <v>9242</v>
      </c>
      <c r="G28" s="870">
        <f t="shared" si="0"/>
        <v>24.79</v>
      </c>
      <c r="H28" s="705">
        <v>1080</v>
      </c>
      <c r="I28" s="870">
        <f t="shared" si="7"/>
        <v>2.9</v>
      </c>
      <c r="J28" s="705">
        <v>21297</v>
      </c>
      <c r="K28" s="870">
        <f t="shared" si="1"/>
        <v>57.14</v>
      </c>
      <c r="L28" s="705">
        <v>19400</v>
      </c>
      <c r="M28" s="870">
        <f t="shared" si="2"/>
        <v>19.13</v>
      </c>
      <c r="N28" s="705">
        <v>17874</v>
      </c>
      <c r="O28" s="870">
        <f t="shared" si="3"/>
        <v>17.62</v>
      </c>
      <c r="P28" s="705">
        <v>64153</v>
      </c>
      <c r="Q28" s="870">
        <f t="shared" si="4"/>
        <v>63.25</v>
      </c>
      <c r="R28" s="712">
        <f t="shared" si="8"/>
        <v>101427</v>
      </c>
    </row>
    <row r="29" spans="1:18" ht="15" customHeight="1">
      <c r="A29" s="869" t="s">
        <v>38</v>
      </c>
      <c r="B29" s="757">
        <v>72247</v>
      </c>
      <c r="C29" s="870">
        <f t="shared" si="5"/>
        <v>36.01</v>
      </c>
      <c r="D29" s="705">
        <v>12249</v>
      </c>
      <c r="E29" s="870">
        <f t="shared" si="6"/>
        <v>16.95</v>
      </c>
      <c r="F29" s="705">
        <v>25529</v>
      </c>
      <c r="G29" s="870">
        <f t="shared" si="0"/>
        <v>35.340000000000003</v>
      </c>
      <c r="H29" s="705">
        <v>2410</v>
      </c>
      <c r="I29" s="870">
        <f t="shared" si="7"/>
        <v>3.34</v>
      </c>
      <c r="J29" s="705">
        <v>32059</v>
      </c>
      <c r="K29" s="870">
        <f t="shared" si="1"/>
        <v>44.37</v>
      </c>
      <c r="L29" s="705">
        <v>36504</v>
      </c>
      <c r="M29" s="870">
        <f t="shared" si="2"/>
        <v>18.2</v>
      </c>
      <c r="N29" s="705">
        <v>35743</v>
      </c>
      <c r="O29" s="870">
        <f t="shared" si="3"/>
        <v>17.82</v>
      </c>
      <c r="P29" s="705">
        <v>128374</v>
      </c>
      <c r="Q29" s="870">
        <f t="shared" si="4"/>
        <v>63.99</v>
      </c>
      <c r="R29" s="712">
        <f t="shared" si="8"/>
        <v>200621</v>
      </c>
    </row>
    <row r="30" spans="1:18" ht="15" customHeight="1">
      <c r="A30" s="869" t="s">
        <v>40</v>
      </c>
      <c r="B30" s="757">
        <v>40087</v>
      </c>
      <c r="C30" s="870">
        <f t="shared" si="5"/>
        <v>34.04</v>
      </c>
      <c r="D30" s="705">
        <v>5606</v>
      </c>
      <c r="E30" s="870">
        <f t="shared" si="6"/>
        <v>13.98</v>
      </c>
      <c r="F30" s="705">
        <v>11881</v>
      </c>
      <c r="G30" s="870">
        <f t="shared" si="0"/>
        <v>29.64</v>
      </c>
      <c r="H30" s="705">
        <v>1422</v>
      </c>
      <c r="I30" s="870">
        <f t="shared" si="7"/>
        <v>3.55</v>
      </c>
      <c r="J30" s="705">
        <v>21178</v>
      </c>
      <c r="K30" s="870">
        <f t="shared" si="1"/>
        <v>52.83</v>
      </c>
      <c r="L30" s="705">
        <v>23195</v>
      </c>
      <c r="M30" s="870">
        <f t="shared" si="2"/>
        <v>19.7</v>
      </c>
      <c r="N30" s="705">
        <v>16892</v>
      </c>
      <c r="O30" s="870">
        <f t="shared" si="3"/>
        <v>14.34</v>
      </c>
      <c r="P30" s="705">
        <v>77673</v>
      </c>
      <c r="Q30" s="870">
        <f t="shared" si="4"/>
        <v>65.959999999999994</v>
      </c>
      <c r="R30" s="712">
        <f t="shared" si="8"/>
        <v>117760</v>
      </c>
    </row>
    <row r="31" spans="1:18" ht="15" customHeight="1">
      <c r="A31" s="869" t="s">
        <v>52</v>
      </c>
      <c r="B31" s="757">
        <v>41114</v>
      </c>
      <c r="C31" s="870">
        <f t="shared" si="5"/>
        <v>36.130000000000003</v>
      </c>
      <c r="D31" s="705">
        <v>5709</v>
      </c>
      <c r="E31" s="870">
        <f t="shared" si="6"/>
        <v>13.89</v>
      </c>
      <c r="F31" s="705">
        <v>12361</v>
      </c>
      <c r="G31" s="870">
        <f t="shared" si="0"/>
        <v>30.07</v>
      </c>
      <c r="H31" s="705">
        <v>1284</v>
      </c>
      <c r="I31" s="870">
        <f t="shared" si="7"/>
        <v>3.12</v>
      </c>
      <c r="J31" s="705">
        <v>21760</v>
      </c>
      <c r="K31" s="870">
        <f t="shared" si="1"/>
        <v>52.93</v>
      </c>
      <c r="L31" s="705">
        <v>19793</v>
      </c>
      <c r="M31" s="870">
        <f t="shared" si="2"/>
        <v>17.39</v>
      </c>
      <c r="N31" s="705">
        <v>21321</v>
      </c>
      <c r="O31" s="870">
        <f t="shared" si="3"/>
        <v>18.739999999999998</v>
      </c>
      <c r="P31" s="705">
        <v>72676</v>
      </c>
      <c r="Q31" s="870">
        <f t="shared" si="4"/>
        <v>63.87</v>
      </c>
      <c r="R31" s="712">
        <f t="shared" si="8"/>
        <v>113790</v>
      </c>
    </row>
    <row r="32" spans="1:18" ht="15" customHeight="1">
      <c r="A32" s="869" t="s">
        <v>41</v>
      </c>
      <c r="B32" s="757">
        <v>8138</v>
      </c>
      <c r="C32" s="870">
        <f t="shared" si="5"/>
        <v>31.84</v>
      </c>
      <c r="D32" s="705">
        <v>153</v>
      </c>
      <c r="E32" s="870">
        <f t="shared" si="6"/>
        <v>1.88</v>
      </c>
      <c r="F32" s="705">
        <v>128</v>
      </c>
      <c r="G32" s="870">
        <f t="shared" si="0"/>
        <v>1.57</v>
      </c>
      <c r="H32" s="705">
        <v>192</v>
      </c>
      <c r="I32" s="870">
        <f t="shared" si="7"/>
        <v>2.36</v>
      </c>
      <c r="J32" s="705">
        <v>7665</v>
      </c>
      <c r="K32" s="870">
        <f t="shared" si="1"/>
        <v>94.19</v>
      </c>
      <c r="L32" s="705">
        <v>7132</v>
      </c>
      <c r="M32" s="870">
        <f t="shared" si="2"/>
        <v>27.9</v>
      </c>
      <c r="N32" s="705">
        <v>1006</v>
      </c>
      <c r="O32" s="870">
        <f t="shared" si="3"/>
        <v>3.94</v>
      </c>
      <c r="P32" s="705">
        <v>17423</v>
      </c>
      <c r="Q32" s="870">
        <f t="shared" si="4"/>
        <v>68.16</v>
      </c>
      <c r="R32" s="712">
        <f t="shared" si="8"/>
        <v>25561</v>
      </c>
    </row>
    <row r="33" spans="1:18" ht="15" customHeight="1">
      <c r="A33" s="869" t="s">
        <v>39</v>
      </c>
      <c r="B33" s="757">
        <v>29483</v>
      </c>
      <c r="C33" s="870">
        <f t="shared" si="5"/>
        <v>37.549999999999997</v>
      </c>
      <c r="D33" s="705">
        <v>6274</v>
      </c>
      <c r="E33" s="870">
        <f t="shared" si="6"/>
        <v>21.28</v>
      </c>
      <c r="F33" s="705">
        <v>9837</v>
      </c>
      <c r="G33" s="870">
        <f t="shared" si="0"/>
        <v>33.36</v>
      </c>
      <c r="H33" s="705">
        <v>994</v>
      </c>
      <c r="I33" s="870">
        <f t="shared" si="7"/>
        <v>3.37</v>
      </c>
      <c r="J33" s="705">
        <v>12378</v>
      </c>
      <c r="K33" s="870">
        <f t="shared" si="1"/>
        <v>41.98</v>
      </c>
      <c r="L33" s="705">
        <v>15284</v>
      </c>
      <c r="M33" s="870">
        <f t="shared" si="2"/>
        <v>19.47</v>
      </c>
      <c r="N33" s="705">
        <v>14199</v>
      </c>
      <c r="O33" s="870">
        <f t="shared" si="3"/>
        <v>18.079999999999998</v>
      </c>
      <c r="P33" s="705">
        <v>49032</v>
      </c>
      <c r="Q33" s="870">
        <f t="shared" si="4"/>
        <v>62.45</v>
      </c>
      <c r="R33" s="712">
        <f t="shared" si="8"/>
        <v>78515</v>
      </c>
    </row>
    <row r="34" spans="1:18" ht="15" customHeight="1">
      <c r="A34" s="871" t="s">
        <v>302</v>
      </c>
      <c r="B34" s="748">
        <f>SUM(B26,B17,B8)</f>
        <v>1249642</v>
      </c>
      <c r="C34" s="859">
        <f>ROUND(B34/$R34*100,2)</f>
        <v>42.65</v>
      </c>
      <c r="D34" s="748">
        <f>SUM(D26,D17,D8)</f>
        <v>268800</v>
      </c>
      <c r="E34" s="859">
        <f t="shared" si="6"/>
        <v>21.51</v>
      </c>
      <c r="F34" s="748">
        <f>SUM(F26,F17,F8)</f>
        <v>492205</v>
      </c>
      <c r="G34" s="859">
        <f t="shared" si="0"/>
        <v>39.39</v>
      </c>
      <c r="H34" s="748">
        <f>SUM(H26,H17,H8)</f>
        <v>87560</v>
      </c>
      <c r="I34" s="859">
        <f t="shared" si="7"/>
        <v>7.01</v>
      </c>
      <c r="J34" s="748">
        <f>SUM(J26,J17,J8)</f>
        <v>401077</v>
      </c>
      <c r="K34" s="859">
        <f>ROUND(J34/$B34*100,2)-0.01</f>
        <v>32.090000000000003</v>
      </c>
      <c r="L34" s="748">
        <f>SUM(L26,L17,L8)</f>
        <v>613398</v>
      </c>
      <c r="M34" s="859">
        <f>ROUND(L34/$R34*100,2)</f>
        <v>20.93</v>
      </c>
      <c r="N34" s="748">
        <f>SUM(N26,N17,N8)</f>
        <v>636244</v>
      </c>
      <c r="O34" s="859">
        <f>ROUND(N34/$R34*100,2)+0.01</f>
        <v>21.720000000000002</v>
      </c>
      <c r="P34" s="748">
        <f>SUM(P26,P17,P8)</f>
        <v>1680473</v>
      </c>
      <c r="Q34" s="859">
        <f t="shared" si="4"/>
        <v>57.35</v>
      </c>
      <c r="R34" s="735">
        <f>SUM(R26,R17,R8)</f>
        <v>2930115</v>
      </c>
    </row>
    <row r="35" spans="1:18" ht="12" customHeight="1">
      <c r="A35" s="546" t="s">
        <v>1126</v>
      </c>
      <c r="B35" s="872"/>
      <c r="C35" s="872"/>
      <c r="D35" s="872"/>
      <c r="E35" s="873"/>
      <c r="F35" s="174"/>
      <c r="G35" s="173"/>
      <c r="H35" s="174"/>
      <c r="I35" s="173"/>
      <c r="J35" s="174"/>
      <c r="K35" s="173"/>
      <c r="L35" s="174"/>
      <c r="M35" s="175"/>
      <c r="N35" s="174"/>
      <c r="O35" s="175"/>
      <c r="P35" s="174"/>
      <c r="Q35" s="175"/>
      <c r="R35" s="545" t="s">
        <v>931</v>
      </c>
    </row>
    <row r="36" spans="1:18" ht="12" customHeight="1">
      <c r="A36" s="546" t="s">
        <v>1583</v>
      </c>
      <c r="B36" s="872"/>
      <c r="C36" s="872"/>
      <c r="D36" s="872"/>
      <c r="E36" s="873"/>
      <c r="F36" s="171"/>
      <c r="G36" s="171"/>
      <c r="H36" s="171"/>
      <c r="I36" s="171"/>
      <c r="J36" s="171"/>
      <c r="K36" s="171"/>
      <c r="L36" s="171"/>
      <c r="M36" s="171"/>
      <c r="N36" s="171"/>
      <c r="O36" s="171"/>
      <c r="P36" s="171"/>
      <c r="Q36" s="171"/>
    </row>
    <row r="37" spans="1:18" ht="12" customHeight="1">
      <c r="A37" s="546" t="s">
        <v>1584</v>
      </c>
      <c r="B37" s="872"/>
      <c r="C37" s="872"/>
      <c r="D37" s="872"/>
      <c r="E37" s="873"/>
      <c r="F37" s="171"/>
      <c r="G37" s="171"/>
      <c r="H37" s="171"/>
      <c r="I37" s="171"/>
      <c r="J37" s="171"/>
      <c r="K37" s="171"/>
      <c r="L37" s="171"/>
      <c r="M37" s="171"/>
      <c r="N37" s="171"/>
      <c r="O37" s="171"/>
      <c r="P37" s="171"/>
      <c r="Q37" s="171"/>
      <c r="R37" s="171"/>
    </row>
    <row r="38" spans="1:18" ht="12" customHeight="1">
      <c r="A38" s="547" t="s">
        <v>393</v>
      </c>
    </row>
    <row r="40" spans="1:18">
      <c r="B40" s="54"/>
    </row>
  </sheetData>
  <mergeCells count="21">
    <mergeCell ref="B5:B6"/>
    <mergeCell ref="D4:K4"/>
    <mergeCell ref="C5:C6"/>
    <mergeCell ref="D5:E5"/>
    <mergeCell ref="B4:C4"/>
    <mergeCell ref="L4:M4"/>
    <mergeCell ref="H5:I5"/>
    <mergeCell ref="A1:R1"/>
    <mergeCell ref="A2:R2"/>
    <mergeCell ref="R4:R6"/>
    <mergeCell ref="L5:L6"/>
    <mergeCell ref="M5:M6"/>
    <mergeCell ref="P5:P6"/>
    <mergeCell ref="F5:G5"/>
    <mergeCell ref="P4:Q4"/>
    <mergeCell ref="Q5:Q6"/>
    <mergeCell ref="N5:N6"/>
    <mergeCell ref="N4:O4"/>
    <mergeCell ref="O5:O6"/>
    <mergeCell ref="A4:A6"/>
    <mergeCell ref="J5:K5"/>
  </mergeCells>
  <phoneticPr fontId="0" type="noConversion"/>
  <printOptions horizontalCentered="1" verticalCentered="1"/>
  <pageMargins left="0.1" right="0.1" top="0.23" bottom="0.1" header="0.2" footer="0"/>
  <pageSetup paperSize="9" scale="95" orientation="landscape" blackAndWhite="1" r:id="rId1"/>
  <headerFooter alignWithMargins="0"/>
</worksheet>
</file>

<file path=xl/worksheets/sheet18.xml><?xml version="1.0" encoding="utf-8"?>
<worksheet xmlns="http://schemas.openxmlformats.org/spreadsheetml/2006/main" xmlns:r="http://schemas.openxmlformats.org/officeDocument/2006/relationships">
  <sheetPr codeName="Sheet17"/>
  <dimension ref="A1:G49"/>
  <sheetViews>
    <sheetView topLeftCell="A28" workbookViewId="0">
      <selection activeCell="F14" sqref="F14"/>
    </sheetView>
  </sheetViews>
  <sheetFormatPr defaultRowHeight="12.75"/>
  <cols>
    <col min="1" max="1" width="2.28515625" style="723" customWidth="1"/>
    <col min="2" max="2" width="1.42578125" style="723" customWidth="1"/>
    <col min="3" max="3" width="25" style="723" customWidth="1"/>
    <col min="4" max="6" width="14.7109375" style="723" customWidth="1"/>
    <col min="7" max="7" width="14.140625" style="723" customWidth="1"/>
    <col min="8" max="16384" width="9.140625" style="723"/>
  </cols>
  <sheetData>
    <row r="1" spans="1:7" ht="21.75" customHeight="1">
      <c r="A1" s="1466" t="s">
        <v>639</v>
      </c>
      <c r="B1" s="1466"/>
      <c r="C1" s="1466"/>
      <c r="D1" s="1466"/>
      <c r="E1" s="1466"/>
      <c r="F1" s="1466"/>
      <c r="G1" s="1466"/>
    </row>
    <row r="2" spans="1:7" ht="34.5" customHeight="1">
      <c r="A2" s="1467" t="str">
        <f>CONCATENATE("Distribution of Population over different categories of workers 
and non-workers by sex in the district of ",District!$A$1,", 2011")</f>
        <v>Distribution of Population over different categories of workers 
and non-workers by sex in the district of Purulia, 2011</v>
      </c>
      <c r="B2" s="1467"/>
      <c r="C2" s="1467"/>
      <c r="D2" s="1467"/>
      <c r="E2" s="1467"/>
      <c r="F2" s="1467"/>
      <c r="G2" s="1467"/>
    </row>
    <row r="3" spans="1:7">
      <c r="A3" s="1490" t="s">
        <v>1116</v>
      </c>
      <c r="B3" s="1491"/>
      <c r="C3" s="1492"/>
      <c r="D3" s="1490" t="s">
        <v>955</v>
      </c>
      <c r="E3" s="1491"/>
      <c r="F3" s="1492"/>
      <c r="G3" s="1408" t="s">
        <v>1221</v>
      </c>
    </row>
    <row r="4" spans="1:7" ht="14.25" customHeight="1">
      <c r="A4" s="1496"/>
      <c r="B4" s="1497"/>
      <c r="C4" s="1498"/>
      <c r="D4" s="1493"/>
      <c r="E4" s="1494"/>
      <c r="F4" s="1495"/>
      <c r="G4" s="1472"/>
    </row>
    <row r="5" spans="1:7" ht="17.25" customHeight="1">
      <c r="A5" s="1493"/>
      <c r="B5" s="1494"/>
      <c r="C5" s="1495"/>
      <c r="D5" s="131" t="s">
        <v>1070</v>
      </c>
      <c r="E5" s="704" t="s">
        <v>1071</v>
      </c>
      <c r="F5" s="491" t="s">
        <v>1035</v>
      </c>
      <c r="G5" s="1409"/>
    </row>
    <row r="6" spans="1:7" ht="15.75" customHeight="1">
      <c r="A6" s="1395" t="s">
        <v>1008</v>
      </c>
      <c r="B6" s="1485"/>
      <c r="C6" s="1396"/>
      <c r="D6" s="790" t="s">
        <v>1009</v>
      </c>
      <c r="E6" s="741" t="s">
        <v>1010</v>
      </c>
      <c r="F6" s="729" t="s">
        <v>1011</v>
      </c>
      <c r="G6" s="729" t="s">
        <v>1015</v>
      </c>
    </row>
    <row r="7" spans="1:7" ht="15" customHeight="1">
      <c r="A7" s="187" t="s">
        <v>1153</v>
      </c>
      <c r="B7" s="876" t="s">
        <v>1117</v>
      </c>
      <c r="C7" s="877"/>
      <c r="D7" s="24"/>
      <c r="E7" s="294"/>
      <c r="F7" s="164"/>
      <c r="G7" s="295"/>
    </row>
    <row r="8" spans="1:7" ht="15" customHeight="1">
      <c r="A8" s="1488" t="s">
        <v>1118</v>
      </c>
      <c r="B8" s="1489"/>
      <c r="C8" s="591" t="s">
        <v>1119</v>
      </c>
      <c r="D8" s="131"/>
      <c r="E8" s="125"/>
      <c r="F8" s="126"/>
      <c r="G8" s="295"/>
    </row>
    <row r="9" spans="1:7" ht="15" customHeight="1">
      <c r="A9" s="1390"/>
      <c r="B9" s="1487"/>
      <c r="C9" s="591" t="s">
        <v>1073</v>
      </c>
      <c r="D9" s="138">
        <v>412155</v>
      </c>
      <c r="E9" s="141">
        <v>105946</v>
      </c>
      <c r="F9" s="126">
        <f>D9+E9</f>
        <v>518101</v>
      </c>
      <c r="G9" s="132">
        <f>ROUND(F9/$F$21*100,2)</f>
        <v>20.260000000000002</v>
      </c>
    </row>
    <row r="10" spans="1:7" ht="15" customHeight="1">
      <c r="A10" s="1390"/>
      <c r="B10" s="1487"/>
      <c r="C10" s="591" t="s">
        <v>1072</v>
      </c>
      <c r="D10" s="138">
        <v>81077</v>
      </c>
      <c r="E10" s="141">
        <v>14220</v>
      </c>
      <c r="F10" s="126">
        <f>D10+E10</f>
        <v>95297</v>
      </c>
      <c r="G10" s="132">
        <f>ROUND(F10/$F$22*100,2)</f>
        <v>25.53</v>
      </c>
    </row>
    <row r="11" spans="1:7" ht="15" customHeight="1">
      <c r="A11" s="1390"/>
      <c r="B11" s="1487"/>
      <c r="C11" s="877" t="s">
        <v>1120</v>
      </c>
      <c r="D11" s="24">
        <f>D9+D10</f>
        <v>493232</v>
      </c>
      <c r="E11" s="294">
        <f>E9+E10</f>
        <v>120166</v>
      </c>
      <c r="F11" s="164">
        <f>D11+E11</f>
        <v>613398</v>
      </c>
      <c r="G11" s="521">
        <f>ROUND(F11/$F$23*100,2)</f>
        <v>20.93</v>
      </c>
    </row>
    <row r="12" spans="1:7" ht="15" customHeight="1">
      <c r="A12" s="1488" t="s">
        <v>1150</v>
      </c>
      <c r="B12" s="1489"/>
      <c r="C12" s="591" t="s">
        <v>1151</v>
      </c>
      <c r="D12" s="131"/>
      <c r="E12" s="125"/>
      <c r="F12" s="126"/>
      <c r="G12" s="132"/>
    </row>
    <row r="13" spans="1:7" ht="15" customHeight="1">
      <c r="A13" s="1390"/>
      <c r="B13" s="1487"/>
      <c r="C13" s="591" t="s">
        <v>1073</v>
      </c>
      <c r="D13" s="138">
        <v>292524</v>
      </c>
      <c r="E13" s="141">
        <v>319754</v>
      </c>
      <c r="F13" s="126">
        <f>D13+E13</f>
        <v>612278</v>
      </c>
      <c r="G13" s="132">
        <f>ROUND(F13/$F$21*100,2)</f>
        <v>23.95</v>
      </c>
    </row>
    <row r="14" spans="1:7" ht="15" customHeight="1">
      <c r="A14" s="1390"/>
      <c r="B14" s="1487"/>
      <c r="C14" s="591" t="s">
        <v>1072</v>
      </c>
      <c r="D14" s="138">
        <v>15498</v>
      </c>
      <c r="E14" s="141">
        <v>8468</v>
      </c>
      <c r="F14" s="126">
        <f>D14+E14</f>
        <v>23966</v>
      </c>
      <c r="G14" s="132">
        <f>ROUND(F14/$F$22*100,2)</f>
        <v>6.42</v>
      </c>
    </row>
    <row r="15" spans="1:7" ht="15" customHeight="1">
      <c r="A15" s="1390"/>
      <c r="B15" s="1487"/>
      <c r="C15" s="877" t="s">
        <v>1120</v>
      </c>
      <c r="D15" s="24">
        <f>D13+D14</f>
        <v>308022</v>
      </c>
      <c r="E15" s="294">
        <f>E13+E14</f>
        <v>328222</v>
      </c>
      <c r="F15" s="164">
        <f>D15+E15</f>
        <v>636244</v>
      </c>
      <c r="G15" s="521">
        <f>ROUND(F15/$F$23*100,2)+0.01</f>
        <v>21.720000000000002</v>
      </c>
    </row>
    <row r="16" spans="1:7" ht="15" customHeight="1">
      <c r="A16" s="187" t="s">
        <v>1560</v>
      </c>
      <c r="B16" s="876" t="s">
        <v>1152</v>
      </c>
      <c r="C16" s="877"/>
      <c r="D16" s="131"/>
      <c r="E16" s="125"/>
      <c r="F16" s="126"/>
      <c r="G16" s="132"/>
    </row>
    <row r="17" spans="1:7" ht="15" customHeight="1">
      <c r="A17" s="1390"/>
      <c r="B17" s="1487"/>
      <c r="C17" s="591" t="s">
        <v>1073</v>
      </c>
      <c r="D17" s="138">
        <v>599529</v>
      </c>
      <c r="E17" s="141">
        <v>826893</v>
      </c>
      <c r="F17" s="126">
        <f>D17+E17</f>
        <v>1426422</v>
      </c>
      <c r="G17" s="132">
        <f>ROUND(F17/$F$21*100,2)</f>
        <v>55.79</v>
      </c>
    </row>
    <row r="18" spans="1:7" ht="15" customHeight="1">
      <c r="A18" s="1390"/>
      <c r="B18" s="1487"/>
      <c r="C18" s="591" t="s">
        <v>1072</v>
      </c>
      <c r="D18" s="138">
        <v>96213</v>
      </c>
      <c r="E18" s="141">
        <v>157838</v>
      </c>
      <c r="F18" s="126">
        <f>D18+E18</f>
        <v>254051</v>
      </c>
      <c r="G18" s="132">
        <f>ROUND(F18/$F$22*100,2)</f>
        <v>68.05</v>
      </c>
    </row>
    <row r="19" spans="1:7" ht="15" customHeight="1">
      <c r="A19" s="1390"/>
      <c r="B19" s="1487"/>
      <c r="C19" s="877" t="s">
        <v>1120</v>
      </c>
      <c r="D19" s="24">
        <f>D17+D18</f>
        <v>695742</v>
      </c>
      <c r="E19" s="294">
        <f>E17+E18</f>
        <v>984731</v>
      </c>
      <c r="F19" s="164">
        <f>D19+E19</f>
        <v>1680473</v>
      </c>
      <c r="G19" s="521">
        <f>ROUND(F19/$F$23*100,2)</f>
        <v>57.35</v>
      </c>
    </row>
    <row r="20" spans="1:7" ht="15" customHeight="1">
      <c r="A20" s="187" t="s">
        <v>857</v>
      </c>
      <c r="B20" s="876"/>
      <c r="C20" s="877"/>
      <c r="D20" s="131"/>
      <c r="E20" s="125"/>
      <c r="F20" s="126"/>
      <c r="G20" s="132"/>
    </row>
    <row r="21" spans="1:7" ht="15" customHeight="1">
      <c r="A21" s="1390"/>
      <c r="B21" s="1487"/>
      <c r="C21" s="591" t="s">
        <v>1073</v>
      </c>
      <c r="D21" s="138">
        <f t="shared" ref="D21:F22" si="0">D9+D13+D17</f>
        <v>1304208</v>
      </c>
      <c r="E21" s="141">
        <f t="shared" si="0"/>
        <v>1252593</v>
      </c>
      <c r="F21" s="229">
        <f t="shared" si="0"/>
        <v>2556801</v>
      </c>
      <c r="G21" s="132">
        <f>SUM(G9,G13,G17)</f>
        <v>100</v>
      </c>
    </row>
    <row r="22" spans="1:7" ht="15" customHeight="1">
      <c r="A22" s="1390"/>
      <c r="B22" s="1487"/>
      <c r="C22" s="591" t="s">
        <v>1072</v>
      </c>
      <c r="D22" s="229">
        <f t="shared" si="0"/>
        <v>192788</v>
      </c>
      <c r="E22" s="229">
        <f t="shared" si="0"/>
        <v>180526</v>
      </c>
      <c r="F22" s="126">
        <f t="shared" si="0"/>
        <v>373314</v>
      </c>
      <c r="G22" s="132">
        <f>SUM(G10,G14,G18)</f>
        <v>100</v>
      </c>
    </row>
    <row r="23" spans="1:7" ht="15" customHeight="1">
      <c r="A23" s="1390"/>
      <c r="B23" s="1487"/>
      <c r="C23" s="877" t="s">
        <v>1120</v>
      </c>
      <c r="D23" s="24">
        <f>D21+D22</f>
        <v>1496996</v>
      </c>
      <c r="E23" s="294">
        <f>E11+E15+E19</f>
        <v>1433119</v>
      </c>
      <c r="F23" s="164">
        <f>F11+F15+F19</f>
        <v>2930115</v>
      </c>
      <c r="G23" s="521">
        <f>SUM(G11,G15,G19)</f>
        <v>100</v>
      </c>
    </row>
    <row r="24" spans="1:7" ht="15" customHeight="1">
      <c r="A24" s="1490" t="s">
        <v>1116</v>
      </c>
      <c r="B24" s="1491"/>
      <c r="C24" s="1492"/>
      <c r="D24" s="1490" t="s">
        <v>955</v>
      </c>
      <c r="E24" s="1491"/>
      <c r="F24" s="1492"/>
      <c r="G24" s="1408" t="s">
        <v>244</v>
      </c>
    </row>
    <row r="25" spans="1:7" ht="15" customHeight="1">
      <c r="A25" s="1496"/>
      <c r="B25" s="1497"/>
      <c r="C25" s="1498"/>
      <c r="D25" s="1493"/>
      <c r="E25" s="1494"/>
      <c r="F25" s="1495"/>
      <c r="G25" s="1472"/>
    </row>
    <row r="26" spans="1:7" ht="15" customHeight="1">
      <c r="A26" s="1493"/>
      <c r="B26" s="1494"/>
      <c r="C26" s="1495"/>
      <c r="D26" s="131" t="s">
        <v>1070</v>
      </c>
      <c r="E26" s="491" t="s">
        <v>1071</v>
      </c>
      <c r="F26" s="131" t="s">
        <v>1035</v>
      </c>
      <c r="G26" s="1409"/>
    </row>
    <row r="27" spans="1:7" ht="15" customHeight="1">
      <c r="A27" s="1395" t="s">
        <v>1016</v>
      </c>
      <c r="B27" s="1485"/>
      <c r="C27" s="1396"/>
      <c r="D27" s="790" t="s">
        <v>1017</v>
      </c>
      <c r="E27" s="729" t="s">
        <v>1039</v>
      </c>
      <c r="F27" s="790" t="s">
        <v>1040</v>
      </c>
      <c r="G27" s="729" t="s">
        <v>1041</v>
      </c>
    </row>
    <row r="28" spans="1:7" s="4" customFormat="1" ht="15" customHeight="1">
      <c r="A28" s="878" t="s">
        <v>1153</v>
      </c>
      <c r="B28" s="879" t="s">
        <v>1117</v>
      </c>
      <c r="C28" s="880"/>
      <c r="D28" s="524"/>
      <c r="E28" s="524"/>
      <c r="F28" s="24"/>
      <c r="G28" s="164"/>
    </row>
    <row r="29" spans="1:7" ht="15" customHeight="1">
      <c r="A29" s="1390">
        <v>1</v>
      </c>
      <c r="B29" s="1487"/>
      <c r="C29" s="591" t="s">
        <v>1154</v>
      </c>
      <c r="D29" s="126"/>
      <c r="E29" s="126"/>
      <c r="F29" s="131"/>
      <c r="G29" s="126"/>
    </row>
    <row r="30" spans="1:7" ht="15" customHeight="1">
      <c r="A30" s="1390"/>
      <c r="B30" s="1487"/>
      <c r="C30" s="591" t="s">
        <v>1073</v>
      </c>
      <c r="D30" s="229">
        <v>201126</v>
      </c>
      <c r="E30" s="229">
        <v>64678</v>
      </c>
      <c r="F30" s="131">
        <f>D30+E30</f>
        <v>265804</v>
      </c>
      <c r="G30" s="132">
        <f>ROUND(F30/$F$46*100,2)</f>
        <v>23.51</v>
      </c>
    </row>
    <row r="31" spans="1:7" ht="15" customHeight="1">
      <c r="A31" s="1390"/>
      <c r="B31" s="1487"/>
      <c r="C31" s="591" t="s">
        <v>1072</v>
      </c>
      <c r="D31" s="229">
        <v>2409</v>
      </c>
      <c r="E31" s="229">
        <v>587</v>
      </c>
      <c r="F31" s="131">
        <f>D31+E31</f>
        <v>2996</v>
      </c>
      <c r="G31" s="132">
        <f>ROUND(F31/$F$47*100,2)</f>
        <v>2.5099999999999998</v>
      </c>
    </row>
    <row r="32" spans="1:7" ht="15" customHeight="1">
      <c r="A32" s="1390"/>
      <c r="B32" s="1487"/>
      <c r="C32" s="877" t="s">
        <v>1120</v>
      </c>
      <c r="D32" s="164">
        <f>D30+D31</f>
        <v>203535</v>
      </c>
      <c r="E32" s="164">
        <f>E30+E31</f>
        <v>65265</v>
      </c>
      <c r="F32" s="24">
        <f>D32+E32</f>
        <v>268800</v>
      </c>
      <c r="G32" s="521">
        <f>ROUND(F32/$F$48*100,2)</f>
        <v>21.51</v>
      </c>
    </row>
    <row r="33" spans="1:7" ht="15" customHeight="1">
      <c r="A33" s="1390">
        <v>2</v>
      </c>
      <c r="B33" s="1487"/>
      <c r="C33" s="591" t="s">
        <v>1155</v>
      </c>
      <c r="D33" s="126"/>
      <c r="E33" s="126"/>
      <c r="F33" s="131"/>
      <c r="G33" s="132"/>
    </row>
    <row r="34" spans="1:7" ht="15" customHeight="1">
      <c r="A34" s="1390"/>
      <c r="B34" s="1487"/>
      <c r="C34" s="591" t="s">
        <v>1073</v>
      </c>
      <c r="D34" s="229">
        <v>236629</v>
      </c>
      <c r="E34" s="229">
        <v>250895</v>
      </c>
      <c r="F34" s="131">
        <f>D34+E34</f>
        <v>487524</v>
      </c>
      <c r="G34" s="132">
        <f>ROUND(F34/$F$46*100,2)</f>
        <v>43.13</v>
      </c>
    </row>
    <row r="35" spans="1:7" ht="15" customHeight="1">
      <c r="A35" s="1390"/>
      <c r="B35" s="1487"/>
      <c r="C35" s="591" t="s">
        <v>1072</v>
      </c>
      <c r="D35" s="229">
        <v>3109</v>
      </c>
      <c r="E35" s="229">
        <v>1572</v>
      </c>
      <c r="F35" s="131">
        <f>D35+E35</f>
        <v>4681</v>
      </c>
      <c r="G35" s="132">
        <f>ROUND(F35/$F$47*100,2)</f>
        <v>3.92</v>
      </c>
    </row>
    <row r="36" spans="1:7" ht="15" customHeight="1">
      <c r="A36" s="1390"/>
      <c r="B36" s="1487"/>
      <c r="C36" s="877" t="s">
        <v>1120</v>
      </c>
      <c r="D36" s="164">
        <f>D34+D35</f>
        <v>239738</v>
      </c>
      <c r="E36" s="164">
        <f>E34+E35</f>
        <v>252467</v>
      </c>
      <c r="F36" s="24">
        <f>D36+E36</f>
        <v>492205</v>
      </c>
      <c r="G36" s="521">
        <f>ROUND(F36/$F$48*100,2)</f>
        <v>39.39</v>
      </c>
    </row>
    <row r="37" spans="1:7" ht="15" customHeight="1">
      <c r="A37" s="1390">
        <v>3</v>
      </c>
      <c r="B37" s="1487"/>
      <c r="C37" s="591" t="s">
        <v>1156</v>
      </c>
      <c r="D37" s="229"/>
      <c r="E37" s="126"/>
      <c r="F37" s="131"/>
      <c r="G37" s="132"/>
    </row>
    <row r="38" spans="1:7" ht="15" customHeight="1">
      <c r="A38" s="1390"/>
      <c r="B38" s="1487"/>
      <c r="C38" s="591" t="s">
        <v>1073</v>
      </c>
      <c r="D38" s="229">
        <v>35569</v>
      </c>
      <c r="E38" s="229">
        <v>45409</v>
      </c>
      <c r="F38" s="131">
        <f>D38+E38</f>
        <v>80978</v>
      </c>
      <c r="G38" s="132">
        <f>ROUND(F38/$F$46*100,2)</f>
        <v>7.16</v>
      </c>
    </row>
    <row r="39" spans="1:7" ht="15" customHeight="1">
      <c r="A39" s="1390"/>
      <c r="B39" s="1487"/>
      <c r="C39" s="591" t="s">
        <v>1072</v>
      </c>
      <c r="D39" s="229">
        <v>3474</v>
      </c>
      <c r="E39" s="229">
        <v>3108</v>
      </c>
      <c r="F39" s="131">
        <f>D39+E39</f>
        <v>6582</v>
      </c>
      <c r="G39" s="132">
        <f>ROUND(F39/$F$47*100,2)+0.01</f>
        <v>5.5299999999999994</v>
      </c>
    </row>
    <row r="40" spans="1:7" ht="15" customHeight="1">
      <c r="A40" s="1390"/>
      <c r="B40" s="1487"/>
      <c r="C40" s="877" t="s">
        <v>1120</v>
      </c>
      <c r="D40" s="164">
        <f>D38+D39</f>
        <v>39043</v>
      </c>
      <c r="E40" s="164">
        <f>E38+E39</f>
        <v>48517</v>
      </c>
      <c r="F40" s="24">
        <f>D40+E40</f>
        <v>87560</v>
      </c>
      <c r="G40" s="521">
        <f>ROUND(F40/$F$48*100,2)</f>
        <v>7.01</v>
      </c>
    </row>
    <row r="41" spans="1:7" ht="15" customHeight="1">
      <c r="A41" s="1390">
        <v>4</v>
      </c>
      <c r="B41" s="1487"/>
      <c r="C41" s="591" t="s">
        <v>1157</v>
      </c>
      <c r="D41" s="126"/>
      <c r="E41" s="126"/>
      <c r="F41" s="131"/>
      <c r="G41" s="132"/>
    </row>
    <row r="42" spans="1:7" ht="15" customHeight="1">
      <c r="A42" s="1390"/>
      <c r="B42" s="1487"/>
      <c r="C42" s="591" t="s">
        <v>1073</v>
      </c>
      <c r="D42" s="229">
        <v>231355</v>
      </c>
      <c r="E42" s="229">
        <v>64718</v>
      </c>
      <c r="F42" s="131">
        <f>D42+E42</f>
        <v>296073</v>
      </c>
      <c r="G42" s="132">
        <f>ROUND(F42/$F$46*100,2)+0.01</f>
        <v>26.200000000000003</v>
      </c>
    </row>
    <row r="43" spans="1:7" ht="15" customHeight="1">
      <c r="A43" s="1390"/>
      <c r="B43" s="1487"/>
      <c r="C43" s="591" t="s">
        <v>1072</v>
      </c>
      <c r="D43" s="229">
        <v>87583</v>
      </c>
      <c r="E43" s="229">
        <v>17421</v>
      </c>
      <c r="F43" s="131">
        <f>D43+E43</f>
        <v>105004</v>
      </c>
      <c r="G43" s="132">
        <f>ROUND(F43/$F$47*100,2)</f>
        <v>88.04</v>
      </c>
    </row>
    <row r="44" spans="1:7" ht="15" customHeight="1">
      <c r="A44" s="1390"/>
      <c r="B44" s="1487"/>
      <c r="C44" s="591" t="s">
        <v>1120</v>
      </c>
      <c r="D44" s="126">
        <f>D42+D43</f>
        <v>318938</v>
      </c>
      <c r="E44" s="126">
        <f>E42+E43</f>
        <v>82139</v>
      </c>
      <c r="F44" s="131">
        <f>D44+E44</f>
        <v>401077</v>
      </c>
      <c r="G44" s="132">
        <f>ROUND(F44/$F$48*100,2)-0.01</f>
        <v>32.090000000000003</v>
      </c>
    </row>
    <row r="45" spans="1:7" ht="15" customHeight="1">
      <c r="A45" s="881" t="s">
        <v>1158</v>
      </c>
      <c r="B45" s="225"/>
      <c r="C45" s="877"/>
      <c r="D45" s="126"/>
      <c r="E45" s="126"/>
      <c r="F45" s="131"/>
      <c r="G45" s="132"/>
    </row>
    <row r="46" spans="1:7" ht="15" customHeight="1">
      <c r="A46" s="1390"/>
      <c r="B46" s="1487"/>
      <c r="C46" s="591" t="s">
        <v>1073</v>
      </c>
      <c r="D46" s="126">
        <f t="shared" ref="D46:E48" si="1">D30+D34+D38+D42</f>
        <v>704679</v>
      </c>
      <c r="E46" s="126">
        <f t="shared" si="1"/>
        <v>425700</v>
      </c>
      <c r="F46" s="131">
        <f>D46+E46</f>
        <v>1130379</v>
      </c>
      <c r="G46" s="132">
        <f>SUM(G30,G34,G38,G42)</f>
        <v>100</v>
      </c>
    </row>
    <row r="47" spans="1:7" ht="15" customHeight="1">
      <c r="A47" s="1390"/>
      <c r="B47" s="1487"/>
      <c r="C47" s="591" t="s">
        <v>1072</v>
      </c>
      <c r="D47" s="126">
        <f t="shared" si="1"/>
        <v>96575</v>
      </c>
      <c r="E47" s="126">
        <f t="shared" si="1"/>
        <v>22688</v>
      </c>
      <c r="F47" s="131">
        <f>D47+E47</f>
        <v>119263</v>
      </c>
      <c r="G47" s="132">
        <f>SUM(G31,G35,G39,G43)</f>
        <v>100</v>
      </c>
    </row>
    <row r="48" spans="1:7" ht="15" customHeight="1">
      <c r="A48" s="1405"/>
      <c r="B48" s="1486"/>
      <c r="C48" s="882" t="s">
        <v>1120</v>
      </c>
      <c r="D48" s="102">
        <f t="shared" si="1"/>
        <v>801254</v>
      </c>
      <c r="E48" s="102">
        <f t="shared" si="1"/>
        <v>448388</v>
      </c>
      <c r="F48" s="24">
        <f>D48+E48</f>
        <v>1249642</v>
      </c>
      <c r="G48" s="521">
        <f>SUM(G32,G36,G40,G44)</f>
        <v>100.00000000000001</v>
      </c>
    </row>
    <row r="49" spans="5:7">
      <c r="E49" s="1499" t="s">
        <v>931</v>
      </c>
      <c r="F49" s="1474"/>
      <c r="G49" s="1474"/>
    </row>
  </sheetData>
  <mergeCells count="44">
    <mergeCell ref="G3:G5"/>
    <mergeCell ref="A2:G2"/>
    <mergeCell ref="A6:C6"/>
    <mergeCell ref="A3:C5"/>
    <mergeCell ref="D3:F4"/>
    <mergeCell ref="E49:G49"/>
    <mergeCell ref="A29:B29"/>
    <mergeCell ref="A30:B30"/>
    <mergeCell ref="A31:B31"/>
    <mergeCell ref="A32:B32"/>
    <mergeCell ref="A37:B37"/>
    <mergeCell ref="A33:B33"/>
    <mergeCell ref="A39:B39"/>
    <mergeCell ref="A38:B38"/>
    <mergeCell ref="A34:B34"/>
    <mergeCell ref="A35:B35"/>
    <mergeCell ref="A36:B36"/>
    <mergeCell ref="A40:B40"/>
    <mergeCell ref="A21:B21"/>
    <mergeCell ref="A24:C26"/>
    <mergeCell ref="A9:B9"/>
    <mergeCell ref="A10:B10"/>
    <mergeCell ref="A11:B11"/>
    <mergeCell ref="A12:B12"/>
    <mergeCell ref="A13:B13"/>
    <mergeCell ref="A14:B14"/>
    <mergeCell ref="A15:B15"/>
    <mergeCell ref="A17:B17"/>
    <mergeCell ref="A27:C27"/>
    <mergeCell ref="A1:G1"/>
    <mergeCell ref="A48:B48"/>
    <mergeCell ref="A46:B46"/>
    <mergeCell ref="A47:B47"/>
    <mergeCell ref="A41:B41"/>
    <mergeCell ref="A42:B42"/>
    <mergeCell ref="A43:B43"/>
    <mergeCell ref="A44:B44"/>
    <mergeCell ref="A8:B8"/>
    <mergeCell ref="G24:G26"/>
    <mergeCell ref="A18:B18"/>
    <mergeCell ref="A19:B19"/>
    <mergeCell ref="D24:F25"/>
    <mergeCell ref="A22:B22"/>
    <mergeCell ref="A23:B23"/>
  </mergeCells>
  <phoneticPr fontId="0" type="noConversion"/>
  <printOptions horizontalCentered="1"/>
  <pageMargins left="0.19" right="0.19" top="0.56000000000000005" bottom="0.1" header="0.5" footer="0.1"/>
  <pageSetup paperSize="9" orientation="portrait" blackAndWhite="1" r:id="rId1"/>
  <headerFooter alignWithMargins="0"/>
</worksheet>
</file>

<file path=xl/worksheets/sheet19.xml><?xml version="1.0" encoding="utf-8"?>
<worksheet xmlns="http://schemas.openxmlformats.org/spreadsheetml/2006/main" xmlns:r="http://schemas.openxmlformats.org/officeDocument/2006/relationships">
  <sheetPr codeName="Sheet18"/>
  <dimension ref="A1:I56"/>
  <sheetViews>
    <sheetView workbookViewId="0">
      <selection activeCell="F14" sqref="F14"/>
    </sheetView>
  </sheetViews>
  <sheetFormatPr defaultRowHeight="12.75"/>
  <cols>
    <col min="1" max="1" width="21.140625" style="723" customWidth="1"/>
    <col min="2" max="7" width="11.28515625" style="723" customWidth="1"/>
    <col min="8" max="16384" width="9.140625" style="723"/>
  </cols>
  <sheetData>
    <row r="1" spans="1:9" ht="11.25" customHeight="1">
      <c r="A1" s="1508" t="s">
        <v>640</v>
      </c>
      <c r="B1" s="1508"/>
      <c r="C1" s="1508"/>
      <c r="D1" s="1508"/>
      <c r="E1" s="1508"/>
      <c r="F1" s="1508"/>
      <c r="G1" s="1508"/>
    </row>
    <row r="2" spans="1:9" ht="30" customHeight="1">
      <c r="A2" s="1510" t="str">
        <f>CONCATENATE("Scheduled Caste and Scheduled Tribe Population by sex 
in the district of ",District!$A$1,", 2011")</f>
        <v>Scheduled Caste and Scheduled Tribe Population by sex 
in the district of Purulia, 2011</v>
      </c>
      <c r="B2" s="1510"/>
      <c r="C2" s="1510"/>
      <c r="D2" s="1510"/>
      <c r="E2" s="1510"/>
      <c r="F2" s="1510"/>
      <c r="G2" s="1510"/>
      <c r="H2" s="17"/>
      <c r="I2" s="17"/>
    </row>
    <row r="3" spans="1:9">
      <c r="A3" s="753"/>
      <c r="B3" s="824"/>
      <c r="C3" s="824"/>
      <c r="D3" s="824"/>
      <c r="E3" s="824"/>
      <c r="F3" s="824"/>
      <c r="G3" s="905" t="s">
        <v>184</v>
      </c>
      <c r="H3" s="176"/>
    </row>
    <row r="4" spans="1:9" ht="15" customHeight="1">
      <c r="A4" s="1408" t="s">
        <v>1214</v>
      </c>
      <c r="B4" s="1400" t="s">
        <v>394</v>
      </c>
      <c r="C4" s="1400"/>
      <c r="D4" s="1401"/>
      <c r="E4" s="1407" t="s">
        <v>410</v>
      </c>
      <c r="F4" s="1400"/>
      <c r="G4" s="1401"/>
    </row>
    <row r="5" spans="1:9" ht="15" customHeight="1">
      <c r="A5" s="1409"/>
      <c r="B5" s="123" t="s">
        <v>1070</v>
      </c>
      <c r="C5" s="123" t="s">
        <v>1071</v>
      </c>
      <c r="D5" s="124" t="s">
        <v>1035</v>
      </c>
      <c r="E5" s="125" t="s">
        <v>1070</v>
      </c>
      <c r="F5" s="123" t="s">
        <v>1071</v>
      </c>
      <c r="G5" s="124" t="s">
        <v>1035</v>
      </c>
    </row>
    <row r="6" spans="1:9" ht="15" customHeight="1">
      <c r="A6" s="729" t="s">
        <v>1008</v>
      </c>
      <c r="B6" s="790" t="s">
        <v>1009</v>
      </c>
      <c r="C6" s="790" t="s">
        <v>1010</v>
      </c>
      <c r="D6" s="742" t="s">
        <v>1011</v>
      </c>
      <c r="E6" s="741" t="s">
        <v>1015</v>
      </c>
      <c r="F6" s="790" t="s">
        <v>1016</v>
      </c>
      <c r="G6" s="742" t="s">
        <v>1017</v>
      </c>
    </row>
    <row r="7" spans="1:9" ht="13.5" customHeight="1">
      <c r="A7" s="820" t="s">
        <v>566</v>
      </c>
      <c r="B7" s="884">
        <f>SUM(B8:B15)</f>
        <v>60967</v>
      </c>
      <c r="C7" s="884">
        <f>SUM(C8:C15)</f>
        <v>57819</v>
      </c>
      <c r="D7" s="440">
        <f>B7+C7</f>
        <v>118786</v>
      </c>
      <c r="E7" s="885">
        <f>SUM(E8:E15)</f>
        <v>97163</v>
      </c>
      <c r="F7" s="885">
        <f>SUM(F8:F15)</f>
        <v>94970</v>
      </c>
      <c r="G7" s="440">
        <f t="shared" ref="G7:G32" si="0">E7+F7</f>
        <v>192133</v>
      </c>
      <c r="I7" s="886"/>
    </row>
    <row r="8" spans="1:9" ht="13.5" customHeight="1">
      <c r="A8" s="816" t="s">
        <v>26</v>
      </c>
      <c r="B8" s="805">
        <v>9380</v>
      </c>
      <c r="C8" s="805">
        <v>8914</v>
      </c>
      <c r="D8" s="887">
        <f t="shared" ref="D8:D32" si="1">B8+C8</f>
        <v>18294</v>
      </c>
      <c r="E8" s="802">
        <v>16777</v>
      </c>
      <c r="F8" s="802">
        <v>16791</v>
      </c>
      <c r="G8" s="887">
        <f t="shared" si="0"/>
        <v>33568</v>
      </c>
    </row>
    <row r="9" spans="1:9" ht="13.5" customHeight="1">
      <c r="A9" s="816" t="s">
        <v>27</v>
      </c>
      <c r="B9" s="805">
        <v>7167</v>
      </c>
      <c r="C9" s="805">
        <v>6875</v>
      </c>
      <c r="D9" s="887">
        <f t="shared" si="1"/>
        <v>14042</v>
      </c>
      <c r="E9" s="802">
        <v>17270</v>
      </c>
      <c r="F9" s="802">
        <v>16768</v>
      </c>
      <c r="G9" s="887">
        <f t="shared" si="0"/>
        <v>34038</v>
      </c>
    </row>
    <row r="10" spans="1:9" ht="13.5" customHeight="1">
      <c r="A10" s="816" t="s">
        <v>53</v>
      </c>
      <c r="B10" s="805">
        <v>8542</v>
      </c>
      <c r="C10" s="805">
        <v>7885</v>
      </c>
      <c r="D10" s="887">
        <f t="shared" si="1"/>
        <v>16427</v>
      </c>
      <c r="E10" s="802">
        <v>22141</v>
      </c>
      <c r="F10" s="802">
        <v>21597</v>
      </c>
      <c r="G10" s="887">
        <f t="shared" si="0"/>
        <v>43738</v>
      </c>
    </row>
    <row r="11" spans="1:9" ht="13.5" customHeight="1">
      <c r="A11" s="816" t="s">
        <v>28</v>
      </c>
      <c r="B11" s="805">
        <v>6435</v>
      </c>
      <c r="C11" s="805">
        <v>6164</v>
      </c>
      <c r="D11" s="887">
        <f t="shared" si="1"/>
        <v>12599</v>
      </c>
      <c r="E11" s="802">
        <v>16681</v>
      </c>
      <c r="F11" s="802">
        <v>16415</v>
      </c>
      <c r="G11" s="887">
        <f t="shared" si="0"/>
        <v>33096</v>
      </c>
    </row>
    <row r="12" spans="1:9" ht="13.5" customHeight="1">
      <c r="A12" s="816" t="s">
        <v>29</v>
      </c>
      <c r="B12" s="805">
        <v>9922</v>
      </c>
      <c r="C12" s="805">
        <v>9240</v>
      </c>
      <c r="D12" s="887">
        <f t="shared" si="1"/>
        <v>19162</v>
      </c>
      <c r="E12" s="802">
        <v>6678</v>
      </c>
      <c r="F12" s="802">
        <v>6396</v>
      </c>
      <c r="G12" s="887">
        <f t="shared" si="0"/>
        <v>13074</v>
      </c>
    </row>
    <row r="13" spans="1:9" ht="13.5" customHeight="1">
      <c r="A13" s="816" t="s">
        <v>48</v>
      </c>
      <c r="B13" s="805">
        <v>8755</v>
      </c>
      <c r="C13" s="805">
        <v>8233</v>
      </c>
      <c r="D13" s="887">
        <f t="shared" si="1"/>
        <v>16988</v>
      </c>
      <c r="E13" s="802">
        <v>7957</v>
      </c>
      <c r="F13" s="802">
        <v>7651</v>
      </c>
      <c r="G13" s="887">
        <f t="shared" si="0"/>
        <v>15608</v>
      </c>
    </row>
    <row r="14" spans="1:9" ht="13.5" customHeight="1">
      <c r="A14" s="816" t="s">
        <v>54</v>
      </c>
      <c r="B14" s="805">
        <v>7967</v>
      </c>
      <c r="C14" s="805">
        <v>7696</v>
      </c>
      <c r="D14" s="887">
        <f t="shared" si="1"/>
        <v>15663</v>
      </c>
      <c r="E14" s="802">
        <v>9615</v>
      </c>
      <c r="F14" s="802">
        <v>9302</v>
      </c>
      <c r="G14" s="887">
        <f t="shared" si="0"/>
        <v>18917</v>
      </c>
    </row>
    <row r="15" spans="1:9" ht="13.5" customHeight="1">
      <c r="A15" s="816" t="s">
        <v>49</v>
      </c>
      <c r="B15" s="805">
        <v>2799</v>
      </c>
      <c r="C15" s="805">
        <v>2812</v>
      </c>
      <c r="D15" s="887">
        <f t="shared" si="1"/>
        <v>5611</v>
      </c>
      <c r="E15" s="802">
        <v>44</v>
      </c>
      <c r="F15" s="802">
        <v>50</v>
      </c>
      <c r="G15" s="887">
        <f t="shared" si="0"/>
        <v>94</v>
      </c>
    </row>
    <row r="16" spans="1:9" ht="13.5" customHeight="1">
      <c r="A16" s="820" t="s">
        <v>771</v>
      </c>
      <c r="B16" s="884">
        <f>SUM(B17:B24)</f>
        <v>94580</v>
      </c>
      <c r="C16" s="884">
        <f>SUM(C17:C24)</f>
        <v>90753</v>
      </c>
      <c r="D16" s="440">
        <f t="shared" si="1"/>
        <v>185333</v>
      </c>
      <c r="E16" s="885">
        <f>SUM(E17:E24)</f>
        <v>110430</v>
      </c>
      <c r="F16" s="885">
        <f>SUM(F17:F24)</f>
        <v>110469</v>
      </c>
      <c r="G16" s="440">
        <f t="shared" si="0"/>
        <v>220899</v>
      </c>
    </row>
    <row r="17" spans="1:7" ht="13.5" customHeight="1">
      <c r="A17" s="816" t="s">
        <v>33</v>
      </c>
      <c r="B17" s="805">
        <v>2888</v>
      </c>
      <c r="C17" s="805">
        <v>2742</v>
      </c>
      <c r="D17" s="887">
        <f t="shared" si="1"/>
        <v>5630</v>
      </c>
      <c r="E17" s="802">
        <v>24488</v>
      </c>
      <c r="F17" s="802">
        <v>24744</v>
      </c>
      <c r="G17" s="887">
        <f t="shared" si="0"/>
        <v>49232</v>
      </c>
    </row>
    <row r="18" spans="1:7" ht="13.5" customHeight="1">
      <c r="A18" s="846" t="s">
        <v>34</v>
      </c>
      <c r="B18" s="805">
        <v>14341</v>
      </c>
      <c r="C18" s="805">
        <v>13686</v>
      </c>
      <c r="D18" s="887">
        <f t="shared" si="1"/>
        <v>28027</v>
      </c>
      <c r="E18" s="802">
        <v>18204</v>
      </c>
      <c r="F18" s="802">
        <v>18357</v>
      </c>
      <c r="G18" s="887">
        <f t="shared" si="0"/>
        <v>36561</v>
      </c>
    </row>
    <row r="19" spans="1:7" ht="13.5" customHeight="1">
      <c r="A19" s="816" t="s">
        <v>55</v>
      </c>
      <c r="B19" s="805">
        <v>17497</v>
      </c>
      <c r="C19" s="805">
        <v>17078</v>
      </c>
      <c r="D19" s="887">
        <f t="shared" si="1"/>
        <v>34575</v>
      </c>
      <c r="E19" s="802">
        <v>17044</v>
      </c>
      <c r="F19" s="802">
        <v>16898</v>
      </c>
      <c r="G19" s="887">
        <f t="shared" si="0"/>
        <v>33942</v>
      </c>
    </row>
    <row r="20" spans="1:7" ht="13.5" customHeight="1">
      <c r="A20" s="816" t="s">
        <v>56</v>
      </c>
      <c r="B20" s="805">
        <v>3172</v>
      </c>
      <c r="C20" s="805">
        <v>3149</v>
      </c>
      <c r="D20" s="887">
        <f t="shared" si="1"/>
        <v>6321</v>
      </c>
      <c r="E20" s="802">
        <v>23836</v>
      </c>
      <c r="F20" s="802">
        <v>23744</v>
      </c>
      <c r="G20" s="887">
        <f t="shared" si="0"/>
        <v>47580</v>
      </c>
    </row>
    <row r="21" spans="1:7" ht="13.5" customHeight="1">
      <c r="A21" s="816" t="s">
        <v>45</v>
      </c>
      <c r="B21" s="805">
        <v>9066</v>
      </c>
      <c r="C21" s="805">
        <v>8940</v>
      </c>
      <c r="D21" s="887">
        <f t="shared" si="1"/>
        <v>18006</v>
      </c>
      <c r="E21" s="802">
        <v>15231</v>
      </c>
      <c r="F21" s="802">
        <v>15410</v>
      </c>
      <c r="G21" s="887">
        <f t="shared" si="0"/>
        <v>30641</v>
      </c>
    </row>
    <row r="22" spans="1:7" ht="13.5" customHeight="1">
      <c r="A22" s="816" t="s">
        <v>46</v>
      </c>
      <c r="B22" s="805">
        <v>13351</v>
      </c>
      <c r="C22" s="805">
        <v>12587</v>
      </c>
      <c r="D22" s="887">
        <f t="shared" si="1"/>
        <v>25938</v>
      </c>
      <c r="E22" s="802">
        <v>6439</v>
      </c>
      <c r="F22" s="802">
        <v>6216</v>
      </c>
      <c r="G22" s="887">
        <f t="shared" si="0"/>
        <v>12655</v>
      </c>
    </row>
    <row r="23" spans="1:7" ht="13.5" customHeight="1">
      <c r="A23" s="816" t="s">
        <v>47</v>
      </c>
      <c r="B23" s="805">
        <v>23592</v>
      </c>
      <c r="C23" s="805">
        <v>22447</v>
      </c>
      <c r="D23" s="887">
        <f t="shared" si="1"/>
        <v>46039</v>
      </c>
      <c r="E23" s="802">
        <v>4145</v>
      </c>
      <c r="F23" s="802">
        <v>4068</v>
      </c>
      <c r="G23" s="887">
        <f t="shared" si="0"/>
        <v>8213</v>
      </c>
    </row>
    <row r="24" spans="1:7" ht="13.5" customHeight="1">
      <c r="A24" s="816" t="s">
        <v>58</v>
      </c>
      <c r="B24" s="805">
        <v>10673</v>
      </c>
      <c r="C24" s="805">
        <v>10124</v>
      </c>
      <c r="D24" s="887">
        <f t="shared" si="1"/>
        <v>20797</v>
      </c>
      <c r="E24" s="802">
        <v>1043</v>
      </c>
      <c r="F24" s="802">
        <v>1032</v>
      </c>
      <c r="G24" s="887">
        <f t="shared" si="0"/>
        <v>2075</v>
      </c>
    </row>
    <row r="25" spans="1:7" ht="26.25" customHeight="1">
      <c r="A25" s="821" t="s">
        <v>1372</v>
      </c>
      <c r="B25" s="884">
        <f>SUM(B26:B32)</f>
        <v>135242</v>
      </c>
      <c r="C25" s="884">
        <f>SUM(C26:C32)</f>
        <v>128406</v>
      </c>
      <c r="D25" s="440">
        <f t="shared" si="1"/>
        <v>263648</v>
      </c>
      <c r="E25" s="885">
        <f>SUM(E26:E32)</f>
        <v>64210</v>
      </c>
      <c r="F25" s="885">
        <f>SUM(F26:F32)</f>
        <v>63410</v>
      </c>
      <c r="G25" s="440">
        <f t="shared" si="0"/>
        <v>127620</v>
      </c>
    </row>
    <row r="26" spans="1:7" ht="13.5" customHeight="1">
      <c r="A26" s="816" t="s">
        <v>36</v>
      </c>
      <c r="B26" s="805">
        <v>29187</v>
      </c>
      <c r="C26" s="805">
        <v>27828</v>
      </c>
      <c r="D26" s="887">
        <f t="shared" si="1"/>
        <v>57015</v>
      </c>
      <c r="E26" s="802">
        <v>24776</v>
      </c>
      <c r="F26" s="802">
        <v>24761</v>
      </c>
      <c r="G26" s="887">
        <f t="shared" si="0"/>
        <v>49537</v>
      </c>
    </row>
    <row r="27" spans="1:7" ht="13.5" customHeight="1">
      <c r="A27" s="816" t="s">
        <v>37</v>
      </c>
      <c r="B27" s="805">
        <v>15080</v>
      </c>
      <c r="C27" s="805">
        <v>14195</v>
      </c>
      <c r="D27" s="887">
        <f t="shared" si="1"/>
        <v>29275</v>
      </c>
      <c r="E27" s="802">
        <v>11459</v>
      </c>
      <c r="F27" s="802">
        <v>11157</v>
      </c>
      <c r="G27" s="887">
        <f t="shared" si="0"/>
        <v>22616</v>
      </c>
    </row>
    <row r="28" spans="1:7" ht="13.5" customHeight="1">
      <c r="A28" s="816" t="s">
        <v>38</v>
      </c>
      <c r="B28" s="805">
        <v>34211</v>
      </c>
      <c r="C28" s="805">
        <v>32540</v>
      </c>
      <c r="D28" s="887">
        <f t="shared" si="1"/>
        <v>66751</v>
      </c>
      <c r="E28" s="802">
        <v>5285</v>
      </c>
      <c r="F28" s="802">
        <v>5050</v>
      </c>
      <c r="G28" s="887">
        <f t="shared" si="0"/>
        <v>10335</v>
      </c>
    </row>
    <row r="29" spans="1:7" ht="13.5" customHeight="1">
      <c r="A29" s="816" t="s">
        <v>40</v>
      </c>
      <c r="B29" s="805">
        <v>21482</v>
      </c>
      <c r="C29" s="805">
        <v>20167</v>
      </c>
      <c r="D29" s="887">
        <f t="shared" si="1"/>
        <v>41649</v>
      </c>
      <c r="E29" s="802">
        <v>6380</v>
      </c>
      <c r="F29" s="802">
        <v>6219</v>
      </c>
      <c r="G29" s="887">
        <f t="shared" si="0"/>
        <v>12599</v>
      </c>
    </row>
    <row r="30" spans="1:7" ht="13.5" customHeight="1">
      <c r="A30" s="816" t="s">
        <v>52</v>
      </c>
      <c r="B30" s="805">
        <v>21244</v>
      </c>
      <c r="C30" s="805">
        <v>20216</v>
      </c>
      <c r="D30" s="887">
        <f t="shared" si="1"/>
        <v>41460</v>
      </c>
      <c r="E30" s="802">
        <v>3704</v>
      </c>
      <c r="F30" s="802">
        <v>3598</v>
      </c>
      <c r="G30" s="887">
        <f t="shared" si="0"/>
        <v>7302</v>
      </c>
    </row>
    <row r="31" spans="1:7" ht="13.5" customHeight="1">
      <c r="A31" s="816" t="s">
        <v>41</v>
      </c>
      <c r="B31" s="805">
        <v>3784</v>
      </c>
      <c r="C31" s="805">
        <v>3623</v>
      </c>
      <c r="D31" s="887">
        <f t="shared" si="1"/>
        <v>7407</v>
      </c>
      <c r="E31" s="802">
        <v>74</v>
      </c>
      <c r="F31" s="802">
        <v>74</v>
      </c>
      <c r="G31" s="887">
        <f t="shared" si="0"/>
        <v>148</v>
      </c>
    </row>
    <row r="32" spans="1:7" ht="13.5" customHeight="1">
      <c r="A32" s="888" t="s">
        <v>39</v>
      </c>
      <c r="B32" s="889">
        <v>10254</v>
      </c>
      <c r="C32" s="889">
        <v>9837</v>
      </c>
      <c r="D32" s="807">
        <f t="shared" si="1"/>
        <v>20091</v>
      </c>
      <c r="E32" s="889">
        <v>12532</v>
      </c>
      <c r="F32" s="889">
        <v>12551</v>
      </c>
      <c r="G32" s="807">
        <f t="shared" si="0"/>
        <v>25083</v>
      </c>
    </row>
    <row r="33" spans="1:7" ht="14.25" customHeight="1">
      <c r="A33" s="187" t="s">
        <v>414</v>
      </c>
      <c r="B33" s="878"/>
      <c r="C33" s="876"/>
      <c r="D33" s="877"/>
      <c r="E33" s="890"/>
      <c r="F33" s="890"/>
      <c r="G33" s="880"/>
    </row>
    <row r="34" spans="1:7" ht="14.25" customHeight="1">
      <c r="A34" s="187" t="s">
        <v>1159</v>
      </c>
      <c r="B34" s="294">
        <f t="shared" ref="B34:G34" si="2">B35+B36</f>
        <v>290789</v>
      </c>
      <c r="C34" s="23">
        <f t="shared" si="2"/>
        <v>276978</v>
      </c>
      <c r="D34" s="440">
        <f t="shared" si="2"/>
        <v>567767</v>
      </c>
      <c r="E34" s="23">
        <f t="shared" si="2"/>
        <v>271803</v>
      </c>
      <c r="F34" s="23">
        <f t="shared" si="2"/>
        <v>268849</v>
      </c>
      <c r="G34" s="440">
        <f t="shared" si="2"/>
        <v>540652</v>
      </c>
    </row>
    <row r="35" spans="1:7" ht="14.25" customHeight="1">
      <c r="A35" s="792" t="s">
        <v>1160</v>
      </c>
      <c r="B35" s="891">
        <v>251410</v>
      </c>
      <c r="C35" s="884">
        <v>239107</v>
      </c>
      <c r="D35" s="509">
        <f>SUM(B35,C35)</f>
        <v>490517</v>
      </c>
      <c r="E35" s="885">
        <v>267382</v>
      </c>
      <c r="F35" s="885">
        <v>264440</v>
      </c>
      <c r="G35" s="509">
        <f>SUM(E35,F35)</f>
        <v>531822</v>
      </c>
    </row>
    <row r="36" spans="1:7" ht="14.25" customHeight="1">
      <c r="A36" s="892" t="s">
        <v>1161</v>
      </c>
      <c r="B36" s="893">
        <v>39379</v>
      </c>
      <c r="C36" s="894">
        <v>37871</v>
      </c>
      <c r="D36" s="895">
        <f>SUM(B36,C36)</f>
        <v>77250</v>
      </c>
      <c r="E36" s="894">
        <v>4421</v>
      </c>
      <c r="F36" s="894">
        <v>4409</v>
      </c>
      <c r="G36" s="509">
        <f>SUM(E36,F36)</f>
        <v>8830</v>
      </c>
    </row>
    <row r="37" spans="1:7">
      <c r="A37" s="753"/>
      <c r="B37" s="753"/>
      <c r="C37" s="753"/>
      <c r="D37" s="753"/>
      <c r="E37" s="1511" t="s">
        <v>931</v>
      </c>
      <c r="F37" s="1511"/>
      <c r="G37" s="1511"/>
    </row>
    <row r="38" spans="1:7" ht="10.5" customHeight="1">
      <c r="A38" s="753"/>
      <c r="B38" s="753"/>
      <c r="C38" s="753"/>
      <c r="D38" s="753"/>
      <c r="E38" s="896"/>
      <c r="F38" s="896"/>
      <c r="G38" s="896"/>
    </row>
    <row r="39" spans="1:7" ht="12" customHeight="1">
      <c r="A39" s="1508" t="s">
        <v>641</v>
      </c>
      <c r="B39" s="1508"/>
      <c r="C39" s="1508"/>
      <c r="D39" s="1508"/>
      <c r="E39" s="1508"/>
      <c r="F39" s="1508"/>
      <c r="G39" s="1508"/>
    </row>
    <row r="40" spans="1:7" ht="14.25" customHeight="1">
      <c r="A40" s="1509" t="str">
        <f>CONCATENATE("Population by religion in the district of ",District!$A$1,","," 1991 and 2001")</f>
        <v>Population by religion in the district of Purulia, 1991 and 2001</v>
      </c>
      <c r="B40" s="1509"/>
      <c r="C40" s="1509"/>
      <c r="D40" s="1509"/>
      <c r="E40" s="1509"/>
      <c r="F40" s="1509"/>
      <c r="G40" s="1509"/>
    </row>
    <row r="41" spans="1:7" ht="14.25" customHeight="1">
      <c r="A41" s="754"/>
      <c r="B41" s="754"/>
      <c r="C41" s="754"/>
      <c r="D41" s="754"/>
      <c r="E41" s="754"/>
      <c r="F41" s="754"/>
      <c r="G41" s="905" t="s">
        <v>184</v>
      </c>
    </row>
    <row r="42" spans="1:7" ht="15.75" customHeight="1">
      <c r="A42" s="1410" t="s">
        <v>209</v>
      </c>
      <c r="B42" s="1403">
        <v>1991</v>
      </c>
      <c r="C42" s="1513"/>
      <c r="D42" s="1513"/>
      <c r="E42" s="1403">
        <v>2001</v>
      </c>
      <c r="F42" s="1513"/>
      <c r="G42" s="1404"/>
    </row>
    <row r="43" spans="1:7" ht="29.25" customHeight="1">
      <c r="A43" s="1411"/>
      <c r="B43" s="781" t="s">
        <v>488</v>
      </c>
      <c r="C43" s="1456" t="s">
        <v>506</v>
      </c>
      <c r="D43" s="1512"/>
      <c r="E43" s="781" t="s">
        <v>488</v>
      </c>
      <c r="F43" s="1456" t="s">
        <v>506</v>
      </c>
      <c r="G43" s="1457"/>
    </row>
    <row r="44" spans="1:7" ht="16.5" customHeight="1">
      <c r="A44" s="729" t="s">
        <v>1008</v>
      </c>
      <c r="B44" s="790" t="s">
        <v>1009</v>
      </c>
      <c r="C44" s="1458" t="s">
        <v>1010</v>
      </c>
      <c r="D44" s="1459"/>
      <c r="E44" s="789" t="s">
        <v>1011</v>
      </c>
      <c r="F44" s="1458" t="s">
        <v>1015</v>
      </c>
      <c r="G44" s="1459"/>
    </row>
    <row r="45" spans="1:7" ht="15" customHeight="1">
      <c r="A45" s="448" t="s">
        <v>607</v>
      </c>
      <c r="B45" s="897">
        <v>2023143</v>
      </c>
      <c r="C45" s="1506">
        <f>B45/$B$53*100</f>
        <v>90.945065061807256</v>
      </c>
      <c r="D45" s="1507"/>
      <c r="E45" s="898">
        <v>2116037</v>
      </c>
      <c r="F45" s="1506">
        <f t="shared" ref="F45:F53" si="3">E45/$E$53*100</f>
        <v>83.422970720468541</v>
      </c>
      <c r="G45" s="1507"/>
    </row>
    <row r="46" spans="1:7" ht="15" customHeight="1">
      <c r="A46" s="448" t="s">
        <v>608</v>
      </c>
      <c r="B46" s="897">
        <v>133119</v>
      </c>
      <c r="C46" s="1500">
        <f t="shared" ref="C46:C51" si="4">B46/$B$53*100</f>
        <v>5.9840140395230197</v>
      </c>
      <c r="D46" s="1501"/>
      <c r="E46" s="898">
        <v>180694</v>
      </c>
      <c r="F46" s="1500">
        <f t="shared" si="3"/>
        <v>7.1237082675607004</v>
      </c>
      <c r="G46" s="1501"/>
    </row>
    <row r="47" spans="1:7" ht="15" customHeight="1">
      <c r="A47" s="448" t="s">
        <v>609</v>
      </c>
      <c r="B47" s="897">
        <v>4516</v>
      </c>
      <c r="C47" s="1500">
        <f t="shared" si="4"/>
        <v>0.203004885872685</v>
      </c>
      <c r="D47" s="1501"/>
      <c r="E47" s="898">
        <v>7008</v>
      </c>
      <c r="F47" s="1500">
        <f t="shared" si="3"/>
        <v>0.27628447839477455</v>
      </c>
      <c r="G47" s="1501"/>
    </row>
    <row r="48" spans="1:7" ht="15" customHeight="1">
      <c r="A48" s="448" t="s">
        <v>610</v>
      </c>
      <c r="B48" s="897">
        <v>618</v>
      </c>
      <c r="C48" s="1500">
        <f t="shared" si="4"/>
        <v>2.7780562327130057E-2</v>
      </c>
      <c r="D48" s="1501"/>
      <c r="E48" s="898">
        <v>604</v>
      </c>
      <c r="F48" s="1500">
        <f t="shared" si="3"/>
        <v>2.381218963333959E-2</v>
      </c>
      <c r="G48" s="1501"/>
    </row>
    <row r="49" spans="1:7" ht="15" customHeight="1">
      <c r="A49" s="448" t="s">
        <v>611</v>
      </c>
      <c r="B49" s="897">
        <v>71</v>
      </c>
      <c r="C49" s="1500">
        <f t="shared" si="4"/>
        <v>3.1916180019841973E-3</v>
      </c>
      <c r="D49" s="1501"/>
      <c r="E49" s="898">
        <v>185</v>
      </c>
      <c r="F49" s="1500">
        <f t="shared" si="3"/>
        <v>7.2934686790858006E-3</v>
      </c>
      <c r="G49" s="1501"/>
    </row>
    <row r="50" spans="1:7" ht="15" customHeight="1">
      <c r="A50" s="448" t="s">
        <v>612</v>
      </c>
      <c r="B50" s="897">
        <v>645</v>
      </c>
      <c r="C50" s="1500">
        <f t="shared" si="4"/>
        <v>2.8994276215208555E-2</v>
      </c>
      <c r="D50" s="1501"/>
      <c r="E50" s="898">
        <v>2221</v>
      </c>
      <c r="F50" s="1500">
        <f t="shared" si="3"/>
        <v>8.7561048304051689E-2</v>
      </c>
      <c r="G50" s="1501"/>
    </row>
    <row r="51" spans="1:7" ht="15" customHeight="1">
      <c r="A51" s="448" t="s">
        <v>1162</v>
      </c>
      <c r="B51" s="897">
        <v>62465</v>
      </c>
      <c r="C51" s="1500">
        <f t="shared" si="4"/>
        <v>2.8079495562527166</v>
      </c>
      <c r="D51" s="1501"/>
      <c r="E51" s="898">
        <v>226912</v>
      </c>
      <c r="F51" s="1500">
        <f t="shared" si="3"/>
        <v>8.9458138643714449</v>
      </c>
      <c r="G51" s="1501"/>
    </row>
    <row r="52" spans="1:7" ht="15" customHeight="1">
      <c r="A52" s="442" t="s">
        <v>1163</v>
      </c>
      <c r="B52" s="899" t="s">
        <v>73</v>
      </c>
      <c r="C52" s="1504" t="s">
        <v>73</v>
      </c>
      <c r="D52" s="1505"/>
      <c r="E52" s="898">
        <v>2855</v>
      </c>
      <c r="F52" s="1500">
        <f t="shared" si="3"/>
        <v>0.11255596258805385</v>
      </c>
      <c r="G52" s="1501"/>
    </row>
    <row r="53" spans="1:7" ht="16.5" customHeight="1">
      <c r="A53" s="822" t="s">
        <v>507</v>
      </c>
      <c r="B53" s="900">
        <f>SUM(B45:B52)</f>
        <v>2224577</v>
      </c>
      <c r="C53" s="1502">
        <f>B53/$B$53*100</f>
        <v>100</v>
      </c>
      <c r="D53" s="1503"/>
      <c r="E53" s="900">
        <f>SUM(E45:E52)</f>
        <v>2536516</v>
      </c>
      <c r="F53" s="1502">
        <f t="shared" si="3"/>
        <v>100</v>
      </c>
      <c r="G53" s="1503"/>
    </row>
    <row r="54" spans="1:7">
      <c r="A54" s="901" t="s">
        <v>210</v>
      </c>
      <c r="B54" s="902"/>
      <c r="C54" s="753"/>
      <c r="D54" s="903"/>
      <c r="E54" s="588"/>
      <c r="F54" s="588"/>
      <c r="G54" s="536" t="s">
        <v>1068</v>
      </c>
    </row>
    <row r="56" spans="1:7">
      <c r="A56" s="753"/>
      <c r="B56" s="753"/>
      <c r="C56" s="753"/>
      <c r="D56" s="753"/>
      <c r="E56" s="753"/>
      <c r="F56" s="753"/>
      <c r="G56" s="753"/>
    </row>
  </sheetData>
  <mergeCells count="33">
    <mergeCell ref="E37:G37"/>
    <mergeCell ref="C43:D43"/>
    <mergeCell ref="F43:G43"/>
    <mergeCell ref="A42:A43"/>
    <mergeCell ref="E42:G42"/>
    <mergeCell ref="B42:D42"/>
    <mergeCell ref="A1:G1"/>
    <mergeCell ref="A2:G2"/>
    <mergeCell ref="A4:A5"/>
    <mergeCell ref="B4:D4"/>
    <mergeCell ref="E4:G4"/>
    <mergeCell ref="F45:G45"/>
    <mergeCell ref="C44:D44"/>
    <mergeCell ref="C45:D45"/>
    <mergeCell ref="F44:G44"/>
    <mergeCell ref="A39:G39"/>
    <mergeCell ref="A40:G40"/>
    <mergeCell ref="C49:D49"/>
    <mergeCell ref="F46:G46"/>
    <mergeCell ref="C46:D46"/>
    <mergeCell ref="F47:G47"/>
    <mergeCell ref="F48:G48"/>
    <mergeCell ref="F49:G49"/>
    <mergeCell ref="C47:D47"/>
    <mergeCell ref="C48:D48"/>
    <mergeCell ref="F50:G50"/>
    <mergeCell ref="C53:D53"/>
    <mergeCell ref="F51:G51"/>
    <mergeCell ref="F52:G52"/>
    <mergeCell ref="F53:G53"/>
    <mergeCell ref="C51:D51"/>
    <mergeCell ref="C52:D52"/>
    <mergeCell ref="C50:D50"/>
  </mergeCells>
  <phoneticPr fontId="0" type="noConversion"/>
  <printOptions horizontalCentered="1" verticalCentered="1"/>
  <pageMargins left="0.14000000000000001" right="0.14000000000000001" top="0.1" bottom="0.1" header="0.7" footer="0.1"/>
  <pageSetup paperSize="9" orientation="portrait" blackAndWhite="1" r:id="rId1"/>
  <headerFooter alignWithMargins="0"/>
</worksheet>
</file>

<file path=xl/worksheets/sheet2.xml><?xml version="1.0" encoding="utf-8"?>
<worksheet xmlns="http://schemas.openxmlformats.org/spreadsheetml/2006/main" xmlns:r="http://schemas.openxmlformats.org/officeDocument/2006/relationships">
  <dimension ref="A4:K41"/>
  <sheetViews>
    <sheetView showGridLines="0" workbookViewId="0">
      <selection activeCell="N25" sqref="N25"/>
    </sheetView>
  </sheetViews>
  <sheetFormatPr defaultRowHeight="12.75"/>
  <sheetData>
    <row r="4" spans="1:9" ht="35.25">
      <c r="A4" s="1369" t="s">
        <v>1613</v>
      </c>
      <c r="B4" s="1369"/>
      <c r="C4" s="1369"/>
      <c r="D4" s="1369"/>
      <c r="E4" s="1369"/>
      <c r="F4" s="1369"/>
      <c r="G4" s="1369"/>
      <c r="H4" s="1369"/>
      <c r="I4" s="1369"/>
    </row>
    <row r="8" spans="1:9" ht="35.25">
      <c r="A8" s="1370">
        <f>District!F6</f>
        <v>2014</v>
      </c>
      <c r="B8" s="1370"/>
      <c r="C8" s="1370"/>
      <c r="D8" s="1370"/>
      <c r="E8" s="1370"/>
      <c r="F8" s="1370"/>
      <c r="G8" s="1370"/>
      <c r="H8" s="1370"/>
      <c r="I8" s="1370"/>
    </row>
    <row r="25" spans="1:11" ht="23.25">
      <c r="I25" s="78"/>
      <c r="J25" s="78"/>
      <c r="K25" s="78"/>
    </row>
    <row r="26" spans="1:11" ht="45">
      <c r="A26" s="1371" t="str">
        <f>District!A1</f>
        <v>Purulia</v>
      </c>
      <c r="B26" s="1371"/>
      <c r="C26" s="1371"/>
      <c r="D26" s="1371"/>
      <c r="E26" s="1371"/>
      <c r="F26" s="1371"/>
      <c r="G26" s="1371"/>
      <c r="H26" s="1371"/>
      <c r="I26" s="1371"/>
      <c r="J26" s="79"/>
      <c r="K26" s="79"/>
    </row>
    <row r="32" spans="1:11" s="1345" customFormat="1"/>
    <row r="33" spans="1:9" s="1345" customFormat="1"/>
    <row r="34" spans="1:9" s="1345" customFormat="1"/>
    <row r="39" spans="1:9" ht="20.25">
      <c r="A39" s="1366" t="s">
        <v>599</v>
      </c>
      <c r="B39" s="1366"/>
      <c r="C39" s="1366"/>
      <c r="D39" s="1366"/>
      <c r="E39" s="1366"/>
      <c r="F39" s="1366"/>
      <c r="G39" s="1366"/>
      <c r="H39" s="1366"/>
      <c r="I39" s="1366"/>
    </row>
    <row r="40" spans="1:9" ht="20.25" customHeight="1">
      <c r="A40" s="1372" t="s">
        <v>83</v>
      </c>
      <c r="B40" s="1372"/>
      <c r="C40" s="1372"/>
      <c r="D40" s="1372"/>
      <c r="E40" s="1372"/>
      <c r="F40" s="1372"/>
      <c r="G40" s="1372"/>
      <c r="H40" s="1372"/>
      <c r="I40" s="1372"/>
    </row>
    <row r="41" spans="1:9" ht="23.25">
      <c r="A41" s="1368" t="s">
        <v>600</v>
      </c>
      <c r="B41" s="1368"/>
      <c r="C41" s="1368"/>
      <c r="D41" s="1368"/>
      <c r="E41" s="1368"/>
      <c r="F41" s="1368"/>
      <c r="G41" s="1368"/>
      <c r="H41" s="1368"/>
      <c r="I41" s="1368"/>
    </row>
  </sheetData>
  <mergeCells count="6">
    <mergeCell ref="A41:I41"/>
    <mergeCell ref="A4:I4"/>
    <mergeCell ref="A8:I8"/>
    <mergeCell ref="A26:I26"/>
    <mergeCell ref="A39:I39"/>
    <mergeCell ref="A40:I40"/>
  </mergeCells>
  <phoneticPr fontId="0" type="noConversion"/>
  <printOptions horizontalCentered="1"/>
  <pageMargins left="0.1" right="0.1" top="1" bottom="1" header="0.5" footer="0.5"/>
  <pageSetup paperSize="9" orientation="portrait" blackAndWhite="1" horizontalDpi="4294967295" verticalDpi="300" r:id="rId1"/>
  <headerFooter alignWithMargins="0"/>
</worksheet>
</file>

<file path=xl/worksheets/sheet20.xml><?xml version="1.0" encoding="utf-8"?>
<worksheet xmlns="http://schemas.openxmlformats.org/spreadsheetml/2006/main" xmlns:r="http://schemas.openxmlformats.org/officeDocument/2006/relationships">
  <dimension ref="A1:AC42"/>
  <sheetViews>
    <sheetView workbookViewId="0">
      <selection activeCell="F14" sqref="F14"/>
    </sheetView>
  </sheetViews>
  <sheetFormatPr defaultRowHeight="12.75"/>
  <cols>
    <col min="1" max="1" width="25.28515625" style="753" customWidth="1"/>
    <col min="2" max="13" width="8.7109375" style="753" customWidth="1"/>
    <col min="14" max="14" width="25.85546875" style="753" customWidth="1"/>
    <col min="15" max="20" width="6.7109375" style="753" customWidth="1"/>
    <col min="21" max="23" width="8.28515625" style="753" customWidth="1"/>
    <col min="24" max="26" width="7.28515625" style="753" customWidth="1"/>
    <col min="27" max="29" width="8.42578125" style="753" customWidth="1"/>
    <col min="30" max="16384" width="9.140625" style="753"/>
  </cols>
  <sheetData>
    <row r="1" spans="1:29" ht="15" customHeight="1">
      <c r="A1" s="1399" t="s">
        <v>643</v>
      </c>
      <c r="B1" s="1399"/>
      <c r="C1" s="1399"/>
      <c r="D1" s="1399"/>
      <c r="E1" s="1399"/>
      <c r="F1" s="1399"/>
      <c r="G1" s="1399"/>
      <c r="H1" s="1399"/>
      <c r="I1" s="1399"/>
      <c r="J1" s="1399"/>
      <c r="K1" s="1399"/>
      <c r="L1" s="1399"/>
      <c r="M1" s="1399"/>
    </row>
    <row r="2" spans="1:29" ht="15" customHeight="1">
      <c r="A2" s="1413" t="s">
        <v>606</v>
      </c>
      <c r="B2" s="1413"/>
      <c r="C2" s="1413"/>
      <c r="D2" s="1413"/>
      <c r="E2" s="1413"/>
      <c r="F2" s="1413"/>
      <c r="G2" s="1413"/>
      <c r="H2" s="1413"/>
      <c r="I2" s="1413"/>
      <c r="J2" s="1413"/>
      <c r="K2" s="1413"/>
      <c r="L2" s="1413"/>
      <c r="M2" s="1413"/>
      <c r="N2" s="1399" t="s">
        <v>1367</v>
      </c>
      <c r="O2" s="1399"/>
      <c r="P2" s="1399"/>
      <c r="Q2" s="1399"/>
      <c r="R2" s="1399"/>
      <c r="S2" s="1399"/>
      <c r="T2" s="1399"/>
      <c r="U2" s="1399"/>
      <c r="V2" s="1399"/>
      <c r="W2" s="1399"/>
      <c r="X2" s="1399"/>
      <c r="Y2" s="1399"/>
      <c r="Z2" s="1399"/>
      <c r="AA2" s="1399"/>
      <c r="AB2" s="1399"/>
      <c r="AC2" s="1399"/>
    </row>
    <row r="3" spans="1:29" ht="15" customHeight="1">
      <c r="A3" s="823"/>
      <c r="B3" s="825"/>
      <c r="C3" s="825"/>
      <c r="D3" s="825"/>
      <c r="E3" s="825"/>
      <c r="F3" s="825"/>
      <c r="G3" s="825"/>
      <c r="H3" s="825"/>
      <c r="I3" s="825"/>
      <c r="J3" s="825"/>
      <c r="K3" s="825"/>
      <c r="L3" s="904"/>
      <c r="M3" s="905" t="s">
        <v>1058</v>
      </c>
      <c r="N3" s="779"/>
      <c r="O3" s="823"/>
      <c r="P3" s="823"/>
      <c r="Q3" s="823"/>
      <c r="AB3" s="210"/>
      <c r="AC3" s="905" t="s">
        <v>1058</v>
      </c>
    </row>
    <row r="4" spans="1:29" s="239" customFormat="1" ht="14.25" customHeight="1">
      <c r="A4" s="1408" t="s">
        <v>1214</v>
      </c>
      <c r="B4" s="1516" t="s">
        <v>607</v>
      </c>
      <c r="C4" s="1514"/>
      <c r="D4" s="1515"/>
      <c r="E4" s="1516" t="s">
        <v>608</v>
      </c>
      <c r="F4" s="1514"/>
      <c r="G4" s="1515"/>
      <c r="H4" s="1516" t="s">
        <v>609</v>
      </c>
      <c r="I4" s="1514"/>
      <c r="J4" s="1515"/>
      <c r="K4" s="1516" t="s">
        <v>610</v>
      </c>
      <c r="L4" s="1514"/>
      <c r="M4" s="1515"/>
      <c r="N4" s="1408" t="s">
        <v>1214</v>
      </c>
      <c r="O4" s="1514" t="s">
        <v>611</v>
      </c>
      <c r="P4" s="1514"/>
      <c r="Q4" s="1515"/>
      <c r="R4" s="1516" t="s">
        <v>612</v>
      </c>
      <c r="S4" s="1514"/>
      <c r="T4" s="1515"/>
      <c r="U4" s="1516" t="s">
        <v>1162</v>
      </c>
      <c r="V4" s="1514"/>
      <c r="W4" s="1515"/>
      <c r="X4" s="1516" t="s">
        <v>1163</v>
      </c>
      <c r="Y4" s="1514"/>
      <c r="Z4" s="1515"/>
      <c r="AA4" s="1514" t="s">
        <v>507</v>
      </c>
      <c r="AB4" s="1514"/>
      <c r="AC4" s="1515"/>
    </row>
    <row r="5" spans="1:29" s="239" customFormat="1" ht="14.25" customHeight="1">
      <c r="A5" s="1472"/>
      <c r="B5" s="906" t="s">
        <v>1070</v>
      </c>
      <c r="C5" s="907" t="s">
        <v>1071</v>
      </c>
      <c r="D5" s="908" t="s">
        <v>1035</v>
      </c>
      <c r="E5" s="906" t="s">
        <v>1070</v>
      </c>
      <c r="F5" s="907" t="s">
        <v>1071</v>
      </c>
      <c r="G5" s="908" t="s">
        <v>1035</v>
      </c>
      <c r="H5" s="906" t="s">
        <v>1070</v>
      </c>
      <c r="I5" s="907" t="s">
        <v>1071</v>
      </c>
      <c r="J5" s="908" t="s">
        <v>1035</v>
      </c>
      <c r="K5" s="906" t="s">
        <v>1070</v>
      </c>
      <c r="L5" s="907" t="s">
        <v>1071</v>
      </c>
      <c r="M5" s="908" t="s">
        <v>1035</v>
      </c>
      <c r="N5" s="1472"/>
      <c r="O5" s="907" t="s">
        <v>1070</v>
      </c>
      <c r="P5" s="907" t="s">
        <v>1071</v>
      </c>
      <c r="Q5" s="908" t="s">
        <v>1035</v>
      </c>
      <c r="R5" s="906" t="s">
        <v>1070</v>
      </c>
      <c r="S5" s="907" t="s">
        <v>1071</v>
      </c>
      <c r="T5" s="908" t="s">
        <v>1035</v>
      </c>
      <c r="U5" s="906" t="s">
        <v>1070</v>
      </c>
      <c r="V5" s="907" t="s">
        <v>1071</v>
      </c>
      <c r="W5" s="908" t="s">
        <v>1035</v>
      </c>
      <c r="X5" s="906" t="s">
        <v>1070</v>
      </c>
      <c r="Y5" s="907" t="s">
        <v>1071</v>
      </c>
      <c r="Z5" s="908" t="s">
        <v>1035</v>
      </c>
      <c r="AA5" s="907" t="s">
        <v>1070</v>
      </c>
      <c r="AB5" s="907" t="s">
        <v>1071</v>
      </c>
      <c r="AC5" s="908" t="s">
        <v>1035</v>
      </c>
    </row>
    <row r="6" spans="1:29" s="239" customFormat="1" ht="14.25" customHeight="1">
      <c r="A6" s="909" t="s">
        <v>1008</v>
      </c>
      <c r="B6" s="910" t="s">
        <v>1009</v>
      </c>
      <c r="C6" s="911" t="s">
        <v>1010</v>
      </c>
      <c r="D6" s="912" t="s">
        <v>1011</v>
      </c>
      <c r="E6" s="910" t="s">
        <v>1015</v>
      </c>
      <c r="F6" s="911" t="s">
        <v>1016</v>
      </c>
      <c r="G6" s="912" t="s">
        <v>1017</v>
      </c>
      <c r="H6" s="910" t="s">
        <v>1039</v>
      </c>
      <c r="I6" s="911" t="s">
        <v>1040</v>
      </c>
      <c r="J6" s="912" t="s">
        <v>1041</v>
      </c>
      <c r="K6" s="910" t="s">
        <v>1042</v>
      </c>
      <c r="L6" s="911" t="s">
        <v>1076</v>
      </c>
      <c r="M6" s="912" t="s">
        <v>1077</v>
      </c>
      <c r="N6" s="909" t="s">
        <v>1008</v>
      </c>
      <c r="O6" s="911" t="s">
        <v>1078</v>
      </c>
      <c r="P6" s="911" t="s">
        <v>1079</v>
      </c>
      <c r="Q6" s="912" t="s">
        <v>1080</v>
      </c>
      <c r="R6" s="910" t="s">
        <v>1081</v>
      </c>
      <c r="S6" s="911" t="s">
        <v>1083</v>
      </c>
      <c r="T6" s="912" t="s">
        <v>1082</v>
      </c>
      <c r="U6" s="910" t="s">
        <v>1356</v>
      </c>
      <c r="V6" s="911" t="s">
        <v>1358</v>
      </c>
      <c r="W6" s="912" t="s">
        <v>1359</v>
      </c>
      <c r="X6" s="910" t="s">
        <v>245</v>
      </c>
      <c r="Y6" s="911" t="s">
        <v>248</v>
      </c>
      <c r="Z6" s="912" t="s">
        <v>249</v>
      </c>
      <c r="AA6" s="911" t="s">
        <v>250</v>
      </c>
      <c r="AB6" s="911" t="s">
        <v>251</v>
      </c>
      <c r="AC6" s="912" t="s">
        <v>252</v>
      </c>
    </row>
    <row r="7" spans="1:29" ht="15" customHeight="1">
      <c r="A7" s="913" t="s">
        <v>1049</v>
      </c>
      <c r="B7" s="914">
        <f t="shared" ref="B7:M7" si="0">SUM(B8:B15)</f>
        <v>388968</v>
      </c>
      <c r="C7" s="915">
        <f t="shared" si="0"/>
        <v>372088</v>
      </c>
      <c r="D7" s="916">
        <f t="shared" si="0"/>
        <v>761056</v>
      </c>
      <c r="E7" s="914">
        <f t="shared" si="0"/>
        <v>25958</v>
      </c>
      <c r="F7" s="915">
        <f t="shared" si="0"/>
        <v>24373</v>
      </c>
      <c r="G7" s="916">
        <f t="shared" si="0"/>
        <v>50331</v>
      </c>
      <c r="H7" s="914">
        <f t="shared" si="0"/>
        <v>891</v>
      </c>
      <c r="I7" s="915">
        <f t="shared" si="0"/>
        <v>817</v>
      </c>
      <c r="J7" s="916">
        <f t="shared" si="0"/>
        <v>1708</v>
      </c>
      <c r="K7" s="914">
        <f t="shared" si="0"/>
        <v>25</v>
      </c>
      <c r="L7" s="915">
        <f t="shared" si="0"/>
        <v>8</v>
      </c>
      <c r="M7" s="916">
        <f t="shared" si="0"/>
        <v>33</v>
      </c>
      <c r="N7" s="913" t="s">
        <v>1049</v>
      </c>
      <c r="O7" s="915">
        <f t="shared" ref="O7:AC7" si="1">SUM(O8:O15)</f>
        <v>11</v>
      </c>
      <c r="P7" s="915">
        <f t="shared" si="1"/>
        <v>8</v>
      </c>
      <c r="Q7" s="916">
        <f t="shared" si="1"/>
        <v>19</v>
      </c>
      <c r="R7" s="914">
        <f t="shared" si="1"/>
        <v>24</v>
      </c>
      <c r="S7" s="915">
        <f t="shared" si="1"/>
        <v>27</v>
      </c>
      <c r="T7" s="916">
        <f t="shared" si="1"/>
        <v>51</v>
      </c>
      <c r="U7" s="914">
        <f t="shared" si="1"/>
        <v>31251</v>
      </c>
      <c r="V7" s="915">
        <f t="shared" si="1"/>
        <v>30152</v>
      </c>
      <c r="W7" s="916">
        <f t="shared" si="1"/>
        <v>61403</v>
      </c>
      <c r="X7" s="914">
        <f t="shared" si="1"/>
        <v>571</v>
      </c>
      <c r="Y7" s="915">
        <f t="shared" si="1"/>
        <v>555</v>
      </c>
      <c r="Z7" s="916">
        <f t="shared" si="1"/>
        <v>1126</v>
      </c>
      <c r="AA7" s="915">
        <f t="shared" si="1"/>
        <v>447699</v>
      </c>
      <c r="AB7" s="915">
        <f t="shared" si="1"/>
        <v>428028</v>
      </c>
      <c r="AC7" s="916">
        <f t="shared" si="1"/>
        <v>875727</v>
      </c>
    </row>
    <row r="8" spans="1:29" ht="15" customHeight="1">
      <c r="A8" s="917" t="s">
        <v>26</v>
      </c>
      <c r="B8" s="125">
        <v>56040</v>
      </c>
      <c r="C8" s="123">
        <v>53598</v>
      </c>
      <c r="D8" s="124">
        <f t="shared" ref="D8:D15" si="2">SUM(B8:C8)</f>
        <v>109638</v>
      </c>
      <c r="E8" s="125">
        <v>4493</v>
      </c>
      <c r="F8" s="123">
        <v>4297</v>
      </c>
      <c r="G8" s="124">
        <f t="shared" ref="G8:G15" si="3">SUM(E8:F8)</f>
        <v>8790</v>
      </c>
      <c r="H8" s="125">
        <v>156</v>
      </c>
      <c r="I8" s="123">
        <v>155</v>
      </c>
      <c r="J8" s="124">
        <f t="shared" ref="J8:J15" si="4">SUM(H8:I8)</f>
        <v>311</v>
      </c>
      <c r="K8" s="592" t="s">
        <v>57</v>
      </c>
      <c r="L8" s="593" t="s">
        <v>57</v>
      </c>
      <c r="M8" s="594" t="s">
        <v>57</v>
      </c>
      <c r="N8" s="917" t="s">
        <v>26</v>
      </c>
      <c r="O8" s="592" t="s">
        <v>57</v>
      </c>
      <c r="P8" s="593" t="s">
        <v>57</v>
      </c>
      <c r="Q8" s="594" t="s">
        <v>57</v>
      </c>
      <c r="R8" s="125">
        <v>0</v>
      </c>
      <c r="S8" s="123">
        <v>1</v>
      </c>
      <c r="T8" s="124">
        <f t="shared" ref="T8:T15" si="5">SUM(R8:S8)</f>
        <v>1</v>
      </c>
      <c r="U8" s="125">
        <v>5139</v>
      </c>
      <c r="V8" s="123">
        <v>5094</v>
      </c>
      <c r="W8" s="124">
        <f t="shared" ref="W8:W15" si="6">SUM(U8:V8)</f>
        <v>10233</v>
      </c>
      <c r="X8" s="125">
        <v>89</v>
      </c>
      <c r="Y8" s="123">
        <v>86</v>
      </c>
      <c r="Z8" s="124">
        <f t="shared" ref="Z8:Z15" si="7">SUM(X8:Y8)</f>
        <v>175</v>
      </c>
      <c r="AA8" s="123">
        <f t="shared" ref="AA8:AB15" si="8">SUM(B8,E8,H8,K8,O8,R8,U8,X8)</f>
        <v>65917</v>
      </c>
      <c r="AB8" s="123">
        <f t="shared" si="8"/>
        <v>63231</v>
      </c>
      <c r="AC8" s="124">
        <f t="shared" ref="AC8:AC15" si="9">SUM(AA8:AB8)</f>
        <v>129148</v>
      </c>
    </row>
    <row r="9" spans="1:29" ht="15" customHeight="1">
      <c r="A9" s="917" t="s">
        <v>27</v>
      </c>
      <c r="B9" s="125">
        <v>53262</v>
      </c>
      <c r="C9" s="123">
        <v>50823</v>
      </c>
      <c r="D9" s="124">
        <f t="shared" si="2"/>
        <v>104085</v>
      </c>
      <c r="E9" s="125">
        <v>1742</v>
      </c>
      <c r="F9" s="123">
        <v>1580</v>
      </c>
      <c r="G9" s="124">
        <f t="shared" si="3"/>
        <v>3322</v>
      </c>
      <c r="H9" s="125">
        <v>261</v>
      </c>
      <c r="I9" s="123">
        <v>221</v>
      </c>
      <c r="J9" s="124">
        <f t="shared" si="4"/>
        <v>482</v>
      </c>
      <c r="K9" s="125">
        <v>2</v>
      </c>
      <c r="L9" s="593" t="s">
        <v>57</v>
      </c>
      <c r="M9" s="124">
        <f t="shared" ref="M9:M15" si="10">SUM(K9:L9)</f>
        <v>2</v>
      </c>
      <c r="N9" s="917" t="s">
        <v>27</v>
      </c>
      <c r="O9" s="123">
        <v>2</v>
      </c>
      <c r="P9" s="123">
        <v>2</v>
      </c>
      <c r="Q9" s="124">
        <f t="shared" ref="Q9:Q14" si="11">SUM(O9:P9)</f>
        <v>4</v>
      </c>
      <c r="R9" s="592" t="s">
        <v>57</v>
      </c>
      <c r="S9" s="593" t="s">
        <v>57</v>
      </c>
      <c r="T9" s="594" t="s">
        <v>57</v>
      </c>
      <c r="U9" s="125">
        <v>2310</v>
      </c>
      <c r="V9" s="123">
        <v>2205</v>
      </c>
      <c r="W9" s="124">
        <f t="shared" si="6"/>
        <v>4515</v>
      </c>
      <c r="X9" s="125">
        <v>20</v>
      </c>
      <c r="Y9" s="123">
        <v>18</v>
      </c>
      <c r="Z9" s="124">
        <f t="shared" si="7"/>
        <v>38</v>
      </c>
      <c r="AA9" s="123">
        <f t="shared" si="8"/>
        <v>57599</v>
      </c>
      <c r="AB9" s="123">
        <f t="shared" si="8"/>
        <v>54849</v>
      </c>
      <c r="AC9" s="124">
        <f t="shared" si="9"/>
        <v>112448</v>
      </c>
    </row>
    <row r="10" spans="1:29" ht="15" customHeight="1">
      <c r="A10" s="917" t="s">
        <v>53</v>
      </c>
      <c r="B10" s="125">
        <v>49460</v>
      </c>
      <c r="C10" s="123">
        <v>47211</v>
      </c>
      <c r="D10" s="124">
        <f t="shared" si="2"/>
        <v>96671</v>
      </c>
      <c r="E10" s="125">
        <v>3289</v>
      </c>
      <c r="F10" s="123">
        <v>3130</v>
      </c>
      <c r="G10" s="124">
        <f t="shared" si="3"/>
        <v>6419</v>
      </c>
      <c r="H10" s="125">
        <v>206</v>
      </c>
      <c r="I10" s="123">
        <v>192</v>
      </c>
      <c r="J10" s="124">
        <f t="shared" si="4"/>
        <v>398</v>
      </c>
      <c r="K10" s="125">
        <v>5</v>
      </c>
      <c r="L10" s="123">
        <v>2</v>
      </c>
      <c r="M10" s="124">
        <f t="shared" si="10"/>
        <v>7</v>
      </c>
      <c r="N10" s="917" t="s">
        <v>53</v>
      </c>
      <c r="O10" s="592" t="s">
        <v>57</v>
      </c>
      <c r="P10" s="593" t="s">
        <v>57</v>
      </c>
      <c r="Q10" s="594" t="s">
        <v>57</v>
      </c>
      <c r="R10" s="125">
        <v>8</v>
      </c>
      <c r="S10" s="123">
        <v>7</v>
      </c>
      <c r="T10" s="124">
        <f t="shared" si="5"/>
        <v>15</v>
      </c>
      <c r="U10" s="125">
        <v>7351</v>
      </c>
      <c r="V10" s="123">
        <v>6983</v>
      </c>
      <c r="W10" s="124">
        <f t="shared" si="6"/>
        <v>14334</v>
      </c>
      <c r="X10" s="125">
        <v>127</v>
      </c>
      <c r="Y10" s="123">
        <v>131</v>
      </c>
      <c r="Z10" s="124">
        <f t="shared" si="7"/>
        <v>258</v>
      </c>
      <c r="AA10" s="123">
        <f t="shared" si="8"/>
        <v>60446</v>
      </c>
      <c r="AB10" s="123">
        <f t="shared" si="8"/>
        <v>57656</v>
      </c>
      <c r="AC10" s="124">
        <f t="shared" si="9"/>
        <v>118102</v>
      </c>
    </row>
    <row r="11" spans="1:29" ht="15" customHeight="1">
      <c r="A11" s="917" t="s">
        <v>28</v>
      </c>
      <c r="B11" s="125">
        <v>65861</v>
      </c>
      <c r="C11" s="123">
        <v>64755</v>
      </c>
      <c r="D11" s="124">
        <f t="shared" si="2"/>
        <v>130616</v>
      </c>
      <c r="E11" s="125">
        <v>3333</v>
      </c>
      <c r="F11" s="123">
        <v>3131</v>
      </c>
      <c r="G11" s="124">
        <f t="shared" si="3"/>
        <v>6464</v>
      </c>
      <c r="H11" s="125">
        <v>26</v>
      </c>
      <c r="I11" s="123">
        <v>28</v>
      </c>
      <c r="J11" s="124">
        <f t="shared" si="4"/>
        <v>54</v>
      </c>
      <c r="K11" s="592" t="s">
        <v>57</v>
      </c>
      <c r="L11" s="123">
        <v>1</v>
      </c>
      <c r="M11" s="124">
        <f t="shared" si="10"/>
        <v>1</v>
      </c>
      <c r="N11" s="917" t="s">
        <v>28</v>
      </c>
      <c r="O11" s="123">
        <v>1</v>
      </c>
      <c r="P11" s="123">
        <v>1</v>
      </c>
      <c r="Q11" s="124">
        <f t="shared" si="11"/>
        <v>2</v>
      </c>
      <c r="R11" s="592" t="s">
        <v>57</v>
      </c>
      <c r="S11" s="593" t="s">
        <v>57</v>
      </c>
      <c r="T11" s="594" t="s">
        <v>57</v>
      </c>
      <c r="U11" s="125">
        <v>4887</v>
      </c>
      <c r="V11" s="123">
        <v>4706</v>
      </c>
      <c r="W11" s="124">
        <f t="shared" si="6"/>
        <v>9593</v>
      </c>
      <c r="X11" s="125">
        <v>100</v>
      </c>
      <c r="Y11" s="123">
        <v>97</v>
      </c>
      <c r="Z11" s="124">
        <f t="shared" si="7"/>
        <v>197</v>
      </c>
      <c r="AA11" s="123">
        <f t="shared" si="8"/>
        <v>74208</v>
      </c>
      <c r="AB11" s="123">
        <f t="shared" si="8"/>
        <v>72719</v>
      </c>
      <c r="AC11" s="124">
        <f t="shared" si="9"/>
        <v>146927</v>
      </c>
    </row>
    <row r="12" spans="1:29" ht="15" customHeight="1">
      <c r="A12" s="917" t="s">
        <v>29</v>
      </c>
      <c r="B12" s="125">
        <v>50688</v>
      </c>
      <c r="C12" s="123">
        <v>46668</v>
      </c>
      <c r="D12" s="124">
        <f t="shared" si="2"/>
        <v>97356</v>
      </c>
      <c r="E12" s="125">
        <v>5093</v>
      </c>
      <c r="F12" s="123">
        <v>4693</v>
      </c>
      <c r="G12" s="124">
        <f t="shared" si="3"/>
        <v>9786</v>
      </c>
      <c r="H12" s="125">
        <v>41</v>
      </c>
      <c r="I12" s="123">
        <v>31</v>
      </c>
      <c r="J12" s="124">
        <f t="shared" si="4"/>
        <v>72</v>
      </c>
      <c r="K12" s="125">
        <v>3</v>
      </c>
      <c r="L12" s="593" t="s">
        <v>57</v>
      </c>
      <c r="M12" s="124">
        <f t="shared" si="10"/>
        <v>3</v>
      </c>
      <c r="N12" s="917" t="s">
        <v>29</v>
      </c>
      <c r="O12" s="123">
        <v>2</v>
      </c>
      <c r="P12" s="593" t="s">
        <v>57</v>
      </c>
      <c r="Q12" s="124">
        <f t="shared" si="11"/>
        <v>2</v>
      </c>
      <c r="R12" s="125">
        <v>4</v>
      </c>
      <c r="S12" s="123">
        <v>3</v>
      </c>
      <c r="T12" s="124">
        <f t="shared" si="5"/>
        <v>7</v>
      </c>
      <c r="U12" s="125">
        <v>2289</v>
      </c>
      <c r="V12" s="123">
        <v>2135</v>
      </c>
      <c r="W12" s="124">
        <f t="shared" si="6"/>
        <v>4424</v>
      </c>
      <c r="X12" s="125">
        <v>66</v>
      </c>
      <c r="Y12" s="123">
        <v>52</v>
      </c>
      <c r="Z12" s="124">
        <f t="shared" si="7"/>
        <v>118</v>
      </c>
      <c r="AA12" s="123">
        <f t="shared" si="8"/>
        <v>58186</v>
      </c>
      <c r="AB12" s="123">
        <f t="shared" si="8"/>
        <v>53582</v>
      </c>
      <c r="AC12" s="124">
        <f t="shared" si="9"/>
        <v>111768</v>
      </c>
    </row>
    <row r="13" spans="1:29" ht="15" customHeight="1">
      <c r="A13" s="917" t="s">
        <v>48</v>
      </c>
      <c r="B13" s="125">
        <v>50714</v>
      </c>
      <c r="C13" s="123">
        <v>49151</v>
      </c>
      <c r="D13" s="124">
        <f t="shared" si="2"/>
        <v>99865</v>
      </c>
      <c r="E13" s="125">
        <v>4566</v>
      </c>
      <c r="F13" s="123">
        <v>4324</v>
      </c>
      <c r="G13" s="124">
        <f t="shared" si="3"/>
        <v>8890</v>
      </c>
      <c r="H13" s="125">
        <v>167</v>
      </c>
      <c r="I13" s="123">
        <v>153</v>
      </c>
      <c r="J13" s="124">
        <f t="shared" si="4"/>
        <v>320</v>
      </c>
      <c r="K13" s="125">
        <v>1</v>
      </c>
      <c r="L13" s="593" t="s">
        <v>57</v>
      </c>
      <c r="M13" s="124">
        <f t="shared" si="10"/>
        <v>1</v>
      </c>
      <c r="N13" s="917" t="s">
        <v>48</v>
      </c>
      <c r="O13" s="123">
        <v>4</v>
      </c>
      <c r="P13" s="123">
        <v>3</v>
      </c>
      <c r="Q13" s="124">
        <f t="shared" si="11"/>
        <v>7</v>
      </c>
      <c r="R13" s="592" t="s">
        <v>57</v>
      </c>
      <c r="S13" s="593" t="s">
        <v>57</v>
      </c>
      <c r="T13" s="594" t="s">
        <v>57</v>
      </c>
      <c r="U13" s="125">
        <v>3254</v>
      </c>
      <c r="V13" s="123">
        <v>3230</v>
      </c>
      <c r="W13" s="124">
        <f t="shared" si="6"/>
        <v>6484</v>
      </c>
      <c r="X13" s="125">
        <v>87</v>
      </c>
      <c r="Y13" s="123">
        <v>94</v>
      </c>
      <c r="Z13" s="124">
        <f t="shared" si="7"/>
        <v>181</v>
      </c>
      <c r="AA13" s="123">
        <f t="shared" si="8"/>
        <v>58793</v>
      </c>
      <c r="AB13" s="123">
        <f t="shared" si="8"/>
        <v>56955</v>
      </c>
      <c r="AC13" s="124">
        <f t="shared" si="9"/>
        <v>115748</v>
      </c>
    </row>
    <row r="14" spans="1:29" ht="15" customHeight="1">
      <c r="A14" s="917" t="s">
        <v>54</v>
      </c>
      <c r="B14" s="125">
        <v>54410</v>
      </c>
      <c r="C14" s="123">
        <v>52007</v>
      </c>
      <c r="D14" s="124">
        <f t="shared" si="2"/>
        <v>106417</v>
      </c>
      <c r="E14" s="125">
        <v>2715</v>
      </c>
      <c r="F14" s="123">
        <v>2593</v>
      </c>
      <c r="G14" s="124">
        <f t="shared" si="3"/>
        <v>5308</v>
      </c>
      <c r="H14" s="125">
        <v>6</v>
      </c>
      <c r="I14" s="123">
        <v>7</v>
      </c>
      <c r="J14" s="124">
        <f t="shared" si="4"/>
        <v>13</v>
      </c>
      <c r="K14" s="125">
        <v>5</v>
      </c>
      <c r="L14" s="123">
        <v>1</v>
      </c>
      <c r="M14" s="124">
        <f t="shared" si="10"/>
        <v>6</v>
      </c>
      <c r="N14" s="917" t="s">
        <v>54</v>
      </c>
      <c r="O14" s="123">
        <v>2</v>
      </c>
      <c r="P14" s="123">
        <v>2</v>
      </c>
      <c r="Q14" s="124">
        <f t="shared" si="11"/>
        <v>4</v>
      </c>
      <c r="R14" s="592" t="s">
        <v>57</v>
      </c>
      <c r="S14" s="593" t="s">
        <v>57</v>
      </c>
      <c r="T14" s="594" t="s">
        <v>57</v>
      </c>
      <c r="U14" s="125">
        <v>6020</v>
      </c>
      <c r="V14" s="123">
        <v>5799</v>
      </c>
      <c r="W14" s="124">
        <f t="shared" si="6"/>
        <v>11819</v>
      </c>
      <c r="X14" s="125">
        <v>77</v>
      </c>
      <c r="Y14" s="123">
        <v>70</v>
      </c>
      <c r="Z14" s="124">
        <f t="shared" si="7"/>
        <v>147</v>
      </c>
      <c r="AA14" s="123">
        <f t="shared" si="8"/>
        <v>63235</v>
      </c>
      <c r="AB14" s="123">
        <f t="shared" si="8"/>
        <v>60479</v>
      </c>
      <c r="AC14" s="124">
        <f t="shared" si="9"/>
        <v>123714</v>
      </c>
    </row>
    <row r="15" spans="1:29" ht="15" customHeight="1">
      <c r="A15" s="917" t="s">
        <v>49</v>
      </c>
      <c r="B15" s="125">
        <v>8533</v>
      </c>
      <c r="C15" s="123">
        <v>7875</v>
      </c>
      <c r="D15" s="124">
        <f t="shared" si="2"/>
        <v>16408</v>
      </c>
      <c r="E15" s="125">
        <v>727</v>
      </c>
      <c r="F15" s="123">
        <v>625</v>
      </c>
      <c r="G15" s="124">
        <f t="shared" si="3"/>
        <v>1352</v>
      </c>
      <c r="H15" s="125">
        <v>28</v>
      </c>
      <c r="I15" s="123">
        <v>30</v>
      </c>
      <c r="J15" s="124">
        <f t="shared" si="4"/>
        <v>58</v>
      </c>
      <c r="K15" s="125">
        <v>9</v>
      </c>
      <c r="L15" s="123">
        <v>4</v>
      </c>
      <c r="M15" s="124">
        <f t="shared" si="10"/>
        <v>13</v>
      </c>
      <c r="N15" s="917" t="s">
        <v>49</v>
      </c>
      <c r="O15" s="592" t="s">
        <v>57</v>
      </c>
      <c r="P15" s="593" t="s">
        <v>57</v>
      </c>
      <c r="Q15" s="594" t="s">
        <v>57</v>
      </c>
      <c r="R15" s="125">
        <v>12</v>
      </c>
      <c r="S15" s="123">
        <v>16</v>
      </c>
      <c r="T15" s="124">
        <f t="shared" si="5"/>
        <v>28</v>
      </c>
      <c r="U15" s="125">
        <v>1</v>
      </c>
      <c r="V15" s="593" t="s">
        <v>57</v>
      </c>
      <c r="W15" s="124">
        <f t="shared" si="6"/>
        <v>1</v>
      </c>
      <c r="X15" s="125">
        <v>5</v>
      </c>
      <c r="Y15" s="123">
        <v>7</v>
      </c>
      <c r="Z15" s="124">
        <f t="shared" si="7"/>
        <v>12</v>
      </c>
      <c r="AA15" s="123">
        <f t="shared" si="8"/>
        <v>9315</v>
      </c>
      <c r="AB15" s="123">
        <f t="shared" si="8"/>
        <v>8557</v>
      </c>
      <c r="AC15" s="124">
        <f t="shared" si="9"/>
        <v>17872</v>
      </c>
    </row>
    <row r="16" spans="1:29" ht="15" customHeight="1">
      <c r="A16" s="918" t="s">
        <v>50</v>
      </c>
      <c r="B16" s="919">
        <f t="shared" ref="B16:M16" si="12">SUM(B17:B24)</f>
        <v>371513</v>
      </c>
      <c r="C16" s="920">
        <f t="shared" si="12"/>
        <v>355816</v>
      </c>
      <c r="D16" s="921">
        <f t="shared" si="12"/>
        <v>727329</v>
      </c>
      <c r="E16" s="919">
        <f t="shared" si="12"/>
        <v>30863</v>
      </c>
      <c r="F16" s="920">
        <f t="shared" si="12"/>
        <v>28889</v>
      </c>
      <c r="G16" s="921">
        <f t="shared" si="12"/>
        <v>59752</v>
      </c>
      <c r="H16" s="919">
        <f t="shared" si="12"/>
        <v>1504</v>
      </c>
      <c r="I16" s="920">
        <f t="shared" si="12"/>
        <v>1517</v>
      </c>
      <c r="J16" s="921">
        <f t="shared" si="12"/>
        <v>3021</v>
      </c>
      <c r="K16" s="919">
        <f t="shared" si="12"/>
        <v>75</v>
      </c>
      <c r="L16" s="920">
        <f t="shared" si="12"/>
        <v>63</v>
      </c>
      <c r="M16" s="921">
        <f t="shared" si="12"/>
        <v>138</v>
      </c>
      <c r="N16" s="918" t="s">
        <v>50</v>
      </c>
      <c r="O16" s="920">
        <f t="shared" ref="O16:AC16" si="13">SUM(O17:O24)</f>
        <v>44</v>
      </c>
      <c r="P16" s="920">
        <f t="shared" si="13"/>
        <v>24</v>
      </c>
      <c r="Q16" s="921">
        <f t="shared" si="13"/>
        <v>68</v>
      </c>
      <c r="R16" s="919">
        <f t="shared" si="13"/>
        <v>197</v>
      </c>
      <c r="S16" s="920">
        <f t="shared" si="13"/>
        <v>166</v>
      </c>
      <c r="T16" s="921">
        <f t="shared" si="13"/>
        <v>363</v>
      </c>
      <c r="U16" s="919">
        <f t="shared" si="13"/>
        <v>61493</v>
      </c>
      <c r="V16" s="920">
        <f t="shared" si="13"/>
        <v>60647</v>
      </c>
      <c r="W16" s="921">
        <f t="shared" si="13"/>
        <v>122140</v>
      </c>
      <c r="X16" s="919">
        <f t="shared" si="13"/>
        <v>601</v>
      </c>
      <c r="Y16" s="920">
        <f t="shared" si="13"/>
        <v>539</v>
      </c>
      <c r="Z16" s="921">
        <f t="shared" si="13"/>
        <v>1140</v>
      </c>
      <c r="AA16" s="920">
        <f t="shared" si="13"/>
        <v>466290</v>
      </c>
      <c r="AB16" s="920">
        <f t="shared" si="13"/>
        <v>447661</v>
      </c>
      <c r="AC16" s="921">
        <f t="shared" si="13"/>
        <v>913951</v>
      </c>
    </row>
    <row r="17" spans="1:29" ht="15" customHeight="1">
      <c r="A17" s="917" t="s">
        <v>33</v>
      </c>
      <c r="B17" s="125">
        <v>25755</v>
      </c>
      <c r="C17" s="123">
        <v>25001</v>
      </c>
      <c r="D17" s="124">
        <f t="shared" ref="D17:D24" si="14">SUM(B17:C17)</f>
        <v>50756</v>
      </c>
      <c r="E17" s="125">
        <v>331</v>
      </c>
      <c r="F17" s="123">
        <v>297</v>
      </c>
      <c r="G17" s="124">
        <f t="shared" ref="G17:G24" si="15">SUM(E17:F17)</f>
        <v>628</v>
      </c>
      <c r="H17" s="125">
        <v>64</v>
      </c>
      <c r="I17" s="123">
        <v>71</v>
      </c>
      <c r="J17" s="124">
        <f t="shared" ref="J17:J24" si="16">SUM(H17:I17)</f>
        <v>135</v>
      </c>
      <c r="K17" s="125">
        <v>1</v>
      </c>
      <c r="L17" s="123">
        <v>2</v>
      </c>
      <c r="M17" s="124">
        <f t="shared" ref="M17:M24" si="17">SUM(K17:L17)</f>
        <v>3</v>
      </c>
      <c r="N17" s="917" t="s">
        <v>33</v>
      </c>
      <c r="O17" s="123">
        <v>2</v>
      </c>
      <c r="P17" s="123">
        <v>5</v>
      </c>
      <c r="Q17" s="124">
        <f t="shared" ref="Q17:Q24" si="18">SUM(O17:P17)</f>
        <v>7</v>
      </c>
      <c r="R17" s="592" t="s">
        <v>57</v>
      </c>
      <c r="S17" s="593" t="s">
        <v>57</v>
      </c>
      <c r="T17" s="594" t="s">
        <v>57</v>
      </c>
      <c r="U17" s="125">
        <v>16034</v>
      </c>
      <c r="V17" s="123">
        <v>15976</v>
      </c>
      <c r="W17" s="124">
        <f t="shared" ref="W17:W24" si="19">SUM(U17:V17)</f>
        <v>32010</v>
      </c>
      <c r="X17" s="125">
        <v>94</v>
      </c>
      <c r="Y17" s="123">
        <v>61</v>
      </c>
      <c r="Z17" s="124">
        <f t="shared" ref="Z17:Z24" si="20">SUM(X17:Y17)</f>
        <v>155</v>
      </c>
      <c r="AA17" s="123">
        <f t="shared" ref="AA17:AB24" si="21">SUM(B17,E17,H17,K17,O17,R17,U17,X17)</f>
        <v>42281</v>
      </c>
      <c r="AB17" s="123">
        <f t="shared" si="21"/>
        <v>41413</v>
      </c>
      <c r="AC17" s="124">
        <f t="shared" ref="AC17:AC24" si="22">SUM(AA17:AB17)</f>
        <v>83694</v>
      </c>
    </row>
    <row r="18" spans="1:29" ht="15" customHeight="1">
      <c r="A18" s="917" t="s">
        <v>34</v>
      </c>
      <c r="B18" s="125">
        <v>51857</v>
      </c>
      <c r="C18" s="123">
        <v>50665</v>
      </c>
      <c r="D18" s="124">
        <f t="shared" si="14"/>
        <v>102522</v>
      </c>
      <c r="E18" s="125">
        <v>4127</v>
      </c>
      <c r="F18" s="123">
        <v>3847</v>
      </c>
      <c r="G18" s="124">
        <f t="shared" si="15"/>
        <v>7974</v>
      </c>
      <c r="H18" s="125">
        <v>8</v>
      </c>
      <c r="I18" s="123">
        <v>9</v>
      </c>
      <c r="J18" s="124">
        <f t="shared" si="16"/>
        <v>17</v>
      </c>
      <c r="K18" s="125">
        <v>1</v>
      </c>
      <c r="L18" s="593" t="s">
        <v>57</v>
      </c>
      <c r="M18" s="124">
        <f t="shared" si="17"/>
        <v>1</v>
      </c>
      <c r="N18" s="917" t="s">
        <v>34</v>
      </c>
      <c r="O18" s="123">
        <v>2</v>
      </c>
      <c r="P18" s="123">
        <v>1</v>
      </c>
      <c r="Q18" s="124">
        <f t="shared" si="18"/>
        <v>3</v>
      </c>
      <c r="R18" s="592" t="s">
        <v>57</v>
      </c>
      <c r="S18" s="593" t="s">
        <v>57</v>
      </c>
      <c r="T18" s="594" t="s">
        <v>57</v>
      </c>
      <c r="U18" s="125">
        <v>8389</v>
      </c>
      <c r="V18" s="123">
        <v>8416</v>
      </c>
      <c r="W18" s="124">
        <f t="shared" si="19"/>
        <v>16805</v>
      </c>
      <c r="X18" s="125">
        <v>69</v>
      </c>
      <c r="Y18" s="123">
        <v>52</v>
      </c>
      <c r="Z18" s="124">
        <f t="shared" si="20"/>
        <v>121</v>
      </c>
      <c r="AA18" s="123">
        <f t="shared" si="21"/>
        <v>64453</v>
      </c>
      <c r="AB18" s="123">
        <f t="shared" si="21"/>
        <v>62990</v>
      </c>
      <c r="AC18" s="124">
        <f t="shared" si="22"/>
        <v>127443</v>
      </c>
    </row>
    <row r="19" spans="1:29" ht="15" customHeight="1">
      <c r="A19" s="917" t="s">
        <v>55</v>
      </c>
      <c r="B19" s="125">
        <v>55282</v>
      </c>
      <c r="C19" s="123">
        <v>54554</v>
      </c>
      <c r="D19" s="124">
        <f t="shared" si="14"/>
        <v>109836</v>
      </c>
      <c r="E19" s="125">
        <v>1825</v>
      </c>
      <c r="F19" s="123">
        <v>1863</v>
      </c>
      <c r="G19" s="124">
        <f t="shared" si="15"/>
        <v>3688</v>
      </c>
      <c r="H19" s="125">
        <v>15</v>
      </c>
      <c r="I19" s="123">
        <v>11</v>
      </c>
      <c r="J19" s="124">
        <f t="shared" si="16"/>
        <v>26</v>
      </c>
      <c r="K19" s="125">
        <v>1</v>
      </c>
      <c r="L19" s="593" t="s">
        <v>57</v>
      </c>
      <c r="M19" s="124">
        <f t="shared" si="17"/>
        <v>1</v>
      </c>
      <c r="N19" s="917" t="s">
        <v>55</v>
      </c>
      <c r="O19" s="123">
        <v>1</v>
      </c>
      <c r="P19" s="593" t="s">
        <v>57</v>
      </c>
      <c r="Q19" s="124">
        <f t="shared" si="18"/>
        <v>1</v>
      </c>
      <c r="R19" s="592" t="s">
        <v>57</v>
      </c>
      <c r="S19" s="593" t="s">
        <v>57</v>
      </c>
      <c r="T19" s="594" t="s">
        <v>57</v>
      </c>
      <c r="U19" s="125">
        <v>7114</v>
      </c>
      <c r="V19" s="123">
        <v>6856</v>
      </c>
      <c r="W19" s="124">
        <f t="shared" si="19"/>
        <v>13970</v>
      </c>
      <c r="X19" s="125">
        <v>42</v>
      </c>
      <c r="Y19" s="123">
        <v>37</v>
      </c>
      <c r="Z19" s="124">
        <f t="shared" si="20"/>
        <v>79</v>
      </c>
      <c r="AA19" s="123">
        <f t="shared" si="21"/>
        <v>64280</v>
      </c>
      <c r="AB19" s="123">
        <f t="shared" si="21"/>
        <v>63321</v>
      </c>
      <c r="AC19" s="124">
        <f t="shared" si="22"/>
        <v>127601</v>
      </c>
    </row>
    <row r="20" spans="1:29" ht="15" customHeight="1">
      <c r="A20" s="917" t="s">
        <v>56</v>
      </c>
      <c r="B20" s="125">
        <v>21852</v>
      </c>
      <c r="C20" s="123">
        <v>20906</v>
      </c>
      <c r="D20" s="124">
        <f t="shared" si="14"/>
        <v>42758</v>
      </c>
      <c r="E20" s="125">
        <v>597</v>
      </c>
      <c r="F20" s="123">
        <v>540</v>
      </c>
      <c r="G20" s="124">
        <f t="shared" si="15"/>
        <v>1137</v>
      </c>
      <c r="H20" s="125">
        <v>46</v>
      </c>
      <c r="I20" s="123">
        <v>53</v>
      </c>
      <c r="J20" s="124">
        <f t="shared" si="16"/>
        <v>99</v>
      </c>
      <c r="K20" s="125">
        <v>2</v>
      </c>
      <c r="L20" s="123">
        <v>3</v>
      </c>
      <c r="M20" s="124">
        <f t="shared" si="17"/>
        <v>5</v>
      </c>
      <c r="N20" s="917" t="s">
        <v>56</v>
      </c>
      <c r="O20" s="592" t="s">
        <v>57</v>
      </c>
      <c r="P20" s="593" t="s">
        <v>57</v>
      </c>
      <c r="Q20" s="594" t="s">
        <v>57</v>
      </c>
      <c r="R20" s="592" t="s">
        <v>57</v>
      </c>
      <c r="S20" s="593" t="s">
        <v>57</v>
      </c>
      <c r="T20" s="594" t="s">
        <v>57</v>
      </c>
      <c r="U20" s="125">
        <v>20716</v>
      </c>
      <c r="V20" s="123">
        <v>20237</v>
      </c>
      <c r="W20" s="124">
        <f t="shared" si="19"/>
        <v>40953</v>
      </c>
      <c r="X20" s="125">
        <v>148</v>
      </c>
      <c r="Y20" s="123">
        <v>153</v>
      </c>
      <c r="Z20" s="124">
        <f t="shared" si="20"/>
        <v>301</v>
      </c>
      <c r="AA20" s="123">
        <f t="shared" si="21"/>
        <v>43361</v>
      </c>
      <c r="AB20" s="123">
        <f t="shared" si="21"/>
        <v>41892</v>
      </c>
      <c r="AC20" s="124">
        <f t="shared" si="22"/>
        <v>85253</v>
      </c>
    </row>
    <row r="21" spans="1:29" ht="15" customHeight="1">
      <c r="A21" s="917" t="s">
        <v>45</v>
      </c>
      <c r="B21" s="125">
        <v>45081</v>
      </c>
      <c r="C21" s="123">
        <v>44034</v>
      </c>
      <c r="D21" s="124">
        <f t="shared" si="14"/>
        <v>89115</v>
      </c>
      <c r="E21" s="125">
        <v>1942</v>
      </c>
      <c r="F21" s="123">
        <v>1842</v>
      </c>
      <c r="G21" s="124">
        <f t="shared" si="15"/>
        <v>3784</v>
      </c>
      <c r="H21" s="125">
        <v>56</v>
      </c>
      <c r="I21" s="123">
        <v>50</v>
      </c>
      <c r="J21" s="124">
        <f t="shared" si="16"/>
        <v>106</v>
      </c>
      <c r="K21" s="125">
        <v>15</v>
      </c>
      <c r="L21" s="123">
        <v>11</v>
      </c>
      <c r="M21" s="124">
        <f t="shared" si="17"/>
        <v>26</v>
      </c>
      <c r="N21" s="917" t="s">
        <v>45</v>
      </c>
      <c r="O21" s="123">
        <v>9</v>
      </c>
      <c r="P21" s="123">
        <v>5</v>
      </c>
      <c r="Q21" s="124">
        <f t="shared" si="18"/>
        <v>14</v>
      </c>
      <c r="R21" s="125">
        <v>1</v>
      </c>
      <c r="S21" s="593" t="s">
        <v>57</v>
      </c>
      <c r="T21" s="124">
        <f>SUM(R21:S21)</f>
        <v>1</v>
      </c>
      <c r="U21" s="125">
        <v>7496</v>
      </c>
      <c r="V21" s="123">
        <v>7504</v>
      </c>
      <c r="W21" s="124">
        <f t="shared" si="19"/>
        <v>15000</v>
      </c>
      <c r="X21" s="125">
        <v>42</v>
      </c>
      <c r="Y21" s="123">
        <v>41</v>
      </c>
      <c r="Z21" s="124">
        <f t="shared" si="20"/>
        <v>83</v>
      </c>
      <c r="AA21" s="123">
        <f t="shared" si="21"/>
        <v>54642</v>
      </c>
      <c r="AB21" s="123">
        <f t="shared" si="21"/>
        <v>53487</v>
      </c>
      <c r="AC21" s="124">
        <f t="shared" si="22"/>
        <v>108129</v>
      </c>
    </row>
    <row r="22" spans="1:29" ht="15" customHeight="1">
      <c r="A22" s="917" t="s">
        <v>46</v>
      </c>
      <c r="B22" s="125">
        <v>59055</v>
      </c>
      <c r="C22" s="123">
        <v>55030</v>
      </c>
      <c r="D22" s="124">
        <f t="shared" si="14"/>
        <v>114085</v>
      </c>
      <c r="E22" s="125">
        <v>4256</v>
      </c>
      <c r="F22" s="123">
        <v>4123</v>
      </c>
      <c r="G22" s="124">
        <f t="shared" si="15"/>
        <v>8379</v>
      </c>
      <c r="H22" s="125">
        <v>428</v>
      </c>
      <c r="I22" s="123">
        <v>428</v>
      </c>
      <c r="J22" s="124">
        <f t="shared" si="16"/>
        <v>856</v>
      </c>
      <c r="K22" s="125">
        <v>5</v>
      </c>
      <c r="L22" s="123">
        <v>1</v>
      </c>
      <c r="M22" s="124">
        <f t="shared" si="17"/>
        <v>6</v>
      </c>
      <c r="N22" s="917" t="s">
        <v>46</v>
      </c>
      <c r="O22" s="123">
        <v>18</v>
      </c>
      <c r="P22" s="123">
        <v>3</v>
      </c>
      <c r="Q22" s="124">
        <f t="shared" si="18"/>
        <v>21</v>
      </c>
      <c r="R22" s="125">
        <v>30</v>
      </c>
      <c r="S22" s="593" t="s">
        <v>57</v>
      </c>
      <c r="T22" s="124">
        <f>SUM(R22:S22)</f>
        <v>30</v>
      </c>
      <c r="U22" s="125">
        <v>902</v>
      </c>
      <c r="V22" s="123">
        <v>857</v>
      </c>
      <c r="W22" s="124">
        <f t="shared" si="19"/>
        <v>1759</v>
      </c>
      <c r="X22" s="125">
        <v>104</v>
      </c>
      <c r="Y22" s="123">
        <v>78</v>
      </c>
      <c r="Z22" s="124">
        <f t="shared" si="20"/>
        <v>182</v>
      </c>
      <c r="AA22" s="123">
        <f t="shared" si="21"/>
        <v>64798</v>
      </c>
      <c r="AB22" s="123">
        <f t="shared" si="21"/>
        <v>60520</v>
      </c>
      <c r="AC22" s="124">
        <f t="shared" si="22"/>
        <v>125318</v>
      </c>
    </row>
    <row r="23" spans="1:29" ht="15" customHeight="1">
      <c r="A23" s="917" t="s">
        <v>47</v>
      </c>
      <c r="B23" s="125">
        <v>62186</v>
      </c>
      <c r="C23" s="123">
        <v>58742</v>
      </c>
      <c r="D23" s="124">
        <f t="shared" si="14"/>
        <v>120928</v>
      </c>
      <c r="E23" s="125">
        <v>10357</v>
      </c>
      <c r="F23" s="123">
        <v>9754</v>
      </c>
      <c r="G23" s="124">
        <f t="shared" si="15"/>
        <v>20111</v>
      </c>
      <c r="H23" s="125">
        <v>25</v>
      </c>
      <c r="I23" s="123">
        <v>24</v>
      </c>
      <c r="J23" s="124">
        <f t="shared" si="16"/>
        <v>49</v>
      </c>
      <c r="K23" s="125">
        <v>2</v>
      </c>
      <c r="L23" s="593" t="s">
        <v>57</v>
      </c>
      <c r="M23" s="124">
        <f t="shared" si="17"/>
        <v>2</v>
      </c>
      <c r="N23" s="917" t="s">
        <v>47</v>
      </c>
      <c r="O23" s="123">
        <v>3</v>
      </c>
      <c r="P23" s="123">
        <v>2</v>
      </c>
      <c r="Q23" s="124">
        <f t="shared" si="18"/>
        <v>5</v>
      </c>
      <c r="R23" s="125">
        <v>1</v>
      </c>
      <c r="S23" s="593" t="s">
        <v>57</v>
      </c>
      <c r="T23" s="124">
        <f>SUM(R23:S23)</f>
        <v>1</v>
      </c>
      <c r="U23" s="125">
        <v>716</v>
      </c>
      <c r="V23" s="123">
        <v>706</v>
      </c>
      <c r="W23" s="124">
        <f t="shared" si="19"/>
        <v>1422</v>
      </c>
      <c r="X23" s="125">
        <v>93</v>
      </c>
      <c r="Y23" s="123">
        <v>96</v>
      </c>
      <c r="Z23" s="124">
        <f t="shared" si="20"/>
        <v>189</v>
      </c>
      <c r="AA23" s="123">
        <f t="shared" si="21"/>
        <v>73383</v>
      </c>
      <c r="AB23" s="123">
        <f t="shared" si="21"/>
        <v>69324</v>
      </c>
      <c r="AC23" s="124">
        <f t="shared" si="22"/>
        <v>142707</v>
      </c>
    </row>
    <row r="24" spans="1:29" ht="15" customHeight="1">
      <c r="A24" s="917" t="s">
        <v>58</v>
      </c>
      <c r="B24" s="125">
        <v>50445</v>
      </c>
      <c r="C24" s="123">
        <v>46884</v>
      </c>
      <c r="D24" s="124">
        <f t="shared" si="14"/>
        <v>97329</v>
      </c>
      <c r="E24" s="125">
        <v>7428</v>
      </c>
      <c r="F24" s="123">
        <v>6623</v>
      </c>
      <c r="G24" s="124">
        <f t="shared" si="15"/>
        <v>14051</v>
      </c>
      <c r="H24" s="125">
        <v>862</v>
      </c>
      <c r="I24" s="123">
        <v>871</v>
      </c>
      <c r="J24" s="124">
        <f t="shared" si="16"/>
        <v>1733</v>
      </c>
      <c r="K24" s="125">
        <v>48</v>
      </c>
      <c r="L24" s="123">
        <v>46</v>
      </c>
      <c r="M24" s="124">
        <f t="shared" si="17"/>
        <v>94</v>
      </c>
      <c r="N24" s="917" t="s">
        <v>58</v>
      </c>
      <c r="O24" s="123">
        <v>9</v>
      </c>
      <c r="P24" s="123">
        <v>8</v>
      </c>
      <c r="Q24" s="124">
        <f t="shared" si="18"/>
        <v>17</v>
      </c>
      <c r="R24" s="125">
        <v>165</v>
      </c>
      <c r="S24" s="123">
        <v>166</v>
      </c>
      <c r="T24" s="124">
        <f>SUM(R24:S24)</f>
        <v>331</v>
      </c>
      <c r="U24" s="125">
        <v>126</v>
      </c>
      <c r="V24" s="123">
        <v>95</v>
      </c>
      <c r="W24" s="124">
        <f t="shared" si="19"/>
        <v>221</v>
      </c>
      <c r="X24" s="125">
        <v>9</v>
      </c>
      <c r="Y24" s="123">
        <v>21</v>
      </c>
      <c r="Z24" s="124">
        <f t="shared" si="20"/>
        <v>30</v>
      </c>
      <c r="AA24" s="123">
        <f t="shared" si="21"/>
        <v>59092</v>
      </c>
      <c r="AB24" s="123">
        <f t="shared" si="21"/>
        <v>54714</v>
      </c>
      <c r="AC24" s="124">
        <f t="shared" si="22"/>
        <v>113806</v>
      </c>
    </row>
    <row r="25" spans="1:29" ht="15" customHeight="1">
      <c r="A25" s="918" t="s">
        <v>51</v>
      </c>
      <c r="B25" s="919">
        <f t="shared" ref="B25:M25" si="23">SUM(B26:B32)</f>
        <v>322905</v>
      </c>
      <c r="C25" s="920">
        <f t="shared" si="23"/>
        <v>304747</v>
      </c>
      <c r="D25" s="921">
        <f t="shared" si="23"/>
        <v>627652</v>
      </c>
      <c r="E25" s="919">
        <f t="shared" si="23"/>
        <v>36566</v>
      </c>
      <c r="F25" s="920">
        <f t="shared" si="23"/>
        <v>34045</v>
      </c>
      <c r="G25" s="921">
        <f t="shared" si="23"/>
        <v>70611</v>
      </c>
      <c r="H25" s="919">
        <f t="shared" si="23"/>
        <v>1121</v>
      </c>
      <c r="I25" s="920">
        <f t="shared" si="23"/>
        <v>1158</v>
      </c>
      <c r="J25" s="921">
        <f t="shared" si="23"/>
        <v>2279</v>
      </c>
      <c r="K25" s="919">
        <f t="shared" si="23"/>
        <v>222</v>
      </c>
      <c r="L25" s="920">
        <f t="shared" si="23"/>
        <v>211</v>
      </c>
      <c r="M25" s="921">
        <f t="shared" si="23"/>
        <v>433</v>
      </c>
      <c r="N25" s="918" t="s">
        <v>51</v>
      </c>
      <c r="O25" s="920">
        <f t="shared" ref="O25:AC25" si="24">SUM(O26:O32)</f>
        <v>50</v>
      </c>
      <c r="P25" s="920">
        <f t="shared" si="24"/>
        <v>48</v>
      </c>
      <c r="Q25" s="921">
        <f t="shared" si="24"/>
        <v>98</v>
      </c>
      <c r="R25" s="919">
        <f t="shared" si="24"/>
        <v>927</v>
      </c>
      <c r="S25" s="920">
        <f t="shared" si="24"/>
        <v>880</v>
      </c>
      <c r="T25" s="921">
        <f t="shared" si="24"/>
        <v>1807</v>
      </c>
      <c r="U25" s="919">
        <f t="shared" si="24"/>
        <v>21995</v>
      </c>
      <c r="V25" s="920">
        <f t="shared" si="24"/>
        <v>21374</v>
      </c>
      <c r="W25" s="921">
        <f t="shared" si="24"/>
        <v>43369</v>
      </c>
      <c r="X25" s="919">
        <f t="shared" si="24"/>
        <v>303</v>
      </c>
      <c r="Y25" s="920">
        <f t="shared" si="24"/>
        <v>286</v>
      </c>
      <c r="Z25" s="921">
        <f t="shared" si="24"/>
        <v>589</v>
      </c>
      <c r="AA25" s="920">
        <f t="shared" si="24"/>
        <v>384089</v>
      </c>
      <c r="AB25" s="920">
        <f t="shared" si="24"/>
        <v>362749</v>
      </c>
      <c r="AC25" s="921">
        <f t="shared" si="24"/>
        <v>746838</v>
      </c>
    </row>
    <row r="26" spans="1:29" ht="15" customHeight="1">
      <c r="A26" s="917" t="s">
        <v>36</v>
      </c>
      <c r="B26" s="125">
        <v>84261</v>
      </c>
      <c r="C26" s="123">
        <v>81117</v>
      </c>
      <c r="D26" s="124">
        <f t="shared" ref="D26:D32" si="25">SUM(B26:C26)</f>
        <v>165378</v>
      </c>
      <c r="E26" s="125">
        <v>4771</v>
      </c>
      <c r="F26" s="123">
        <v>4487</v>
      </c>
      <c r="G26" s="124">
        <f t="shared" ref="G26:G32" si="26">SUM(E26:F26)</f>
        <v>9258</v>
      </c>
      <c r="H26" s="125">
        <v>537</v>
      </c>
      <c r="I26" s="123">
        <v>600</v>
      </c>
      <c r="J26" s="124">
        <f t="shared" ref="J26:J32" si="27">SUM(H26:I26)</f>
        <v>1137</v>
      </c>
      <c r="K26" s="125">
        <v>21</v>
      </c>
      <c r="L26" s="123">
        <v>16</v>
      </c>
      <c r="M26" s="124">
        <f t="shared" ref="M26:M32" si="28">SUM(K26:L26)</f>
        <v>37</v>
      </c>
      <c r="N26" s="917" t="s">
        <v>36</v>
      </c>
      <c r="O26" s="123">
        <v>13</v>
      </c>
      <c r="P26" s="123">
        <v>12</v>
      </c>
      <c r="Q26" s="124">
        <f t="shared" ref="Q26:Q32" si="29">SUM(O26:P26)</f>
        <v>25</v>
      </c>
      <c r="R26" s="125">
        <v>116</v>
      </c>
      <c r="S26" s="123">
        <v>105</v>
      </c>
      <c r="T26" s="124">
        <f t="shared" ref="T26:T31" si="30">SUM(R26:S26)</f>
        <v>221</v>
      </c>
      <c r="U26" s="125">
        <v>5451</v>
      </c>
      <c r="V26" s="123">
        <v>5369</v>
      </c>
      <c r="W26" s="124">
        <f t="shared" ref="W26:W32" si="31">SUM(U26:V26)</f>
        <v>10820</v>
      </c>
      <c r="X26" s="125">
        <v>85</v>
      </c>
      <c r="Y26" s="123">
        <v>77</v>
      </c>
      <c r="Z26" s="124">
        <f t="shared" ref="Z26:Z32" si="32">SUM(X26:Y26)</f>
        <v>162</v>
      </c>
      <c r="AA26" s="123">
        <f t="shared" ref="AA26:AB32" si="33">SUM(B26,E26,H26,K26,O26,R26,U26,X26)</f>
        <v>95255</v>
      </c>
      <c r="AB26" s="123">
        <f t="shared" si="33"/>
        <v>91783</v>
      </c>
      <c r="AC26" s="124">
        <f t="shared" ref="AC26:AC32" si="34">SUM(AA26:AB26)</f>
        <v>187038</v>
      </c>
    </row>
    <row r="27" spans="1:29" ht="15" customHeight="1">
      <c r="A27" s="917" t="s">
        <v>37</v>
      </c>
      <c r="B27" s="125">
        <v>38916</v>
      </c>
      <c r="C27" s="123">
        <v>35909</v>
      </c>
      <c r="D27" s="124">
        <f t="shared" si="25"/>
        <v>74825</v>
      </c>
      <c r="E27" s="125">
        <v>3949</v>
      </c>
      <c r="F27" s="123">
        <v>3703</v>
      </c>
      <c r="G27" s="124">
        <f t="shared" si="26"/>
        <v>7652</v>
      </c>
      <c r="H27" s="125">
        <v>55</v>
      </c>
      <c r="I27" s="123">
        <v>56</v>
      </c>
      <c r="J27" s="124">
        <f t="shared" si="27"/>
        <v>111</v>
      </c>
      <c r="K27" s="125">
        <v>96</v>
      </c>
      <c r="L27" s="123">
        <v>97</v>
      </c>
      <c r="M27" s="124">
        <f t="shared" si="28"/>
        <v>193</v>
      </c>
      <c r="N27" s="917" t="s">
        <v>37</v>
      </c>
      <c r="O27" s="593" t="s">
        <v>57</v>
      </c>
      <c r="P27" s="123">
        <v>1</v>
      </c>
      <c r="Q27" s="124">
        <f t="shared" si="29"/>
        <v>1</v>
      </c>
      <c r="R27" s="592" t="s">
        <v>57</v>
      </c>
      <c r="S27" s="593" t="s">
        <v>57</v>
      </c>
      <c r="T27" s="594" t="s">
        <v>57</v>
      </c>
      <c r="U27" s="125">
        <v>3894</v>
      </c>
      <c r="V27" s="123">
        <v>3846</v>
      </c>
      <c r="W27" s="124">
        <f t="shared" si="31"/>
        <v>7740</v>
      </c>
      <c r="X27" s="125">
        <v>60</v>
      </c>
      <c r="Y27" s="123">
        <v>67</v>
      </c>
      <c r="Z27" s="124">
        <f t="shared" si="32"/>
        <v>127</v>
      </c>
      <c r="AA27" s="123">
        <f t="shared" si="33"/>
        <v>46970</v>
      </c>
      <c r="AB27" s="123">
        <f t="shared" si="33"/>
        <v>43679</v>
      </c>
      <c r="AC27" s="124">
        <f t="shared" si="34"/>
        <v>90649</v>
      </c>
    </row>
    <row r="28" spans="1:29" ht="15" customHeight="1">
      <c r="A28" s="917" t="s">
        <v>38</v>
      </c>
      <c r="B28" s="125">
        <v>73221</v>
      </c>
      <c r="C28" s="123">
        <v>68494</v>
      </c>
      <c r="D28" s="124">
        <f t="shared" si="25"/>
        <v>141715</v>
      </c>
      <c r="E28" s="125">
        <v>14655</v>
      </c>
      <c r="F28" s="123">
        <v>13459</v>
      </c>
      <c r="G28" s="124">
        <f t="shared" si="26"/>
        <v>28114</v>
      </c>
      <c r="H28" s="125">
        <v>87</v>
      </c>
      <c r="I28" s="123">
        <v>71</v>
      </c>
      <c r="J28" s="124">
        <f t="shared" si="27"/>
        <v>158</v>
      </c>
      <c r="K28" s="125">
        <v>30</v>
      </c>
      <c r="L28" s="123">
        <v>24</v>
      </c>
      <c r="M28" s="124">
        <f t="shared" si="28"/>
        <v>54</v>
      </c>
      <c r="N28" s="917" t="s">
        <v>38</v>
      </c>
      <c r="O28" s="123">
        <v>6</v>
      </c>
      <c r="P28" s="123">
        <v>2</v>
      </c>
      <c r="Q28" s="124">
        <f t="shared" si="29"/>
        <v>8</v>
      </c>
      <c r="R28" s="125">
        <v>445</v>
      </c>
      <c r="S28" s="123">
        <v>437</v>
      </c>
      <c r="T28" s="124">
        <f t="shared" si="30"/>
        <v>882</v>
      </c>
      <c r="U28" s="125">
        <v>1808</v>
      </c>
      <c r="V28" s="123">
        <v>1804</v>
      </c>
      <c r="W28" s="124">
        <f t="shared" si="31"/>
        <v>3612</v>
      </c>
      <c r="X28" s="125">
        <v>39</v>
      </c>
      <c r="Y28" s="123">
        <v>38</v>
      </c>
      <c r="Z28" s="124">
        <f t="shared" si="32"/>
        <v>77</v>
      </c>
      <c r="AA28" s="123">
        <f t="shared" si="33"/>
        <v>90291</v>
      </c>
      <c r="AB28" s="123">
        <f t="shared" si="33"/>
        <v>84329</v>
      </c>
      <c r="AC28" s="124">
        <f t="shared" si="34"/>
        <v>174620</v>
      </c>
    </row>
    <row r="29" spans="1:29" ht="15" customHeight="1">
      <c r="A29" s="917" t="s">
        <v>40</v>
      </c>
      <c r="B29" s="125">
        <v>46515</v>
      </c>
      <c r="C29" s="123">
        <v>43749</v>
      </c>
      <c r="D29" s="124">
        <f t="shared" si="25"/>
        <v>90264</v>
      </c>
      <c r="E29" s="125">
        <v>4740</v>
      </c>
      <c r="F29" s="123">
        <v>4498</v>
      </c>
      <c r="G29" s="124">
        <f t="shared" si="26"/>
        <v>9238</v>
      </c>
      <c r="H29" s="125">
        <v>302</v>
      </c>
      <c r="I29" s="123">
        <v>289</v>
      </c>
      <c r="J29" s="124">
        <f t="shared" si="27"/>
        <v>591</v>
      </c>
      <c r="K29" s="125">
        <v>41</v>
      </c>
      <c r="L29" s="123">
        <v>38</v>
      </c>
      <c r="M29" s="124">
        <f t="shared" si="28"/>
        <v>79</v>
      </c>
      <c r="N29" s="917" t="s">
        <v>40</v>
      </c>
      <c r="O29" s="123">
        <v>12</v>
      </c>
      <c r="P29" s="123">
        <v>13</v>
      </c>
      <c r="Q29" s="124">
        <f t="shared" si="29"/>
        <v>25</v>
      </c>
      <c r="R29" s="125">
        <v>96</v>
      </c>
      <c r="S29" s="123">
        <v>82</v>
      </c>
      <c r="T29" s="124">
        <f t="shared" si="30"/>
        <v>178</v>
      </c>
      <c r="U29" s="125">
        <v>1685</v>
      </c>
      <c r="V29" s="123">
        <v>1632</v>
      </c>
      <c r="W29" s="124">
        <f t="shared" si="31"/>
        <v>3317</v>
      </c>
      <c r="X29" s="125">
        <v>54</v>
      </c>
      <c r="Y29" s="123">
        <v>40</v>
      </c>
      <c r="Z29" s="124">
        <f t="shared" si="32"/>
        <v>94</v>
      </c>
      <c r="AA29" s="123">
        <f t="shared" si="33"/>
        <v>53445</v>
      </c>
      <c r="AB29" s="123">
        <f t="shared" si="33"/>
        <v>50341</v>
      </c>
      <c r="AC29" s="124">
        <f t="shared" si="34"/>
        <v>103786</v>
      </c>
    </row>
    <row r="30" spans="1:29" ht="15" customHeight="1">
      <c r="A30" s="917" t="s">
        <v>52</v>
      </c>
      <c r="B30" s="125">
        <v>45411</v>
      </c>
      <c r="C30" s="123">
        <v>43061</v>
      </c>
      <c r="D30" s="124">
        <f t="shared" si="25"/>
        <v>88472</v>
      </c>
      <c r="E30" s="125">
        <v>5045</v>
      </c>
      <c r="F30" s="123">
        <v>4811</v>
      </c>
      <c r="G30" s="124">
        <f t="shared" si="26"/>
        <v>9856</v>
      </c>
      <c r="H30" s="125">
        <v>7</v>
      </c>
      <c r="I30" s="123">
        <v>11</v>
      </c>
      <c r="J30" s="124">
        <f t="shared" si="27"/>
        <v>18</v>
      </c>
      <c r="K30" s="125">
        <v>23</v>
      </c>
      <c r="L30" s="123">
        <v>17</v>
      </c>
      <c r="M30" s="124">
        <f t="shared" si="28"/>
        <v>40</v>
      </c>
      <c r="N30" s="917" t="s">
        <v>52</v>
      </c>
      <c r="O30" s="123">
        <v>11</v>
      </c>
      <c r="P30" s="123">
        <v>6</v>
      </c>
      <c r="Q30" s="124">
        <f t="shared" si="29"/>
        <v>17</v>
      </c>
      <c r="R30" s="125">
        <v>261</v>
      </c>
      <c r="S30" s="123">
        <v>250</v>
      </c>
      <c r="T30" s="124">
        <f t="shared" si="30"/>
        <v>511</v>
      </c>
      <c r="U30" s="125">
        <v>137</v>
      </c>
      <c r="V30" s="123">
        <v>113</v>
      </c>
      <c r="W30" s="124">
        <f t="shared" si="31"/>
        <v>250</v>
      </c>
      <c r="X30" s="125">
        <v>30</v>
      </c>
      <c r="Y30" s="123">
        <v>32</v>
      </c>
      <c r="Z30" s="124">
        <f t="shared" si="32"/>
        <v>62</v>
      </c>
      <c r="AA30" s="123">
        <f t="shared" si="33"/>
        <v>50925</v>
      </c>
      <c r="AB30" s="123">
        <f t="shared" si="33"/>
        <v>48301</v>
      </c>
      <c r="AC30" s="124">
        <f t="shared" si="34"/>
        <v>99226</v>
      </c>
    </row>
    <row r="31" spans="1:29" ht="15" customHeight="1">
      <c r="A31" s="917" t="s">
        <v>41</v>
      </c>
      <c r="B31" s="125">
        <v>10592</v>
      </c>
      <c r="C31" s="123">
        <v>9867</v>
      </c>
      <c r="D31" s="124">
        <f t="shared" si="25"/>
        <v>20459</v>
      </c>
      <c r="E31" s="125">
        <v>752</v>
      </c>
      <c r="F31" s="123">
        <v>635</v>
      </c>
      <c r="G31" s="124">
        <f t="shared" si="26"/>
        <v>1387</v>
      </c>
      <c r="H31" s="125">
        <v>15</v>
      </c>
      <c r="I31" s="123">
        <v>16</v>
      </c>
      <c r="J31" s="124">
        <f t="shared" si="27"/>
        <v>31</v>
      </c>
      <c r="K31" s="125">
        <v>3</v>
      </c>
      <c r="L31" s="123">
        <v>2</v>
      </c>
      <c r="M31" s="124">
        <f t="shared" si="28"/>
        <v>5</v>
      </c>
      <c r="N31" s="917" t="s">
        <v>41</v>
      </c>
      <c r="O31" s="593" t="s">
        <v>57</v>
      </c>
      <c r="P31" s="593" t="s">
        <v>57</v>
      </c>
      <c r="Q31" s="594" t="s">
        <v>57</v>
      </c>
      <c r="R31" s="125">
        <v>9</v>
      </c>
      <c r="S31" s="123">
        <v>6</v>
      </c>
      <c r="T31" s="124">
        <f t="shared" si="30"/>
        <v>15</v>
      </c>
      <c r="U31" s="125">
        <v>2</v>
      </c>
      <c r="V31" s="123">
        <v>2</v>
      </c>
      <c r="W31" s="124">
        <f t="shared" si="31"/>
        <v>4</v>
      </c>
      <c r="X31" s="125">
        <v>16</v>
      </c>
      <c r="Y31" s="123">
        <v>15</v>
      </c>
      <c r="Z31" s="124">
        <f t="shared" si="32"/>
        <v>31</v>
      </c>
      <c r="AA31" s="123">
        <f t="shared" si="33"/>
        <v>11389</v>
      </c>
      <c r="AB31" s="123">
        <f t="shared" si="33"/>
        <v>10543</v>
      </c>
      <c r="AC31" s="124">
        <f t="shared" si="34"/>
        <v>21932</v>
      </c>
    </row>
    <row r="32" spans="1:29" ht="15" customHeight="1">
      <c r="A32" s="922" t="s">
        <v>39</v>
      </c>
      <c r="B32" s="587">
        <v>23989</v>
      </c>
      <c r="C32" s="129">
        <v>22550</v>
      </c>
      <c r="D32" s="127">
        <f t="shared" si="25"/>
        <v>46539</v>
      </c>
      <c r="E32" s="587">
        <v>2654</v>
      </c>
      <c r="F32" s="129">
        <v>2452</v>
      </c>
      <c r="G32" s="127">
        <f t="shared" si="26"/>
        <v>5106</v>
      </c>
      <c r="H32" s="587">
        <v>118</v>
      </c>
      <c r="I32" s="129">
        <v>115</v>
      </c>
      <c r="J32" s="127">
        <f t="shared" si="27"/>
        <v>233</v>
      </c>
      <c r="K32" s="587">
        <v>8</v>
      </c>
      <c r="L32" s="129">
        <v>17</v>
      </c>
      <c r="M32" s="127">
        <f t="shared" si="28"/>
        <v>25</v>
      </c>
      <c r="N32" s="922" t="s">
        <v>39</v>
      </c>
      <c r="O32" s="129">
        <v>8</v>
      </c>
      <c r="P32" s="129">
        <v>14</v>
      </c>
      <c r="Q32" s="127">
        <f t="shared" si="29"/>
        <v>22</v>
      </c>
      <c r="R32" s="596" t="s">
        <v>57</v>
      </c>
      <c r="S32" s="597" t="s">
        <v>57</v>
      </c>
      <c r="T32" s="598" t="s">
        <v>57</v>
      </c>
      <c r="U32" s="587">
        <v>9018</v>
      </c>
      <c r="V32" s="129">
        <v>8608</v>
      </c>
      <c r="W32" s="127">
        <f t="shared" si="31"/>
        <v>17626</v>
      </c>
      <c r="X32" s="587">
        <v>19</v>
      </c>
      <c r="Y32" s="129">
        <v>17</v>
      </c>
      <c r="Z32" s="127">
        <f t="shared" si="32"/>
        <v>36</v>
      </c>
      <c r="AA32" s="129">
        <f t="shared" si="33"/>
        <v>35814</v>
      </c>
      <c r="AB32" s="129">
        <f t="shared" si="33"/>
        <v>33773</v>
      </c>
      <c r="AC32" s="127">
        <f t="shared" si="34"/>
        <v>69587</v>
      </c>
    </row>
    <row r="33" spans="1:29" ht="15" customHeight="1">
      <c r="A33" s="102" t="s">
        <v>302</v>
      </c>
      <c r="B33" s="923">
        <f t="shared" ref="B33:M33" si="35">SUM(B7,B16,B25)</f>
        <v>1083386</v>
      </c>
      <c r="C33" s="30">
        <f t="shared" si="35"/>
        <v>1032651</v>
      </c>
      <c r="D33" s="924">
        <f t="shared" si="35"/>
        <v>2116037</v>
      </c>
      <c r="E33" s="923">
        <f t="shared" si="35"/>
        <v>93387</v>
      </c>
      <c r="F33" s="30">
        <f t="shared" si="35"/>
        <v>87307</v>
      </c>
      <c r="G33" s="924">
        <f t="shared" si="35"/>
        <v>180694</v>
      </c>
      <c r="H33" s="923">
        <f t="shared" si="35"/>
        <v>3516</v>
      </c>
      <c r="I33" s="30">
        <f t="shared" si="35"/>
        <v>3492</v>
      </c>
      <c r="J33" s="924">
        <f t="shared" si="35"/>
        <v>7008</v>
      </c>
      <c r="K33" s="923">
        <f t="shared" si="35"/>
        <v>322</v>
      </c>
      <c r="L33" s="30">
        <f t="shared" si="35"/>
        <v>282</v>
      </c>
      <c r="M33" s="924">
        <f t="shared" si="35"/>
        <v>604</v>
      </c>
      <c r="N33" s="102" t="s">
        <v>302</v>
      </c>
      <c r="O33" s="30">
        <f t="shared" ref="O33:AC33" si="36">SUM(O7,O16,O25)</f>
        <v>105</v>
      </c>
      <c r="P33" s="30">
        <f t="shared" si="36"/>
        <v>80</v>
      </c>
      <c r="Q33" s="924">
        <f t="shared" si="36"/>
        <v>185</v>
      </c>
      <c r="R33" s="923">
        <f t="shared" si="36"/>
        <v>1148</v>
      </c>
      <c r="S33" s="30">
        <f t="shared" si="36"/>
        <v>1073</v>
      </c>
      <c r="T33" s="924">
        <f t="shared" si="36"/>
        <v>2221</v>
      </c>
      <c r="U33" s="923">
        <f t="shared" si="36"/>
        <v>114739</v>
      </c>
      <c r="V33" s="30">
        <f t="shared" si="36"/>
        <v>112173</v>
      </c>
      <c r="W33" s="924">
        <f t="shared" si="36"/>
        <v>226912</v>
      </c>
      <c r="X33" s="923">
        <f t="shared" si="36"/>
        <v>1475</v>
      </c>
      <c r="Y33" s="30">
        <f t="shared" si="36"/>
        <v>1380</v>
      </c>
      <c r="Z33" s="924">
        <f t="shared" si="36"/>
        <v>2855</v>
      </c>
      <c r="AA33" s="30">
        <f t="shared" si="36"/>
        <v>1298078</v>
      </c>
      <c r="AB33" s="30">
        <f t="shared" si="36"/>
        <v>1238438</v>
      </c>
      <c r="AC33" s="924">
        <f t="shared" si="36"/>
        <v>2536516</v>
      </c>
    </row>
    <row r="34" spans="1:29">
      <c r="M34" s="545" t="s">
        <v>1246</v>
      </c>
      <c r="AC34" s="539" t="s">
        <v>1164</v>
      </c>
    </row>
    <row r="42" spans="1:29" ht="15" customHeight="1"/>
  </sheetData>
  <mergeCells count="14">
    <mergeCell ref="A1:M1"/>
    <mergeCell ref="A2:M2"/>
    <mergeCell ref="A4:A5"/>
    <mergeCell ref="B4:D4"/>
    <mergeCell ref="E4:G4"/>
    <mergeCell ref="H4:J4"/>
    <mergeCell ref="K4:M4"/>
    <mergeCell ref="O4:Q4"/>
    <mergeCell ref="N4:N5"/>
    <mergeCell ref="R4:T4"/>
    <mergeCell ref="N2:AC2"/>
    <mergeCell ref="U4:W4"/>
    <mergeCell ref="X4:Z4"/>
    <mergeCell ref="AA4:AC4"/>
  </mergeCells>
  <phoneticPr fontId="0" type="noConversion"/>
  <printOptions horizontalCentered="1"/>
  <pageMargins left="0.2" right="0.2" top="0.5" bottom="0.5" header="0.5" footer="0.5"/>
  <pageSetup paperSize="9" orientation="landscape" blackAndWhite="1" r:id="rId1"/>
  <headerFooter alignWithMargins="0"/>
  <colBreaks count="1" manualBreakCount="1">
    <brk id="13" max="1048575" man="1"/>
  </colBreaks>
</worksheet>
</file>

<file path=xl/worksheets/sheet21.xml><?xml version="1.0" encoding="utf-8"?>
<worksheet xmlns="http://schemas.openxmlformats.org/spreadsheetml/2006/main" xmlns:r="http://schemas.openxmlformats.org/officeDocument/2006/relationships">
  <sheetPr codeName="Sheet20"/>
  <dimension ref="A1:J20"/>
  <sheetViews>
    <sheetView workbookViewId="0">
      <selection activeCell="F14" sqref="F14"/>
    </sheetView>
  </sheetViews>
  <sheetFormatPr defaultRowHeight="12.75"/>
  <cols>
    <col min="1" max="1" width="20.5703125" style="723" customWidth="1"/>
    <col min="2" max="10" width="12" style="723" customWidth="1"/>
    <col min="11" max="16384" width="9.140625" style="723"/>
  </cols>
  <sheetData>
    <row r="1" spans="1:10" ht="13.5" customHeight="1">
      <c r="A1" s="1399" t="s">
        <v>642</v>
      </c>
      <c r="B1" s="1399"/>
      <c r="C1" s="1399"/>
      <c r="D1" s="1399"/>
      <c r="E1" s="1399"/>
      <c r="F1" s="1399"/>
      <c r="G1" s="1399"/>
      <c r="H1" s="1399"/>
      <c r="I1" s="1399"/>
      <c r="J1" s="1399"/>
    </row>
    <row r="2" spans="1:10" ht="18.75" customHeight="1">
      <c r="A2" s="1413" t="str">
        <f>CONCATENATE("Disabled Persons by  type of disability and by sex in the district of ",District!$A$1,", 2011")</f>
        <v>Disabled Persons by  type of disability and by sex in the district of Purulia, 2011</v>
      </c>
      <c r="B2" s="1413"/>
      <c r="C2" s="1413"/>
      <c r="D2" s="1413"/>
      <c r="E2" s="1413"/>
      <c r="F2" s="1413"/>
      <c r="G2" s="1413"/>
      <c r="H2" s="1413"/>
      <c r="I2" s="1413"/>
      <c r="J2" s="1413"/>
    </row>
    <row r="3" spans="1:10" ht="16.5" customHeight="1">
      <c r="A3" s="753"/>
      <c r="B3" s="753"/>
      <c r="C3" s="753"/>
      <c r="D3" s="753"/>
      <c r="E3" s="753"/>
      <c r="F3" s="753"/>
      <c r="G3" s="753"/>
      <c r="H3" s="753"/>
      <c r="I3" s="753"/>
      <c r="J3" s="905" t="s">
        <v>1058</v>
      </c>
    </row>
    <row r="4" spans="1:10" ht="18" customHeight="1">
      <c r="A4" s="1408" t="s">
        <v>1165</v>
      </c>
      <c r="B4" s="1469" t="s">
        <v>411</v>
      </c>
      <c r="C4" s="1469"/>
      <c r="D4" s="1470"/>
      <c r="E4" s="1468" t="s">
        <v>412</v>
      </c>
      <c r="F4" s="1469"/>
      <c r="G4" s="1470"/>
      <c r="H4" s="1468" t="s">
        <v>1120</v>
      </c>
      <c r="I4" s="1469"/>
      <c r="J4" s="1470"/>
    </row>
    <row r="5" spans="1:10" ht="18" customHeight="1">
      <c r="A5" s="1409"/>
      <c r="B5" s="123" t="s">
        <v>1070</v>
      </c>
      <c r="C5" s="123" t="s">
        <v>1071</v>
      </c>
      <c r="D5" s="124" t="s">
        <v>1035</v>
      </c>
      <c r="E5" s="125" t="s">
        <v>1070</v>
      </c>
      <c r="F5" s="123" t="s">
        <v>1071</v>
      </c>
      <c r="G5" s="124" t="s">
        <v>1035</v>
      </c>
      <c r="H5" s="125" t="s">
        <v>1070</v>
      </c>
      <c r="I5" s="123" t="s">
        <v>1071</v>
      </c>
      <c r="J5" s="124" t="s">
        <v>1035</v>
      </c>
    </row>
    <row r="6" spans="1:10" ht="18" customHeight="1">
      <c r="A6" s="641" t="s">
        <v>1008</v>
      </c>
      <c r="B6" s="790" t="s">
        <v>1009</v>
      </c>
      <c r="C6" s="790" t="s">
        <v>1010</v>
      </c>
      <c r="D6" s="742" t="s">
        <v>1011</v>
      </c>
      <c r="E6" s="741" t="s">
        <v>1015</v>
      </c>
      <c r="F6" s="790" t="s">
        <v>1016</v>
      </c>
      <c r="G6" s="742" t="s">
        <v>1017</v>
      </c>
      <c r="H6" s="741" t="s">
        <v>1039</v>
      </c>
      <c r="I6" s="790" t="s">
        <v>1040</v>
      </c>
      <c r="J6" s="742" t="s">
        <v>1041</v>
      </c>
    </row>
    <row r="7" spans="1:10" ht="36.75" customHeight="1">
      <c r="A7" s="1351" t="s">
        <v>1677</v>
      </c>
      <c r="B7" s="805">
        <v>5686</v>
      </c>
      <c r="C7" s="805">
        <v>5153</v>
      </c>
      <c r="D7" s="124">
        <f>B7+C7</f>
        <v>10839</v>
      </c>
      <c r="E7" s="801">
        <v>715</v>
      </c>
      <c r="F7" s="805">
        <v>619</v>
      </c>
      <c r="G7" s="124">
        <f>E7+F7</f>
        <v>1334</v>
      </c>
      <c r="H7" s="776">
        <f t="shared" ref="H7:I10" si="0">B7+E7</f>
        <v>6401</v>
      </c>
      <c r="I7" s="795">
        <f t="shared" si="0"/>
        <v>5772</v>
      </c>
      <c r="J7" s="124">
        <f>H7+I7</f>
        <v>12173</v>
      </c>
    </row>
    <row r="8" spans="1:10" ht="36.75" customHeight="1">
      <c r="A8" s="1351" t="s">
        <v>1678</v>
      </c>
      <c r="B8" s="805">
        <v>2131</v>
      </c>
      <c r="C8" s="805">
        <v>1578</v>
      </c>
      <c r="D8" s="124">
        <f>B8+C8</f>
        <v>3709</v>
      </c>
      <c r="E8" s="801">
        <v>328</v>
      </c>
      <c r="F8" s="805">
        <v>242</v>
      </c>
      <c r="G8" s="124">
        <f>E8+F8</f>
        <v>570</v>
      </c>
      <c r="H8" s="776">
        <f t="shared" si="0"/>
        <v>2459</v>
      </c>
      <c r="I8" s="795">
        <f t="shared" si="0"/>
        <v>1820</v>
      </c>
      <c r="J8" s="124">
        <f>H8+I8</f>
        <v>4279</v>
      </c>
    </row>
    <row r="9" spans="1:10" ht="36.75" customHeight="1">
      <c r="A9" s="1351" t="s">
        <v>1679</v>
      </c>
      <c r="B9" s="805">
        <v>5287</v>
      </c>
      <c r="C9" s="805">
        <v>4702</v>
      </c>
      <c r="D9" s="124">
        <f>B9+C9</f>
        <v>9989</v>
      </c>
      <c r="E9" s="801">
        <v>804</v>
      </c>
      <c r="F9" s="805">
        <v>847</v>
      </c>
      <c r="G9" s="124">
        <f>E9+F9</f>
        <v>1651</v>
      </c>
      <c r="H9" s="776">
        <f t="shared" si="0"/>
        <v>6091</v>
      </c>
      <c r="I9" s="795">
        <f t="shared" si="0"/>
        <v>5549</v>
      </c>
      <c r="J9" s="124">
        <f>H9+I9</f>
        <v>11640</v>
      </c>
    </row>
    <row r="10" spans="1:10" ht="36.75" customHeight="1">
      <c r="A10" s="1351" t="s">
        <v>1680</v>
      </c>
      <c r="B10" s="805">
        <v>5925</v>
      </c>
      <c r="C10" s="805">
        <v>3740</v>
      </c>
      <c r="D10" s="124">
        <f>B10+C10</f>
        <v>9665</v>
      </c>
      <c r="E10" s="801">
        <v>662</v>
      </c>
      <c r="F10" s="805">
        <v>360</v>
      </c>
      <c r="G10" s="124">
        <f>E10+F10</f>
        <v>1022</v>
      </c>
      <c r="H10" s="776">
        <f t="shared" si="0"/>
        <v>6587</v>
      </c>
      <c r="I10" s="795">
        <f t="shared" si="0"/>
        <v>4100</v>
      </c>
      <c r="J10" s="124">
        <f>H10+I10</f>
        <v>10687</v>
      </c>
    </row>
    <row r="11" spans="1:10" ht="36.75" customHeight="1">
      <c r="A11" s="126" t="s">
        <v>540</v>
      </c>
      <c r="B11" s="805">
        <v>1028</v>
      </c>
      <c r="C11" s="805">
        <v>831</v>
      </c>
      <c r="D11" s="124">
        <f>B11+C11</f>
        <v>1859</v>
      </c>
      <c r="E11" s="801">
        <v>160</v>
      </c>
      <c r="F11" s="805">
        <v>116</v>
      </c>
      <c r="G11" s="124">
        <f>E11+F11</f>
        <v>276</v>
      </c>
      <c r="H11" s="776">
        <f>B11+E11</f>
        <v>1188</v>
      </c>
      <c r="I11" s="795">
        <f>C11+F11</f>
        <v>947</v>
      </c>
      <c r="J11" s="124">
        <f>H11+I11</f>
        <v>2135</v>
      </c>
    </row>
    <row r="12" spans="1:10" ht="36.75" customHeight="1">
      <c r="A12" s="126" t="s">
        <v>541</v>
      </c>
      <c r="B12" s="805">
        <v>1459</v>
      </c>
      <c r="C12" s="805">
        <v>1137</v>
      </c>
      <c r="D12" s="124">
        <f>SUM(B12:C12)</f>
        <v>2596</v>
      </c>
      <c r="E12" s="801">
        <v>220</v>
      </c>
      <c r="F12" s="805">
        <v>157</v>
      </c>
      <c r="G12" s="123">
        <f>SUM(E12:F12)</f>
        <v>377</v>
      </c>
      <c r="H12" s="776">
        <f t="shared" ref="H12:I14" si="1">SUM(B12,E12)</f>
        <v>1679</v>
      </c>
      <c r="I12" s="795">
        <f t="shared" si="1"/>
        <v>1294</v>
      </c>
      <c r="J12" s="124">
        <f>SUM(H12:I12)</f>
        <v>2973</v>
      </c>
    </row>
    <row r="13" spans="1:10" ht="36.75" customHeight="1">
      <c r="A13" s="126" t="s">
        <v>542</v>
      </c>
      <c r="B13" s="805">
        <v>5428</v>
      </c>
      <c r="C13" s="805">
        <v>4296</v>
      </c>
      <c r="D13" s="124">
        <f>SUM(B13:C13)</f>
        <v>9724</v>
      </c>
      <c r="E13" s="805">
        <v>816</v>
      </c>
      <c r="F13" s="805">
        <v>668</v>
      </c>
      <c r="G13" s="124">
        <f>SUM(E13:F13)</f>
        <v>1484</v>
      </c>
      <c r="H13" s="795">
        <f t="shared" si="1"/>
        <v>6244</v>
      </c>
      <c r="I13" s="795">
        <f t="shared" si="1"/>
        <v>4964</v>
      </c>
      <c r="J13" s="124">
        <f>SUM(H13:I13)</f>
        <v>11208</v>
      </c>
    </row>
    <row r="14" spans="1:10" ht="36.75" customHeight="1">
      <c r="A14" s="784" t="s">
        <v>543</v>
      </c>
      <c r="B14" s="803">
        <v>3330</v>
      </c>
      <c r="C14" s="803">
        <v>2735</v>
      </c>
      <c r="D14" s="807">
        <f>SUM(B14:C14)</f>
        <v>6065</v>
      </c>
      <c r="E14" s="803">
        <v>357</v>
      </c>
      <c r="F14" s="803">
        <v>271</v>
      </c>
      <c r="G14" s="807">
        <f>SUM(E14:F14)</f>
        <v>628</v>
      </c>
      <c r="H14" s="803">
        <f t="shared" si="1"/>
        <v>3687</v>
      </c>
      <c r="I14" s="803">
        <f t="shared" si="1"/>
        <v>3006</v>
      </c>
      <c r="J14" s="807">
        <f>SUM(H14:I14)</f>
        <v>6693</v>
      </c>
    </row>
    <row r="15" spans="1:10" ht="30" customHeight="1">
      <c r="A15" s="925" t="s">
        <v>1120</v>
      </c>
      <c r="B15" s="498">
        <f t="shared" ref="B15:J15" si="2">SUM(B7:B14)</f>
        <v>30274</v>
      </c>
      <c r="C15" s="498">
        <f t="shared" si="2"/>
        <v>24172</v>
      </c>
      <c r="D15" s="499">
        <f t="shared" si="2"/>
        <v>54446</v>
      </c>
      <c r="E15" s="498">
        <f t="shared" si="2"/>
        <v>4062</v>
      </c>
      <c r="F15" s="498">
        <f t="shared" si="2"/>
        <v>3280</v>
      </c>
      <c r="G15" s="499">
        <f t="shared" si="2"/>
        <v>7342</v>
      </c>
      <c r="H15" s="498">
        <f t="shared" si="2"/>
        <v>34336</v>
      </c>
      <c r="I15" s="498">
        <f t="shared" si="2"/>
        <v>27452</v>
      </c>
      <c r="J15" s="499">
        <f t="shared" si="2"/>
        <v>61788</v>
      </c>
    </row>
    <row r="16" spans="1:10">
      <c r="A16" s="838"/>
      <c r="B16" s="753"/>
      <c r="C16" s="753"/>
      <c r="D16" s="753"/>
      <c r="E16" s="753"/>
      <c r="F16" s="753"/>
      <c r="G16" s="1517" t="s">
        <v>931</v>
      </c>
      <c r="H16" s="1517"/>
      <c r="I16" s="1517"/>
      <c r="J16" s="1517"/>
    </row>
    <row r="17" spans="1:10">
      <c r="A17" s="753"/>
      <c r="B17" s="753"/>
      <c r="C17" s="753"/>
      <c r="D17" s="753"/>
      <c r="E17" s="753"/>
      <c r="F17" s="753"/>
      <c r="G17" s="753"/>
      <c r="H17" s="753"/>
      <c r="I17" s="753"/>
      <c r="J17" s="753"/>
    </row>
    <row r="18" spans="1:10">
      <c r="A18" s="753"/>
      <c r="B18" s="753"/>
      <c r="C18" s="753"/>
      <c r="D18" s="753"/>
      <c r="E18" s="753"/>
      <c r="F18" s="753"/>
      <c r="G18" s="753"/>
      <c r="H18" s="753"/>
      <c r="I18" s="753"/>
      <c r="J18" s="753"/>
    </row>
    <row r="19" spans="1:10">
      <c r="A19" s="753"/>
      <c r="B19" s="753"/>
      <c r="C19" s="753"/>
      <c r="D19" s="753"/>
      <c r="E19" s="753"/>
      <c r="F19" s="753"/>
      <c r="G19" s="753"/>
      <c r="H19" s="753"/>
      <c r="I19" s="753"/>
      <c r="J19" s="753"/>
    </row>
    <row r="20" spans="1:10">
      <c r="A20" s="753"/>
      <c r="B20" s="753"/>
      <c r="C20" s="753"/>
      <c r="D20" s="753"/>
      <c r="E20" s="753"/>
      <c r="F20" s="753"/>
      <c r="G20" s="753"/>
      <c r="H20" s="753"/>
      <c r="I20" s="753"/>
      <c r="J20" s="753"/>
    </row>
  </sheetData>
  <mergeCells count="7">
    <mergeCell ref="A1:J1"/>
    <mergeCell ref="G16:J16"/>
    <mergeCell ref="A2:J2"/>
    <mergeCell ref="A4:A5"/>
    <mergeCell ref="B4:D4"/>
    <mergeCell ref="E4:G4"/>
    <mergeCell ref="H4:J4"/>
  </mergeCells>
  <phoneticPr fontId="0" type="noConversion"/>
  <printOptions horizontalCentered="1"/>
  <pageMargins left="0.1" right="0.1" top="0.98" bottom="0.1" header="1.04" footer="0.1"/>
  <pageSetup paperSize="9" orientation="landscape" blackAndWhite="1" r:id="rId1"/>
  <headerFooter alignWithMargins="0"/>
</worksheet>
</file>

<file path=xl/worksheets/sheet22.xml><?xml version="1.0" encoding="utf-8"?>
<worksheet xmlns="http://schemas.openxmlformats.org/spreadsheetml/2006/main" xmlns:r="http://schemas.openxmlformats.org/officeDocument/2006/relationships">
  <sheetPr codeName="Sheet22"/>
  <dimension ref="A1:L55"/>
  <sheetViews>
    <sheetView workbookViewId="0">
      <selection activeCell="F14" sqref="F14"/>
    </sheetView>
  </sheetViews>
  <sheetFormatPr defaultRowHeight="12.75"/>
  <cols>
    <col min="1" max="1" width="15.28515625" style="926" customWidth="1"/>
    <col min="2" max="2" width="9.85546875" style="926" customWidth="1"/>
    <col min="3" max="3" width="9.5703125" style="926" customWidth="1"/>
    <col min="4" max="4" width="10" style="926" customWidth="1"/>
    <col min="5" max="5" width="9.140625" style="926"/>
    <col min="6" max="6" width="13.42578125" style="926" customWidth="1"/>
    <col min="7" max="7" width="8" style="926" customWidth="1"/>
    <col min="8" max="8" width="11.140625" style="926" customWidth="1"/>
    <col min="9" max="9" width="10.28515625" style="926" customWidth="1"/>
    <col min="10" max="10" width="9.85546875" style="926" customWidth="1"/>
    <col min="11" max="11" width="9.28515625" style="926" customWidth="1"/>
    <col min="12" max="12" width="10" style="926" customWidth="1"/>
    <col min="13" max="16384" width="9.140625" style="926"/>
  </cols>
  <sheetData>
    <row r="1" spans="1:12" ht="12" customHeight="1">
      <c r="A1" s="1466" t="s">
        <v>644</v>
      </c>
      <c r="B1" s="1466"/>
      <c r="C1" s="1466"/>
      <c r="D1" s="1466"/>
      <c r="E1" s="1466"/>
      <c r="F1" s="1466"/>
      <c r="G1" s="1466"/>
      <c r="H1" s="1466"/>
      <c r="I1" s="1466"/>
      <c r="J1" s="1466"/>
      <c r="K1" s="1466"/>
      <c r="L1" s="1466"/>
    </row>
    <row r="2" spans="1:12" ht="15.95" customHeight="1">
      <c r="A2" s="1473" t="str">
        <f>CONCATENATE("Medical Facilities available in the district of ",District!$A$1)</f>
        <v>Medical Facilities available in the district of Purulia</v>
      </c>
      <c r="B2" s="1473"/>
      <c r="C2" s="1473"/>
      <c r="D2" s="1473"/>
      <c r="E2" s="1473"/>
      <c r="F2" s="1473"/>
      <c r="G2" s="1473"/>
      <c r="H2" s="1473"/>
      <c r="I2" s="1473"/>
      <c r="J2" s="1473"/>
      <c r="K2" s="1473"/>
      <c r="L2" s="1473"/>
    </row>
    <row r="3" spans="1:12" ht="15" customHeight="1">
      <c r="A3" s="723"/>
      <c r="B3" s="736"/>
      <c r="C3" s="736"/>
      <c r="D3" s="736"/>
      <c r="E3" s="736"/>
      <c r="F3" s="736"/>
      <c r="G3" s="736"/>
      <c r="H3" s="736"/>
      <c r="I3" s="736"/>
      <c r="J3" s="736"/>
      <c r="K3" s="736"/>
      <c r="L3" s="778" t="s">
        <v>1058</v>
      </c>
    </row>
    <row r="4" spans="1:12" ht="18" customHeight="1">
      <c r="A4" s="1408" t="s">
        <v>951</v>
      </c>
      <c r="B4" s="1521" t="s">
        <v>185</v>
      </c>
      <c r="C4" s="1522"/>
      <c r="D4" s="1522"/>
      <c r="E4" s="1522"/>
      <c r="F4" s="1522"/>
      <c r="G4" s="1522"/>
      <c r="H4" s="1522"/>
      <c r="I4" s="1522"/>
      <c r="J4" s="1522"/>
      <c r="K4" s="1408" t="s">
        <v>765</v>
      </c>
      <c r="L4" s="1408" t="s">
        <v>1057</v>
      </c>
    </row>
    <row r="5" spans="1:12" ht="27.75" customHeight="1">
      <c r="A5" s="1472"/>
      <c r="B5" s="1457" t="s">
        <v>732</v>
      </c>
      <c r="C5" s="1523"/>
      <c r="D5" s="1523"/>
      <c r="E5" s="1523"/>
      <c r="F5" s="1523" t="s">
        <v>733</v>
      </c>
      <c r="G5" s="1523" t="s">
        <v>525</v>
      </c>
      <c r="H5" s="1523" t="s">
        <v>734</v>
      </c>
      <c r="I5" s="1523" t="s">
        <v>1127</v>
      </c>
      <c r="J5" s="1456" t="s">
        <v>1035</v>
      </c>
      <c r="K5" s="1472"/>
      <c r="L5" s="1472"/>
    </row>
    <row r="6" spans="1:12" ht="51" customHeight="1">
      <c r="A6" s="1409"/>
      <c r="B6" s="786" t="s">
        <v>508</v>
      </c>
      <c r="C6" s="781" t="s">
        <v>1283</v>
      </c>
      <c r="D6" s="781" t="s">
        <v>534</v>
      </c>
      <c r="E6" s="781" t="s">
        <v>526</v>
      </c>
      <c r="F6" s="1523"/>
      <c r="G6" s="1523"/>
      <c r="H6" s="1523"/>
      <c r="I6" s="1523"/>
      <c r="J6" s="1456"/>
      <c r="K6" s="1409"/>
      <c r="L6" s="1409"/>
    </row>
    <row r="7" spans="1:12" ht="15" customHeight="1">
      <c r="A7" s="729" t="s">
        <v>1008</v>
      </c>
      <c r="B7" s="729" t="s">
        <v>1009</v>
      </c>
      <c r="C7" s="729" t="s">
        <v>1010</v>
      </c>
      <c r="D7" s="729" t="s">
        <v>1011</v>
      </c>
      <c r="E7" s="729" t="s">
        <v>1015</v>
      </c>
      <c r="F7" s="729" t="s">
        <v>1016</v>
      </c>
      <c r="G7" s="729" t="s">
        <v>1017</v>
      </c>
      <c r="H7" s="729" t="s">
        <v>1039</v>
      </c>
      <c r="I7" s="729" t="s">
        <v>1040</v>
      </c>
      <c r="J7" s="729" t="s">
        <v>1041</v>
      </c>
      <c r="K7" s="729" t="s">
        <v>1042</v>
      </c>
      <c r="L7" s="729" t="s">
        <v>1076</v>
      </c>
    </row>
    <row r="8" spans="1:12" ht="21" customHeight="1">
      <c r="A8" s="927">
        <v>2010</v>
      </c>
      <c r="B8" s="928">
        <v>3</v>
      </c>
      <c r="C8" s="804">
        <v>5</v>
      </c>
      <c r="D8" s="801">
        <v>15</v>
      </c>
      <c r="E8" s="804">
        <v>53</v>
      </c>
      <c r="F8" s="928">
        <v>3</v>
      </c>
      <c r="G8" s="804" t="s">
        <v>57</v>
      </c>
      <c r="H8" s="804">
        <v>1</v>
      </c>
      <c r="I8" s="804">
        <v>12</v>
      </c>
      <c r="J8" s="804">
        <v>92</v>
      </c>
      <c r="K8" s="804">
        <v>2535</v>
      </c>
      <c r="L8" s="804">
        <v>355</v>
      </c>
    </row>
    <row r="9" spans="1:12" ht="21" customHeight="1">
      <c r="A9" s="804">
        <v>2011</v>
      </c>
      <c r="B9" s="928">
        <v>3</v>
      </c>
      <c r="C9" s="804">
        <v>5</v>
      </c>
      <c r="D9" s="804">
        <v>15</v>
      </c>
      <c r="E9" s="804">
        <v>53</v>
      </c>
      <c r="F9" s="804">
        <v>3</v>
      </c>
      <c r="G9" s="804" t="s">
        <v>57</v>
      </c>
      <c r="H9" s="804">
        <v>1</v>
      </c>
      <c r="I9" s="804">
        <v>12</v>
      </c>
      <c r="J9" s="804">
        <v>92</v>
      </c>
      <c r="K9" s="804">
        <v>2579</v>
      </c>
      <c r="L9" s="804">
        <v>283</v>
      </c>
    </row>
    <row r="10" spans="1:12" ht="21" customHeight="1">
      <c r="A10" s="804">
        <v>2012</v>
      </c>
      <c r="B10" s="801">
        <v>3</v>
      </c>
      <c r="C10" s="801">
        <v>5</v>
      </c>
      <c r="D10" s="801">
        <v>15</v>
      </c>
      <c r="E10" s="801">
        <v>53</v>
      </c>
      <c r="F10" s="801">
        <v>3</v>
      </c>
      <c r="G10" s="801" t="s">
        <v>57</v>
      </c>
      <c r="H10" s="801">
        <v>1</v>
      </c>
      <c r="I10" s="801">
        <v>12</v>
      </c>
      <c r="J10" s="801">
        <v>92</v>
      </c>
      <c r="K10" s="801">
        <v>2491</v>
      </c>
      <c r="L10" s="804">
        <v>253</v>
      </c>
    </row>
    <row r="11" spans="1:12" ht="21" customHeight="1">
      <c r="A11" s="229">
        <v>2013</v>
      </c>
      <c r="B11" s="801">
        <v>3</v>
      </c>
      <c r="C11" s="801">
        <v>5</v>
      </c>
      <c r="D11" s="801">
        <v>15</v>
      </c>
      <c r="E11" s="801">
        <v>53</v>
      </c>
      <c r="F11" s="801">
        <v>3</v>
      </c>
      <c r="G11" s="801" t="s">
        <v>57</v>
      </c>
      <c r="H11" s="801">
        <v>1</v>
      </c>
      <c r="I11" s="801">
        <v>13</v>
      </c>
      <c r="J11" s="801">
        <v>93</v>
      </c>
      <c r="K11" s="801">
        <v>2601</v>
      </c>
      <c r="L11" s="804">
        <v>279</v>
      </c>
    </row>
    <row r="12" spans="1:12" ht="21" customHeight="1">
      <c r="A12" s="230">
        <v>2014</v>
      </c>
      <c r="B12" s="144">
        <f>+SUM(B14,B30,B39)</f>
        <v>3</v>
      </c>
      <c r="C12" s="230">
        <f t="shared" ref="C12:L12" si="0">+SUM(C14,C30,C39)</f>
        <v>5</v>
      </c>
      <c r="D12" s="230">
        <f t="shared" si="0"/>
        <v>15</v>
      </c>
      <c r="E12" s="230">
        <v>53</v>
      </c>
      <c r="F12" s="230">
        <f>SUM(F14,F30,F39)</f>
        <v>3</v>
      </c>
      <c r="G12" s="230" t="s">
        <v>57</v>
      </c>
      <c r="H12" s="230">
        <f t="shared" si="0"/>
        <v>1</v>
      </c>
      <c r="I12" s="230">
        <f t="shared" si="0"/>
        <v>13</v>
      </c>
      <c r="J12" s="230">
        <v>93</v>
      </c>
      <c r="K12" s="230">
        <f t="shared" si="0"/>
        <v>2644</v>
      </c>
      <c r="L12" s="230">
        <f t="shared" si="0"/>
        <v>265</v>
      </c>
    </row>
    <row r="13" spans="1:12" ht="28.5" customHeight="1">
      <c r="A13" s="720" t="s">
        <v>1214</v>
      </c>
      <c r="B13" s="1524" t="str">
        <f>"Year : " &amp; $A$12</f>
        <v>Year : 2014</v>
      </c>
      <c r="C13" s="1525"/>
      <c r="D13" s="1525"/>
      <c r="E13" s="1525"/>
      <c r="F13" s="1525"/>
      <c r="G13" s="1466"/>
      <c r="H13" s="1525"/>
      <c r="I13" s="1525"/>
      <c r="J13" s="1525"/>
      <c r="K13" s="1525"/>
      <c r="L13" s="1526"/>
    </row>
    <row r="14" spans="1:12" ht="28.5" customHeight="1">
      <c r="A14" s="929" t="s">
        <v>1370</v>
      </c>
      <c r="B14" s="930" t="str">
        <f>IF(SUM(B15:B22)=0,"-",SUM(B15:B22))</f>
        <v>-</v>
      </c>
      <c r="C14" s="930">
        <f t="shared" ref="C14:L14" si="1">SUM(C15:C22)</f>
        <v>2</v>
      </c>
      <c r="D14" s="930">
        <f t="shared" si="1"/>
        <v>5</v>
      </c>
      <c r="E14" s="930">
        <f t="shared" si="1"/>
        <v>17</v>
      </c>
      <c r="F14" s="930" t="str">
        <f>IF(SUM(F15:F22)=0,"-",SUM(F15:F22))</f>
        <v>-</v>
      </c>
      <c r="G14" s="930" t="str">
        <f>IF(SUM(G15:G22)=0,"-",SUM(G15:G22))</f>
        <v>-</v>
      </c>
      <c r="H14" s="930" t="str">
        <f>IF(SUM(H15:H22)=0,"-",SUM(H15:H22))</f>
        <v>-</v>
      </c>
      <c r="I14" s="930">
        <f t="shared" si="1"/>
        <v>2</v>
      </c>
      <c r="J14" s="930">
        <f t="shared" si="1"/>
        <v>26</v>
      </c>
      <c r="K14" s="930">
        <f t="shared" si="1"/>
        <v>357</v>
      </c>
      <c r="L14" s="930">
        <f t="shared" si="1"/>
        <v>42</v>
      </c>
    </row>
    <row r="15" spans="1:12" ht="21.75" customHeight="1">
      <c r="A15" s="931" t="s">
        <v>26</v>
      </c>
      <c r="B15" s="229" t="s">
        <v>57</v>
      </c>
      <c r="C15" s="229" t="s">
        <v>57</v>
      </c>
      <c r="D15" s="229">
        <v>1</v>
      </c>
      <c r="E15" s="229">
        <v>2</v>
      </c>
      <c r="F15" s="229" t="s">
        <v>57</v>
      </c>
      <c r="G15" s="229" t="s">
        <v>57</v>
      </c>
      <c r="H15" s="229" t="s">
        <v>57</v>
      </c>
      <c r="I15" s="229" t="s">
        <v>57</v>
      </c>
      <c r="J15" s="229">
        <f>SUM(B15:I15)</f>
        <v>3</v>
      </c>
      <c r="K15" s="229">
        <v>44</v>
      </c>
      <c r="L15" s="229">
        <v>4</v>
      </c>
    </row>
    <row r="16" spans="1:12" ht="21.75" customHeight="1">
      <c r="A16" s="931" t="s">
        <v>27</v>
      </c>
      <c r="B16" s="229" t="s">
        <v>57</v>
      </c>
      <c r="C16" s="229" t="s">
        <v>57</v>
      </c>
      <c r="D16" s="229">
        <v>1</v>
      </c>
      <c r="E16" s="229">
        <v>3</v>
      </c>
      <c r="F16" s="469" t="s">
        <v>57</v>
      </c>
      <c r="G16" s="229" t="s">
        <v>57</v>
      </c>
      <c r="H16" s="229" t="s">
        <v>57</v>
      </c>
      <c r="I16" s="229" t="s">
        <v>57</v>
      </c>
      <c r="J16" s="229">
        <f t="shared" ref="J16:J22" si="2">SUM(B16:I16)</f>
        <v>4</v>
      </c>
      <c r="K16" s="229">
        <v>62</v>
      </c>
      <c r="L16" s="229">
        <v>7</v>
      </c>
    </row>
    <row r="17" spans="1:12" ht="21.75" customHeight="1">
      <c r="A17" s="931" t="s">
        <v>53</v>
      </c>
      <c r="B17" s="229" t="s">
        <v>57</v>
      </c>
      <c r="C17" s="229">
        <v>1</v>
      </c>
      <c r="D17" s="229" t="s">
        <v>57</v>
      </c>
      <c r="E17" s="229">
        <v>3</v>
      </c>
      <c r="F17" s="469" t="s">
        <v>57</v>
      </c>
      <c r="G17" s="229" t="s">
        <v>57</v>
      </c>
      <c r="H17" s="229" t="s">
        <v>57</v>
      </c>
      <c r="I17" s="229">
        <v>1</v>
      </c>
      <c r="J17" s="229">
        <f t="shared" si="2"/>
        <v>5</v>
      </c>
      <c r="K17" s="229">
        <v>67</v>
      </c>
      <c r="L17" s="229">
        <v>8</v>
      </c>
    </row>
    <row r="18" spans="1:12" ht="21.75" customHeight="1">
      <c r="A18" s="931" t="s">
        <v>28</v>
      </c>
      <c r="B18" s="229" t="s">
        <v>57</v>
      </c>
      <c r="C18" s="229" t="s">
        <v>57</v>
      </c>
      <c r="D18" s="229">
        <v>1</v>
      </c>
      <c r="E18" s="229">
        <v>2</v>
      </c>
      <c r="F18" s="469" t="s">
        <v>57</v>
      </c>
      <c r="G18" s="229" t="s">
        <v>57</v>
      </c>
      <c r="H18" s="229" t="s">
        <v>57</v>
      </c>
      <c r="I18" s="229" t="s">
        <v>57</v>
      </c>
      <c r="J18" s="229">
        <f t="shared" si="2"/>
        <v>3</v>
      </c>
      <c r="K18" s="229">
        <v>50</v>
      </c>
      <c r="L18" s="229">
        <v>7</v>
      </c>
    </row>
    <row r="19" spans="1:12" ht="21.75" customHeight="1">
      <c r="A19" s="931" t="s">
        <v>1564</v>
      </c>
      <c r="B19" s="229" t="s">
        <v>57</v>
      </c>
      <c r="C19" s="229" t="s">
        <v>57</v>
      </c>
      <c r="D19" s="229">
        <v>1</v>
      </c>
      <c r="E19" s="229">
        <v>3</v>
      </c>
      <c r="F19" s="469" t="s">
        <v>57</v>
      </c>
      <c r="G19" s="229" t="s">
        <v>57</v>
      </c>
      <c r="H19" s="229" t="s">
        <v>57</v>
      </c>
      <c r="I19" s="229" t="s">
        <v>57</v>
      </c>
      <c r="J19" s="229">
        <f t="shared" si="2"/>
        <v>4</v>
      </c>
      <c r="K19" s="229">
        <v>44</v>
      </c>
      <c r="L19" s="229">
        <v>3</v>
      </c>
    </row>
    <row r="20" spans="1:12" ht="21.75" customHeight="1">
      <c r="A20" s="931" t="s">
        <v>48</v>
      </c>
      <c r="B20" s="229" t="s">
        <v>57</v>
      </c>
      <c r="C20" s="229" t="s">
        <v>57</v>
      </c>
      <c r="D20" s="229">
        <v>1</v>
      </c>
      <c r="E20" s="229">
        <v>2</v>
      </c>
      <c r="F20" s="469" t="s">
        <v>57</v>
      </c>
      <c r="G20" s="229" t="s">
        <v>57</v>
      </c>
      <c r="H20" s="229" t="s">
        <v>57</v>
      </c>
      <c r="I20" s="229" t="s">
        <v>57</v>
      </c>
      <c r="J20" s="229">
        <f t="shared" si="2"/>
        <v>3</v>
      </c>
      <c r="K20" s="229">
        <v>46</v>
      </c>
      <c r="L20" s="229">
        <v>6</v>
      </c>
    </row>
    <row r="21" spans="1:12" ht="21.75" customHeight="1">
      <c r="A21" s="931" t="s">
        <v>54</v>
      </c>
      <c r="B21" s="229" t="s">
        <v>57</v>
      </c>
      <c r="C21" s="141">
        <v>1</v>
      </c>
      <c r="D21" s="229" t="s">
        <v>57</v>
      </c>
      <c r="E21" s="140">
        <v>2</v>
      </c>
      <c r="F21" s="469" t="s">
        <v>57</v>
      </c>
      <c r="G21" s="229" t="s">
        <v>57</v>
      </c>
      <c r="H21" s="229" t="s">
        <v>57</v>
      </c>
      <c r="I21" s="229" t="s">
        <v>57</v>
      </c>
      <c r="J21" s="229">
        <f t="shared" si="2"/>
        <v>3</v>
      </c>
      <c r="K21" s="229">
        <v>44</v>
      </c>
      <c r="L21" s="229">
        <v>7</v>
      </c>
    </row>
    <row r="22" spans="1:12" ht="21.75" customHeight="1">
      <c r="A22" s="932" t="s">
        <v>49</v>
      </c>
      <c r="B22" s="230" t="s">
        <v>57</v>
      </c>
      <c r="C22" s="230" t="s">
        <v>57</v>
      </c>
      <c r="D22" s="230" t="s">
        <v>57</v>
      </c>
      <c r="E22" s="230" t="s">
        <v>57</v>
      </c>
      <c r="F22" s="307" t="s">
        <v>57</v>
      </c>
      <c r="G22" s="230" t="s">
        <v>57</v>
      </c>
      <c r="H22" s="230" t="s">
        <v>57</v>
      </c>
      <c r="I22" s="230">
        <v>1</v>
      </c>
      <c r="J22" s="230">
        <f t="shared" si="2"/>
        <v>1</v>
      </c>
      <c r="K22" s="230"/>
      <c r="L22" s="230"/>
    </row>
    <row r="23" spans="1:12" ht="12" customHeight="1">
      <c r="A23" s="933"/>
      <c r="B23" s="934"/>
      <c r="C23" s="934"/>
      <c r="D23" s="934"/>
      <c r="E23" s="934"/>
      <c r="F23" s="935"/>
      <c r="G23" s="934"/>
      <c r="H23" s="934"/>
      <c r="I23" s="934"/>
      <c r="J23" s="934"/>
      <c r="K23" s="934"/>
      <c r="L23" s="551" t="s">
        <v>1246</v>
      </c>
    </row>
    <row r="24" spans="1:12" ht="12" customHeight="1">
      <c r="A24" s="1466" t="s">
        <v>774</v>
      </c>
      <c r="B24" s="1466"/>
      <c r="C24" s="1466"/>
      <c r="D24" s="1466"/>
      <c r="E24" s="1466"/>
      <c r="F24" s="1466"/>
      <c r="G24" s="1466"/>
      <c r="H24" s="1466"/>
      <c r="I24" s="1466"/>
      <c r="J24" s="1466"/>
      <c r="K24" s="1466"/>
      <c r="L24" s="1466"/>
    </row>
    <row r="25" spans="1:12" ht="15" customHeight="1">
      <c r="A25" s="723"/>
      <c r="B25" s="736"/>
      <c r="C25" s="736"/>
      <c r="D25" s="736"/>
      <c r="E25" s="736"/>
      <c r="F25" s="736"/>
      <c r="G25" s="736"/>
      <c r="H25" s="736"/>
      <c r="I25" s="736"/>
      <c r="J25" s="736"/>
      <c r="K25" s="736"/>
      <c r="L25" s="778" t="s">
        <v>1058</v>
      </c>
    </row>
    <row r="26" spans="1:12" ht="16.5" customHeight="1">
      <c r="A26" s="1408" t="s">
        <v>1214</v>
      </c>
      <c r="B26" s="1521" t="s">
        <v>185</v>
      </c>
      <c r="C26" s="1522"/>
      <c r="D26" s="1522"/>
      <c r="E26" s="1522"/>
      <c r="F26" s="1522"/>
      <c r="G26" s="1522"/>
      <c r="H26" s="1522"/>
      <c r="I26" s="1522"/>
      <c r="J26" s="1522"/>
      <c r="K26" s="1408" t="s">
        <v>766</v>
      </c>
      <c r="L26" s="1408" t="s">
        <v>1057</v>
      </c>
    </row>
    <row r="27" spans="1:12" ht="26.25" customHeight="1">
      <c r="A27" s="1472"/>
      <c r="B27" s="1457" t="s">
        <v>732</v>
      </c>
      <c r="C27" s="1523"/>
      <c r="D27" s="1523"/>
      <c r="E27" s="1523"/>
      <c r="F27" s="1523" t="s">
        <v>733</v>
      </c>
      <c r="G27" s="1523" t="s">
        <v>525</v>
      </c>
      <c r="H27" s="1523" t="s">
        <v>734</v>
      </c>
      <c r="I27" s="1523" t="s">
        <v>533</v>
      </c>
      <c r="J27" s="1456" t="s">
        <v>1035</v>
      </c>
      <c r="K27" s="1472"/>
      <c r="L27" s="1472"/>
    </row>
    <row r="28" spans="1:12" ht="57" customHeight="1">
      <c r="A28" s="1409"/>
      <c r="B28" s="786" t="s">
        <v>508</v>
      </c>
      <c r="C28" s="781" t="s">
        <v>1283</v>
      </c>
      <c r="D28" s="781" t="s">
        <v>534</v>
      </c>
      <c r="E28" s="781" t="s">
        <v>526</v>
      </c>
      <c r="F28" s="1523"/>
      <c r="G28" s="1523"/>
      <c r="H28" s="1523"/>
      <c r="I28" s="1523"/>
      <c r="J28" s="1456"/>
      <c r="K28" s="1409"/>
      <c r="L28" s="1409"/>
    </row>
    <row r="29" spans="1:12" ht="15.95" customHeight="1">
      <c r="A29" s="729" t="s">
        <v>1008</v>
      </c>
      <c r="B29" s="729" t="s">
        <v>1009</v>
      </c>
      <c r="C29" s="729" t="s">
        <v>1010</v>
      </c>
      <c r="D29" s="729" t="s">
        <v>1011</v>
      </c>
      <c r="E29" s="729" t="s">
        <v>1015</v>
      </c>
      <c r="F29" s="729" t="s">
        <v>1016</v>
      </c>
      <c r="G29" s="729" t="s">
        <v>1017</v>
      </c>
      <c r="H29" s="729" t="s">
        <v>1039</v>
      </c>
      <c r="I29" s="729" t="s">
        <v>1040</v>
      </c>
      <c r="J29" s="729" t="s">
        <v>1041</v>
      </c>
      <c r="K29" s="729" t="s">
        <v>1042</v>
      </c>
      <c r="L29" s="729" t="s">
        <v>1076</v>
      </c>
    </row>
    <row r="30" spans="1:12" ht="31.5" customHeight="1">
      <c r="A30" s="936" t="s">
        <v>1369</v>
      </c>
      <c r="B30" s="145">
        <f>SUM(B31:B38)</f>
        <v>2</v>
      </c>
      <c r="C30" s="145">
        <f t="shared" ref="C30:L30" si="3">SUM(C31:C38)</f>
        <v>2</v>
      </c>
      <c r="D30" s="145">
        <f t="shared" si="3"/>
        <v>5</v>
      </c>
      <c r="E30" s="145">
        <f t="shared" si="3"/>
        <v>20</v>
      </c>
      <c r="F30" s="891">
        <f t="shared" si="3"/>
        <v>2</v>
      </c>
      <c r="G30" s="937" t="str">
        <f>IF(SUM(G31:G38)=0,"-",SUM(G31:G38))</f>
        <v>-</v>
      </c>
      <c r="H30" s="937" t="str">
        <f>IF(SUM(H31:H38)=0,"-",SUM(H31:H38))</f>
        <v>-</v>
      </c>
      <c r="I30" s="145">
        <f t="shared" si="3"/>
        <v>8</v>
      </c>
      <c r="J30" s="145">
        <f t="shared" si="3"/>
        <v>39</v>
      </c>
      <c r="K30" s="145">
        <f t="shared" si="3"/>
        <v>1296</v>
      </c>
      <c r="L30" s="145">
        <f t="shared" si="3"/>
        <v>117</v>
      </c>
    </row>
    <row r="31" spans="1:12" ht="18.75" customHeight="1">
      <c r="A31" s="931" t="s">
        <v>33</v>
      </c>
      <c r="B31" s="229" t="s">
        <v>57</v>
      </c>
      <c r="C31" s="229" t="s">
        <v>57</v>
      </c>
      <c r="D31" s="229">
        <v>1</v>
      </c>
      <c r="E31" s="229">
        <v>3</v>
      </c>
      <c r="F31" s="469" t="s">
        <v>57</v>
      </c>
      <c r="G31" s="469" t="s">
        <v>57</v>
      </c>
      <c r="H31" s="469" t="s">
        <v>57</v>
      </c>
      <c r="I31" s="469" t="s">
        <v>57</v>
      </c>
      <c r="J31" s="229">
        <f t="shared" ref="J31:J38" si="4">SUM(B31:I31)</f>
        <v>4</v>
      </c>
      <c r="K31" s="229">
        <v>48</v>
      </c>
      <c r="L31" s="229">
        <v>6</v>
      </c>
    </row>
    <row r="32" spans="1:12" ht="18.75" customHeight="1">
      <c r="A32" s="931" t="s">
        <v>34</v>
      </c>
      <c r="B32" s="229" t="s">
        <v>57</v>
      </c>
      <c r="C32" s="229">
        <v>1</v>
      </c>
      <c r="D32" s="229" t="s">
        <v>57</v>
      </c>
      <c r="E32" s="229">
        <v>3</v>
      </c>
      <c r="F32" s="469" t="s">
        <v>57</v>
      </c>
      <c r="G32" s="469" t="s">
        <v>57</v>
      </c>
      <c r="H32" s="469" t="s">
        <v>57</v>
      </c>
      <c r="I32" s="469" t="s">
        <v>57</v>
      </c>
      <c r="J32" s="229">
        <f t="shared" si="4"/>
        <v>4</v>
      </c>
      <c r="K32" s="229">
        <v>48</v>
      </c>
      <c r="L32" s="229">
        <v>6</v>
      </c>
    </row>
    <row r="33" spans="1:12" ht="18.75" customHeight="1">
      <c r="A33" s="931" t="s">
        <v>55</v>
      </c>
      <c r="B33" s="229" t="s">
        <v>57</v>
      </c>
      <c r="C33" s="229">
        <v>1</v>
      </c>
      <c r="D33" s="229" t="s">
        <v>57</v>
      </c>
      <c r="E33" s="229">
        <v>2</v>
      </c>
      <c r="F33" s="469" t="s">
        <v>57</v>
      </c>
      <c r="G33" s="469" t="s">
        <v>57</v>
      </c>
      <c r="H33" s="469" t="s">
        <v>57</v>
      </c>
      <c r="I33" s="469" t="s">
        <v>57</v>
      </c>
      <c r="J33" s="229">
        <f t="shared" si="4"/>
        <v>3</v>
      </c>
      <c r="K33" s="229">
        <v>54</v>
      </c>
      <c r="L33" s="229">
        <v>9</v>
      </c>
    </row>
    <row r="34" spans="1:12" ht="18.75" customHeight="1">
      <c r="A34" s="931" t="s">
        <v>56</v>
      </c>
      <c r="B34" s="229" t="s">
        <v>57</v>
      </c>
      <c r="C34" s="229" t="s">
        <v>57</v>
      </c>
      <c r="D34" s="229">
        <v>1</v>
      </c>
      <c r="E34" s="229">
        <v>4</v>
      </c>
      <c r="F34" s="469" t="s">
        <v>57</v>
      </c>
      <c r="G34" s="469" t="s">
        <v>57</v>
      </c>
      <c r="H34" s="469" t="s">
        <v>57</v>
      </c>
      <c r="I34" s="469" t="s">
        <v>57</v>
      </c>
      <c r="J34" s="229">
        <f t="shared" si="4"/>
        <v>5</v>
      </c>
      <c r="K34" s="229">
        <v>50</v>
      </c>
      <c r="L34" s="229">
        <v>10</v>
      </c>
    </row>
    <row r="35" spans="1:12" ht="18.75" customHeight="1">
      <c r="A35" s="931" t="s">
        <v>45</v>
      </c>
      <c r="B35" s="229" t="s">
        <v>57</v>
      </c>
      <c r="C35" s="229" t="s">
        <v>57</v>
      </c>
      <c r="D35" s="229">
        <v>1</v>
      </c>
      <c r="E35" s="229">
        <v>3</v>
      </c>
      <c r="F35" s="469" t="s">
        <v>57</v>
      </c>
      <c r="G35" s="469" t="s">
        <v>57</v>
      </c>
      <c r="H35" s="469" t="s">
        <v>57</v>
      </c>
      <c r="I35" s="469" t="s">
        <v>57</v>
      </c>
      <c r="J35" s="229">
        <f t="shared" si="4"/>
        <v>4</v>
      </c>
      <c r="K35" s="229">
        <v>52</v>
      </c>
      <c r="L35" s="229">
        <v>8</v>
      </c>
    </row>
    <row r="36" spans="1:12" ht="18.75" customHeight="1">
      <c r="A36" s="931" t="s">
        <v>46</v>
      </c>
      <c r="B36" s="229" t="s">
        <v>57</v>
      </c>
      <c r="C36" s="229" t="s">
        <v>57</v>
      </c>
      <c r="D36" s="229">
        <v>1</v>
      </c>
      <c r="E36" s="229">
        <v>3</v>
      </c>
      <c r="F36" s="469" t="s">
        <v>57</v>
      </c>
      <c r="G36" s="469" t="s">
        <v>57</v>
      </c>
      <c r="H36" s="469" t="s">
        <v>57</v>
      </c>
      <c r="I36" s="229">
        <v>1</v>
      </c>
      <c r="J36" s="229">
        <f t="shared" si="4"/>
        <v>5</v>
      </c>
      <c r="K36" s="229">
        <v>198</v>
      </c>
      <c r="L36" s="229">
        <v>6</v>
      </c>
    </row>
    <row r="37" spans="1:12" ht="18.75" customHeight="1">
      <c r="A37" s="931" t="s">
        <v>47</v>
      </c>
      <c r="B37" s="229"/>
      <c r="C37" s="229" t="s">
        <v>57</v>
      </c>
      <c r="D37" s="229">
        <v>1</v>
      </c>
      <c r="E37" s="229">
        <v>2</v>
      </c>
      <c r="F37" s="469" t="s">
        <v>57</v>
      </c>
      <c r="G37" s="469" t="s">
        <v>57</v>
      </c>
      <c r="H37" s="469" t="s">
        <v>57</v>
      </c>
      <c r="I37" s="469">
        <v>1</v>
      </c>
      <c r="J37" s="229">
        <f t="shared" si="4"/>
        <v>4</v>
      </c>
      <c r="K37" s="229">
        <v>40</v>
      </c>
      <c r="L37" s="229">
        <v>4</v>
      </c>
    </row>
    <row r="38" spans="1:12" ht="18.75" customHeight="1">
      <c r="A38" s="931" t="s">
        <v>58</v>
      </c>
      <c r="B38" s="229">
        <v>2</v>
      </c>
      <c r="C38" s="229" t="s">
        <v>57</v>
      </c>
      <c r="D38" s="229" t="s">
        <v>57</v>
      </c>
      <c r="E38" s="229" t="s">
        <v>57</v>
      </c>
      <c r="F38" s="469">
        <v>2</v>
      </c>
      <c r="G38" s="469" t="s">
        <v>57</v>
      </c>
      <c r="H38" s="469" t="s">
        <v>57</v>
      </c>
      <c r="I38" s="229">
        <v>6</v>
      </c>
      <c r="J38" s="229">
        <f t="shared" si="4"/>
        <v>10</v>
      </c>
      <c r="K38" s="229">
        <v>806</v>
      </c>
      <c r="L38" s="229">
        <v>68</v>
      </c>
    </row>
    <row r="39" spans="1:12" ht="29.25" customHeight="1">
      <c r="A39" s="938" t="s">
        <v>1371</v>
      </c>
      <c r="B39" s="145">
        <f>SUM(B40:B46)</f>
        <v>1</v>
      </c>
      <c r="C39" s="145">
        <f t="shared" ref="C39:L39" si="5">SUM(C40:C46)</f>
        <v>1</v>
      </c>
      <c r="D39" s="145">
        <f t="shared" si="5"/>
        <v>5</v>
      </c>
      <c r="E39" s="145">
        <f t="shared" si="5"/>
        <v>16</v>
      </c>
      <c r="F39" s="891">
        <f t="shared" si="5"/>
        <v>1</v>
      </c>
      <c r="G39" s="937" t="str">
        <f>IF(SUM(G40:G46)=0,"-",SUM(G40:G46))</f>
        <v>-</v>
      </c>
      <c r="H39" s="509">
        <f t="shared" si="5"/>
        <v>1</v>
      </c>
      <c r="I39" s="145">
        <f t="shared" si="5"/>
        <v>3</v>
      </c>
      <c r="J39" s="145">
        <f t="shared" si="5"/>
        <v>28</v>
      </c>
      <c r="K39" s="145">
        <f t="shared" si="5"/>
        <v>991</v>
      </c>
      <c r="L39" s="145">
        <f t="shared" si="5"/>
        <v>106</v>
      </c>
    </row>
    <row r="40" spans="1:12" ht="18.75" customHeight="1">
      <c r="A40" s="931" t="s">
        <v>36</v>
      </c>
      <c r="B40" s="229" t="s">
        <v>57</v>
      </c>
      <c r="C40" s="229" t="s">
        <v>57</v>
      </c>
      <c r="D40" s="229">
        <v>1</v>
      </c>
      <c r="E40" s="229">
        <v>4</v>
      </c>
      <c r="F40" s="469" t="s">
        <v>57</v>
      </c>
      <c r="G40" s="469" t="s">
        <v>57</v>
      </c>
      <c r="H40" s="229">
        <v>1</v>
      </c>
      <c r="I40" s="469" t="s">
        <v>57</v>
      </c>
      <c r="J40" s="229">
        <f t="shared" ref="J40:J46" si="6">SUM(B40:I40)</f>
        <v>6</v>
      </c>
      <c r="K40" s="229">
        <v>256</v>
      </c>
      <c r="L40" s="229">
        <v>13</v>
      </c>
    </row>
    <row r="41" spans="1:12" ht="18.75" customHeight="1">
      <c r="A41" s="931" t="s">
        <v>37</v>
      </c>
      <c r="B41" s="229" t="s">
        <v>57</v>
      </c>
      <c r="C41" s="229">
        <v>1</v>
      </c>
      <c r="D41" s="229" t="s">
        <v>57</v>
      </c>
      <c r="E41" s="229">
        <v>3</v>
      </c>
      <c r="F41" s="469" t="s">
        <v>57</v>
      </c>
      <c r="G41" s="469" t="s">
        <v>57</v>
      </c>
      <c r="H41" s="469" t="s">
        <v>57</v>
      </c>
      <c r="I41" s="469" t="s">
        <v>57</v>
      </c>
      <c r="J41" s="229">
        <f t="shared" si="6"/>
        <v>4</v>
      </c>
      <c r="K41" s="229">
        <v>48</v>
      </c>
      <c r="L41" s="229">
        <v>6</v>
      </c>
    </row>
    <row r="42" spans="1:12" ht="18.75" customHeight="1">
      <c r="A42" s="931" t="s">
        <v>38</v>
      </c>
      <c r="B42" s="229" t="s">
        <v>57</v>
      </c>
      <c r="C42" s="229" t="s">
        <v>57</v>
      </c>
      <c r="D42" s="229">
        <v>1</v>
      </c>
      <c r="E42" s="229">
        <v>3</v>
      </c>
      <c r="F42" s="469">
        <v>1</v>
      </c>
      <c r="G42" s="469" t="s">
        <v>57</v>
      </c>
      <c r="H42" s="469" t="s">
        <v>57</v>
      </c>
      <c r="I42" s="469">
        <v>1</v>
      </c>
      <c r="J42" s="229">
        <f t="shared" si="6"/>
        <v>6</v>
      </c>
      <c r="K42" s="229">
        <v>156</v>
      </c>
      <c r="L42" s="229">
        <v>29</v>
      </c>
    </row>
    <row r="43" spans="1:12" ht="18.75" customHeight="1">
      <c r="A43" s="931" t="s">
        <v>40</v>
      </c>
      <c r="B43" s="229" t="s">
        <v>57</v>
      </c>
      <c r="C43" s="229" t="s">
        <v>57</v>
      </c>
      <c r="D43" s="229">
        <v>1</v>
      </c>
      <c r="E43" s="229">
        <v>2</v>
      </c>
      <c r="F43" s="469" t="s">
        <v>57</v>
      </c>
      <c r="G43" s="469" t="s">
        <v>57</v>
      </c>
      <c r="H43" s="469" t="s">
        <v>57</v>
      </c>
      <c r="I43" s="469" t="s">
        <v>57</v>
      </c>
      <c r="J43" s="229">
        <f t="shared" si="6"/>
        <v>3</v>
      </c>
      <c r="K43" s="229">
        <v>31</v>
      </c>
      <c r="L43" s="229">
        <v>3</v>
      </c>
    </row>
    <row r="44" spans="1:12" ht="18.75" customHeight="1">
      <c r="A44" s="931" t="s">
        <v>52</v>
      </c>
      <c r="B44" s="229" t="s">
        <v>57</v>
      </c>
      <c r="C44" s="229" t="s">
        <v>57</v>
      </c>
      <c r="D44" s="229">
        <v>1</v>
      </c>
      <c r="E44" s="229">
        <v>2</v>
      </c>
      <c r="F44" s="469" t="s">
        <v>57</v>
      </c>
      <c r="G44" s="469" t="s">
        <v>57</v>
      </c>
      <c r="H44" s="469" t="s">
        <v>57</v>
      </c>
      <c r="I44" s="469" t="s">
        <v>57</v>
      </c>
      <c r="J44" s="229">
        <f t="shared" si="6"/>
        <v>3</v>
      </c>
      <c r="K44" s="229">
        <v>44</v>
      </c>
      <c r="L44" s="229">
        <v>5</v>
      </c>
    </row>
    <row r="45" spans="1:12" ht="18.75" customHeight="1">
      <c r="A45" s="931" t="s">
        <v>41</v>
      </c>
      <c r="B45" s="229">
        <v>1</v>
      </c>
      <c r="C45" s="229" t="s">
        <v>57</v>
      </c>
      <c r="D45" s="229" t="s">
        <v>57</v>
      </c>
      <c r="E45" s="229" t="s">
        <v>57</v>
      </c>
      <c r="F45" s="469" t="s">
        <v>57</v>
      </c>
      <c r="G45" s="469" t="s">
        <v>57</v>
      </c>
      <c r="H45" s="469" t="s">
        <v>57</v>
      </c>
      <c r="I45" s="229">
        <v>1</v>
      </c>
      <c r="J45" s="229">
        <f t="shared" si="6"/>
        <v>2</v>
      </c>
      <c r="K45" s="229">
        <v>160</v>
      </c>
      <c r="L45" s="229">
        <v>26</v>
      </c>
    </row>
    <row r="46" spans="1:12" ht="18.75" customHeight="1">
      <c r="A46" s="932" t="s">
        <v>39</v>
      </c>
      <c r="B46" s="230" t="s">
        <v>57</v>
      </c>
      <c r="C46" s="230" t="s">
        <v>57</v>
      </c>
      <c r="D46" s="230">
        <v>1</v>
      </c>
      <c r="E46" s="230">
        <v>2</v>
      </c>
      <c r="F46" s="470" t="s">
        <v>57</v>
      </c>
      <c r="G46" s="307" t="s">
        <v>57</v>
      </c>
      <c r="H46" s="307" t="s">
        <v>57</v>
      </c>
      <c r="I46" s="230">
        <v>1</v>
      </c>
      <c r="J46" s="230">
        <f t="shared" si="6"/>
        <v>4</v>
      </c>
      <c r="K46" s="230">
        <v>296</v>
      </c>
      <c r="L46" s="230">
        <v>24</v>
      </c>
    </row>
    <row r="47" spans="1:12" ht="13.5" customHeight="1">
      <c r="A47" s="238"/>
      <c r="B47" s="238"/>
      <c r="C47" s="238"/>
      <c r="D47" s="238"/>
      <c r="I47" s="549" t="s">
        <v>776</v>
      </c>
      <c r="J47" s="939" t="s">
        <v>735</v>
      </c>
      <c r="K47" s="940"/>
      <c r="L47" s="940"/>
    </row>
    <row r="48" spans="1:12" ht="13.5">
      <c r="A48" s="238"/>
      <c r="B48" s="238"/>
      <c r="C48" s="238"/>
      <c r="D48" s="238"/>
      <c r="I48" s="549" t="s">
        <v>782</v>
      </c>
      <c r="J48" s="1518" t="s">
        <v>1251</v>
      </c>
      <c r="K48" s="1519"/>
      <c r="L48" s="1519"/>
    </row>
    <row r="49" spans="1:12" ht="13.5" customHeight="1">
      <c r="A49" s="238"/>
      <c r="B49" s="238"/>
      <c r="C49" s="238"/>
      <c r="D49" s="238"/>
      <c r="G49" s="553"/>
      <c r="I49" s="941"/>
      <c r="J49" s="1520"/>
      <c r="K49" s="1520"/>
      <c r="L49" s="1520"/>
    </row>
    <row r="50" spans="1:12">
      <c r="G50" s="37"/>
      <c r="H50" s="137"/>
      <c r="I50" s="137"/>
      <c r="J50" s="137"/>
      <c r="K50" s="137"/>
      <c r="L50" s="943"/>
    </row>
    <row r="53" spans="1:12">
      <c r="A53" s="944"/>
      <c r="B53" s="944"/>
      <c r="C53" s="944"/>
      <c r="D53" s="944"/>
      <c r="E53" s="944"/>
      <c r="F53" s="944"/>
      <c r="G53" s="944"/>
    </row>
    <row r="55" spans="1:12">
      <c r="H55" s="550"/>
      <c r="J55" s="941"/>
      <c r="K55" s="941"/>
      <c r="L55" s="941"/>
    </row>
  </sheetData>
  <mergeCells count="25">
    <mergeCell ref="A1:L1"/>
    <mergeCell ref="A2:L2"/>
    <mergeCell ref="K4:K6"/>
    <mergeCell ref="F5:F6"/>
    <mergeCell ref="L4:L6"/>
    <mergeCell ref="B4:J4"/>
    <mergeCell ref="H5:H6"/>
    <mergeCell ref="I5:I6"/>
    <mergeCell ref="J5:J6"/>
    <mergeCell ref="B5:E5"/>
    <mergeCell ref="A26:A28"/>
    <mergeCell ref="A4:A6"/>
    <mergeCell ref="J27:J28"/>
    <mergeCell ref="I27:I28"/>
    <mergeCell ref="B27:E27"/>
    <mergeCell ref="F27:F28"/>
    <mergeCell ref="G27:G28"/>
    <mergeCell ref="H27:H28"/>
    <mergeCell ref="A24:L24"/>
    <mergeCell ref="B13:L13"/>
    <mergeCell ref="J48:L49"/>
    <mergeCell ref="B26:J26"/>
    <mergeCell ref="K26:K28"/>
    <mergeCell ref="L26:L28"/>
    <mergeCell ref="G5:G6"/>
  </mergeCells>
  <phoneticPr fontId="0" type="noConversion"/>
  <conditionalFormatting sqref="A1:XFD1048576">
    <cfRule type="cellIs" dxfId="10" priority="1" stopIfTrue="1" operator="equal">
      <formula>".."</formula>
    </cfRule>
  </conditionalFormatting>
  <printOptions horizontalCentered="1"/>
  <pageMargins left="0.1" right="0.1" top="0.46" bottom="0.1" header="0.46" footer="0.1"/>
  <pageSetup paperSize="9" orientation="landscape" blackAndWhite="1" r:id="rId1"/>
  <headerFooter alignWithMargins="0"/>
  <rowBreaks count="1" manualBreakCount="1">
    <brk id="23" max="16383" man="1"/>
  </rowBreaks>
</worksheet>
</file>

<file path=xl/worksheets/sheet23.xml><?xml version="1.0" encoding="utf-8"?>
<worksheet xmlns="http://schemas.openxmlformats.org/spreadsheetml/2006/main" xmlns:r="http://schemas.openxmlformats.org/officeDocument/2006/relationships">
  <sheetPr codeName="Sheet23"/>
  <dimension ref="A1:I50"/>
  <sheetViews>
    <sheetView workbookViewId="0">
      <selection activeCell="F14" sqref="F14"/>
    </sheetView>
  </sheetViews>
  <sheetFormatPr defaultRowHeight="12.4" customHeight="1"/>
  <cols>
    <col min="1" max="1" width="16.5703125" style="926" customWidth="1"/>
    <col min="2" max="7" width="13.7109375" style="926" customWidth="1"/>
    <col min="8" max="8" width="14.7109375" style="926" customWidth="1"/>
    <col min="9" max="9" width="17.85546875" style="926" customWidth="1"/>
    <col min="10" max="16384" width="9.140625" style="926"/>
  </cols>
  <sheetData>
    <row r="1" spans="1:9" ht="12.75" customHeight="1">
      <c r="A1" s="1466" t="s">
        <v>645</v>
      </c>
      <c r="B1" s="1466"/>
      <c r="C1" s="1466"/>
      <c r="D1" s="1466"/>
      <c r="E1" s="1466"/>
      <c r="F1" s="1466"/>
      <c r="G1" s="1466"/>
      <c r="H1" s="1466"/>
      <c r="I1" s="1466"/>
    </row>
    <row r="2" spans="1:9" ht="15.95" customHeight="1">
      <c r="A2" s="1467" t="str">
        <f>CONCATENATE(" Family Welfare Centres in the district of ",District!$A$1)</f>
        <v xml:space="preserve"> Family Welfare Centres in the district of Purulia</v>
      </c>
      <c r="B2" s="1467"/>
      <c r="C2" s="1467"/>
      <c r="D2" s="1467"/>
      <c r="E2" s="1467"/>
      <c r="F2" s="1467"/>
      <c r="G2" s="1467"/>
      <c r="H2" s="1467"/>
      <c r="I2" s="1467"/>
    </row>
    <row r="3" spans="1:9" ht="15.95" customHeight="1">
      <c r="A3" s="753"/>
      <c r="B3" s="753"/>
      <c r="C3" s="824"/>
      <c r="D3" s="824"/>
      <c r="E3" s="824"/>
      <c r="F3" s="824"/>
      <c r="G3" s="824"/>
      <c r="H3" s="824"/>
      <c r="I3" s="905" t="s">
        <v>1058</v>
      </c>
    </row>
    <row r="4" spans="1:9" ht="15.95" customHeight="1">
      <c r="A4" s="1456" t="s">
        <v>951</v>
      </c>
      <c r="B4" s="1408" t="s">
        <v>183</v>
      </c>
      <c r="C4" s="1400" t="s">
        <v>102</v>
      </c>
      <c r="D4" s="1400"/>
      <c r="E4" s="1401"/>
      <c r="F4" s="1407" t="s">
        <v>103</v>
      </c>
      <c r="G4" s="1400"/>
      <c r="H4" s="1401"/>
      <c r="I4" s="1408" t="s">
        <v>186</v>
      </c>
    </row>
    <row r="5" spans="1:9" ht="22.5" customHeight="1">
      <c r="A5" s="1456"/>
      <c r="B5" s="1409"/>
      <c r="C5" s="726" t="s">
        <v>1170</v>
      </c>
      <c r="D5" s="728" t="s">
        <v>1171</v>
      </c>
      <c r="E5" s="728" t="s">
        <v>1035</v>
      </c>
      <c r="F5" s="728" t="s">
        <v>1172</v>
      </c>
      <c r="G5" s="728" t="s">
        <v>1173</v>
      </c>
      <c r="H5" s="728" t="s">
        <v>1174</v>
      </c>
      <c r="I5" s="1411"/>
    </row>
    <row r="6" spans="1:9" ht="19.5" customHeight="1">
      <c r="A6" s="729" t="s">
        <v>1008</v>
      </c>
      <c r="B6" s="729" t="s">
        <v>1009</v>
      </c>
      <c r="C6" s="729" t="s">
        <v>1010</v>
      </c>
      <c r="D6" s="729" t="s">
        <v>1011</v>
      </c>
      <c r="E6" s="729" t="s">
        <v>1015</v>
      </c>
      <c r="F6" s="729" t="s">
        <v>1016</v>
      </c>
      <c r="G6" s="729" t="s">
        <v>1017</v>
      </c>
      <c r="H6" s="729" t="s">
        <v>1039</v>
      </c>
      <c r="I6" s="729" t="s">
        <v>1040</v>
      </c>
    </row>
    <row r="7" spans="1:9" ht="19.5" customHeight="1">
      <c r="A7" s="126" t="s">
        <v>1526</v>
      </c>
      <c r="B7" s="126">
        <v>485</v>
      </c>
      <c r="C7" s="126">
        <v>23</v>
      </c>
      <c r="D7" s="126">
        <v>8</v>
      </c>
      <c r="E7" s="126">
        <v>31</v>
      </c>
      <c r="F7" s="123">
        <v>738</v>
      </c>
      <c r="G7" s="126">
        <v>9082</v>
      </c>
      <c r="H7" s="123">
        <v>6527</v>
      </c>
      <c r="I7" s="126">
        <v>63819</v>
      </c>
    </row>
    <row r="8" spans="1:9" ht="19.5" customHeight="1">
      <c r="A8" s="126" t="s">
        <v>1525</v>
      </c>
      <c r="B8" s="126">
        <v>485</v>
      </c>
      <c r="C8" s="126">
        <v>23</v>
      </c>
      <c r="D8" s="126">
        <v>8</v>
      </c>
      <c r="E8" s="126">
        <v>31</v>
      </c>
      <c r="F8" s="126">
        <v>229</v>
      </c>
      <c r="G8" s="126">
        <v>10374</v>
      </c>
      <c r="H8" s="126">
        <v>7668</v>
      </c>
      <c r="I8" s="126">
        <v>66952</v>
      </c>
    </row>
    <row r="9" spans="1:9" ht="19.5" customHeight="1">
      <c r="A9" s="126" t="s">
        <v>1051</v>
      </c>
      <c r="B9" s="126">
        <v>484</v>
      </c>
      <c r="C9" s="126">
        <v>23</v>
      </c>
      <c r="D9" s="126">
        <v>8</v>
      </c>
      <c r="E9" s="126">
        <v>31</v>
      </c>
      <c r="F9" s="123">
        <v>133</v>
      </c>
      <c r="G9" s="126">
        <v>9703</v>
      </c>
      <c r="H9" s="123">
        <v>7528</v>
      </c>
      <c r="I9" s="126">
        <v>70689</v>
      </c>
    </row>
    <row r="10" spans="1:9" ht="19.5" customHeight="1">
      <c r="A10" s="126" t="s">
        <v>1250</v>
      </c>
      <c r="B10" s="126">
        <v>485</v>
      </c>
      <c r="C10" s="126">
        <v>23</v>
      </c>
      <c r="D10" s="126">
        <v>7</v>
      </c>
      <c r="E10" s="126">
        <v>30</v>
      </c>
      <c r="F10" s="126">
        <v>100</v>
      </c>
      <c r="G10" s="126">
        <v>10008</v>
      </c>
      <c r="H10" s="126">
        <v>7587</v>
      </c>
      <c r="I10" s="126">
        <v>48865</v>
      </c>
    </row>
    <row r="11" spans="1:9" ht="19.5" customHeight="1">
      <c r="A11" s="128" t="s">
        <v>527</v>
      </c>
      <c r="B11" s="230">
        <f>SUM(B13,B28,B37)</f>
        <v>485</v>
      </c>
      <c r="C11" s="230">
        <f t="shared" ref="C11:I11" si="0">SUM(C13,C28,C37)</f>
        <v>23</v>
      </c>
      <c r="D11" s="230">
        <f t="shared" si="0"/>
        <v>7</v>
      </c>
      <c r="E11" s="230">
        <f t="shared" si="0"/>
        <v>30</v>
      </c>
      <c r="F11" s="230">
        <f t="shared" si="0"/>
        <v>95</v>
      </c>
      <c r="G11" s="230">
        <f t="shared" si="0"/>
        <v>9453</v>
      </c>
      <c r="H11" s="230">
        <f t="shared" si="0"/>
        <v>7734</v>
      </c>
      <c r="I11" s="230">
        <f t="shared" si="0"/>
        <v>54338</v>
      </c>
    </row>
    <row r="12" spans="1:9" ht="27.75" customHeight="1">
      <c r="A12" s="612" t="s">
        <v>1214</v>
      </c>
      <c r="B12" s="1527" t="str">
        <f>"Year : " &amp; $A$11</f>
        <v>Year : 2013-14</v>
      </c>
      <c r="C12" s="1528"/>
      <c r="D12" s="1528"/>
      <c r="E12" s="1528"/>
      <c r="F12" s="1528"/>
      <c r="G12" s="1528"/>
      <c r="H12" s="1528"/>
      <c r="I12" s="1529"/>
    </row>
    <row r="13" spans="1:9" ht="30" customHeight="1">
      <c r="A13" s="945" t="s">
        <v>1370</v>
      </c>
      <c r="B13" s="946">
        <f t="shared" ref="B13:G13" si="1">IF(SUM(B14:B21)=0,"-",SUM(B14:B21))</f>
        <v>176</v>
      </c>
      <c r="C13" s="946">
        <f>IF(SUM(C14:C21)=0,"-",SUM(C14:C21))</f>
        <v>7</v>
      </c>
      <c r="D13" s="946" t="str">
        <f>IF(SUM(D14:D21)=0,"-",SUM(D14:D21))</f>
        <v>-</v>
      </c>
      <c r="E13" s="946">
        <f>IF(SUM(E14:E21)=0,"-",SUM(E14:E21))</f>
        <v>7</v>
      </c>
      <c r="F13" s="946">
        <f t="shared" si="1"/>
        <v>39</v>
      </c>
      <c r="G13" s="946">
        <f t="shared" si="1"/>
        <v>2478</v>
      </c>
      <c r="H13" s="946">
        <f>IF(SUM(H14:H21)=0,"-",SUM(H14:H21))</f>
        <v>2514</v>
      </c>
      <c r="I13" s="946">
        <f>IF(SUM(I14:I21)=0,"-",SUM(I14:I21))</f>
        <v>16310</v>
      </c>
    </row>
    <row r="14" spans="1:9" ht="24" customHeight="1">
      <c r="A14" s="947" t="s">
        <v>26</v>
      </c>
      <c r="B14" s="804">
        <v>27</v>
      </c>
      <c r="C14" s="819">
        <v>1</v>
      </c>
      <c r="D14" s="804" t="s">
        <v>57</v>
      </c>
      <c r="E14" s="817">
        <f>SUM(C14:D14)</f>
        <v>1</v>
      </c>
      <c r="F14" s="229" t="s">
        <v>57</v>
      </c>
      <c r="G14" s="805">
        <v>141</v>
      </c>
      <c r="H14" s="229">
        <v>185</v>
      </c>
      <c r="I14" s="229">
        <v>2472</v>
      </c>
    </row>
    <row r="15" spans="1:9" ht="24" customHeight="1">
      <c r="A15" s="947" t="s">
        <v>27</v>
      </c>
      <c r="B15" s="804">
        <v>24</v>
      </c>
      <c r="C15" s="819">
        <v>1</v>
      </c>
      <c r="D15" s="804" t="s">
        <v>57</v>
      </c>
      <c r="E15" s="817">
        <f t="shared" ref="E15:E20" si="2">SUM(C15:D15)</f>
        <v>1</v>
      </c>
      <c r="F15" s="229" t="s">
        <v>57</v>
      </c>
      <c r="G15" s="805">
        <v>255</v>
      </c>
      <c r="H15" s="229">
        <v>267</v>
      </c>
      <c r="I15" s="229">
        <v>2542</v>
      </c>
    </row>
    <row r="16" spans="1:9" ht="24" customHeight="1">
      <c r="A16" s="947" t="s">
        <v>53</v>
      </c>
      <c r="B16" s="804">
        <v>26</v>
      </c>
      <c r="C16" s="819">
        <v>1</v>
      </c>
      <c r="D16" s="804" t="s">
        <v>57</v>
      </c>
      <c r="E16" s="817">
        <f t="shared" si="2"/>
        <v>1</v>
      </c>
      <c r="F16" s="804">
        <v>8</v>
      </c>
      <c r="G16" s="805">
        <v>265</v>
      </c>
      <c r="H16" s="229">
        <v>423</v>
      </c>
      <c r="I16" s="229">
        <v>2834</v>
      </c>
    </row>
    <row r="17" spans="1:9" ht="24" customHeight="1">
      <c r="A17" s="947" t="s">
        <v>28</v>
      </c>
      <c r="B17" s="804">
        <v>30</v>
      </c>
      <c r="C17" s="819">
        <v>1</v>
      </c>
      <c r="D17" s="804" t="s">
        <v>57</v>
      </c>
      <c r="E17" s="817">
        <f t="shared" si="2"/>
        <v>1</v>
      </c>
      <c r="F17" s="804">
        <v>29</v>
      </c>
      <c r="G17" s="805">
        <v>564</v>
      </c>
      <c r="H17" s="229">
        <v>707</v>
      </c>
      <c r="I17" s="229">
        <v>1911</v>
      </c>
    </row>
    <row r="18" spans="1:9" ht="24" customHeight="1">
      <c r="A18" s="947" t="s">
        <v>29</v>
      </c>
      <c r="B18" s="804">
        <v>23</v>
      </c>
      <c r="C18" s="819">
        <v>1</v>
      </c>
      <c r="D18" s="804" t="s">
        <v>57</v>
      </c>
      <c r="E18" s="817">
        <f t="shared" si="2"/>
        <v>1</v>
      </c>
      <c r="F18" s="229" t="s">
        <v>57</v>
      </c>
      <c r="G18" s="805">
        <v>551</v>
      </c>
      <c r="H18" s="229">
        <v>448</v>
      </c>
      <c r="I18" s="229">
        <v>2437</v>
      </c>
    </row>
    <row r="19" spans="1:9" ht="24" customHeight="1">
      <c r="A19" s="947" t="s">
        <v>48</v>
      </c>
      <c r="B19" s="804">
        <v>22</v>
      </c>
      <c r="C19" s="819">
        <v>1</v>
      </c>
      <c r="D19" s="804" t="s">
        <v>57</v>
      </c>
      <c r="E19" s="817">
        <f t="shared" si="2"/>
        <v>1</v>
      </c>
      <c r="F19" s="804">
        <v>2</v>
      </c>
      <c r="G19" s="805">
        <v>456</v>
      </c>
      <c r="H19" s="229">
        <v>273</v>
      </c>
      <c r="I19" s="229">
        <v>1854</v>
      </c>
    </row>
    <row r="20" spans="1:9" ht="24" customHeight="1">
      <c r="A20" s="947" t="s">
        <v>54</v>
      </c>
      <c r="B20" s="804">
        <v>24</v>
      </c>
      <c r="C20" s="819">
        <v>1</v>
      </c>
      <c r="D20" s="804" t="s">
        <v>57</v>
      </c>
      <c r="E20" s="817">
        <f t="shared" si="2"/>
        <v>1</v>
      </c>
      <c r="F20" s="229" t="s">
        <v>57</v>
      </c>
      <c r="G20" s="805">
        <v>246</v>
      </c>
      <c r="H20" s="229">
        <v>211</v>
      </c>
      <c r="I20" s="229">
        <v>2260</v>
      </c>
    </row>
    <row r="21" spans="1:9" ht="24" customHeight="1">
      <c r="A21" s="948" t="s">
        <v>49</v>
      </c>
      <c r="B21" s="949" t="s">
        <v>57</v>
      </c>
      <c r="C21" s="949" t="s">
        <v>57</v>
      </c>
      <c r="D21" s="808" t="s">
        <v>57</v>
      </c>
      <c r="E21" s="950" t="s">
        <v>57</v>
      </c>
      <c r="F21" s="230" t="s">
        <v>57</v>
      </c>
      <c r="G21" s="230" t="s">
        <v>57</v>
      </c>
      <c r="H21" s="230" t="s">
        <v>57</v>
      </c>
      <c r="I21" s="230" t="s">
        <v>57</v>
      </c>
    </row>
    <row r="22" spans="1:9" ht="14.25" customHeight="1">
      <c r="A22" s="951"/>
      <c r="B22" s="805"/>
      <c r="C22" s="952"/>
      <c r="D22" s="805"/>
      <c r="E22" s="952"/>
      <c r="F22" s="805"/>
      <c r="G22" s="805"/>
      <c r="H22" s="308"/>
      <c r="I22" s="548" t="s">
        <v>1246</v>
      </c>
    </row>
    <row r="23" spans="1:9" ht="12.75" customHeight="1">
      <c r="A23" s="1466" t="s">
        <v>775</v>
      </c>
      <c r="B23" s="1466"/>
      <c r="C23" s="1466"/>
      <c r="D23" s="1466"/>
      <c r="E23" s="1466"/>
      <c r="F23" s="1466"/>
      <c r="G23" s="1466"/>
      <c r="H23" s="1466"/>
      <c r="I23" s="1466"/>
    </row>
    <row r="24" spans="1:9" ht="15.95" customHeight="1">
      <c r="A24" s="753"/>
      <c r="B24" s="753"/>
      <c r="C24" s="824"/>
      <c r="D24" s="824"/>
      <c r="E24" s="824"/>
      <c r="F24" s="824"/>
      <c r="G24" s="824"/>
      <c r="H24" s="824"/>
      <c r="I24" s="905" t="s">
        <v>1058</v>
      </c>
    </row>
    <row r="25" spans="1:9" ht="15.95" customHeight="1">
      <c r="A25" s="1456" t="s">
        <v>1214</v>
      </c>
      <c r="B25" s="1408" t="s">
        <v>183</v>
      </c>
      <c r="C25" s="1400" t="s">
        <v>102</v>
      </c>
      <c r="D25" s="1400"/>
      <c r="E25" s="1401"/>
      <c r="F25" s="1407" t="s">
        <v>103</v>
      </c>
      <c r="G25" s="1400"/>
      <c r="H25" s="1401"/>
      <c r="I25" s="1408" t="s">
        <v>186</v>
      </c>
    </row>
    <row r="26" spans="1:9" ht="22.5" customHeight="1">
      <c r="A26" s="1456"/>
      <c r="B26" s="1409"/>
      <c r="C26" s="726" t="s">
        <v>1170</v>
      </c>
      <c r="D26" s="728" t="s">
        <v>1171</v>
      </c>
      <c r="E26" s="728" t="s">
        <v>1035</v>
      </c>
      <c r="F26" s="728" t="s">
        <v>1172</v>
      </c>
      <c r="G26" s="728" t="s">
        <v>1173</v>
      </c>
      <c r="H26" s="728" t="s">
        <v>1174</v>
      </c>
      <c r="I26" s="1411"/>
    </row>
    <row r="27" spans="1:9" ht="15.95" customHeight="1">
      <c r="A27" s="729" t="s">
        <v>1008</v>
      </c>
      <c r="B27" s="729" t="s">
        <v>1009</v>
      </c>
      <c r="C27" s="729" t="s">
        <v>1010</v>
      </c>
      <c r="D27" s="729" t="s">
        <v>1011</v>
      </c>
      <c r="E27" s="729" t="s">
        <v>1015</v>
      </c>
      <c r="F27" s="729" t="s">
        <v>1016</v>
      </c>
      <c r="G27" s="729" t="s">
        <v>1017</v>
      </c>
      <c r="H27" s="729" t="s">
        <v>1039</v>
      </c>
      <c r="I27" s="729" t="s">
        <v>1040</v>
      </c>
    </row>
    <row r="28" spans="1:9" ht="29.25" customHeight="1">
      <c r="A28" s="953" t="s">
        <v>1369</v>
      </c>
      <c r="B28" s="145">
        <f t="shared" ref="B28:I28" si="3">IF(SUM(B29:B36)=0,"-",SUM(B29:B36))</f>
        <v>169</v>
      </c>
      <c r="C28" s="509">
        <f>IF(SUM(C29:C36)=0,"-",SUM(C29:C36))</f>
        <v>8</v>
      </c>
      <c r="D28" s="145">
        <f>IF(SUM(D29:D36)=0,"-",SUM(D29:D36))</f>
        <v>4</v>
      </c>
      <c r="E28" s="145">
        <f>IF(SUM(E29:E36)=0,"-",SUM(E29:E36))</f>
        <v>12</v>
      </c>
      <c r="F28" s="145">
        <f>IF(SUM(F29:F36)=0,"-",SUM(F29:F36))</f>
        <v>24</v>
      </c>
      <c r="G28" s="145">
        <f t="shared" si="3"/>
        <v>4395</v>
      </c>
      <c r="H28" s="145">
        <f t="shared" si="3"/>
        <v>2958</v>
      </c>
      <c r="I28" s="145">
        <f t="shared" si="3"/>
        <v>20832</v>
      </c>
    </row>
    <row r="29" spans="1:9" ht="21.75" customHeight="1">
      <c r="A29" s="947" t="s">
        <v>33</v>
      </c>
      <c r="B29" s="804">
        <v>20</v>
      </c>
      <c r="C29" s="817">
        <v>1</v>
      </c>
      <c r="D29" s="804" t="s">
        <v>57</v>
      </c>
      <c r="E29" s="817">
        <f t="shared" ref="E29:E36" si="4">SUM(C29:D29)</f>
        <v>1</v>
      </c>
      <c r="F29" s="804">
        <v>4</v>
      </c>
      <c r="G29" s="805">
        <v>165</v>
      </c>
      <c r="H29" s="229">
        <v>405</v>
      </c>
      <c r="I29" s="229">
        <v>4932</v>
      </c>
    </row>
    <row r="30" spans="1:9" ht="21.75" customHeight="1">
      <c r="A30" s="947" t="s">
        <v>34</v>
      </c>
      <c r="B30" s="804">
        <v>27</v>
      </c>
      <c r="C30" s="817">
        <v>1</v>
      </c>
      <c r="D30" s="804" t="s">
        <v>57</v>
      </c>
      <c r="E30" s="817">
        <f t="shared" si="4"/>
        <v>1</v>
      </c>
      <c r="F30" s="804">
        <v>5</v>
      </c>
      <c r="G30" s="805">
        <v>425</v>
      </c>
      <c r="H30" s="229">
        <v>619</v>
      </c>
      <c r="I30" s="229">
        <v>2496</v>
      </c>
    </row>
    <row r="31" spans="1:9" ht="21.75" customHeight="1">
      <c r="A31" s="947" t="s">
        <v>55</v>
      </c>
      <c r="B31" s="804">
        <v>27</v>
      </c>
      <c r="C31" s="817">
        <v>1</v>
      </c>
      <c r="D31" s="804" t="s">
        <v>57</v>
      </c>
      <c r="E31" s="817">
        <f t="shared" si="4"/>
        <v>1</v>
      </c>
      <c r="F31" s="804">
        <v>9</v>
      </c>
      <c r="G31" s="805">
        <v>349</v>
      </c>
      <c r="H31" s="229">
        <v>545</v>
      </c>
      <c r="I31" s="229">
        <v>2554</v>
      </c>
    </row>
    <row r="32" spans="1:9" ht="21.75" customHeight="1">
      <c r="A32" s="947" t="s">
        <v>56</v>
      </c>
      <c r="B32" s="804">
        <v>21</v>
      </c>
      <c r="C32" s="817">
        <v>1</v>
      </c>
      <c r="D32" s="804" t="s">
        <v>57</v>
      </c>
      <c r="E32" s="817">
        <f t="shared" si="4"/>
        <v>1</v>
      </c>
      <c r="F32" s="1212">
        <v>2</v>
      </c>
      <c r="G32" s="805">
        <v>148</v>
      </c>
      <c r="H32" s="229">
        <v>395</v>
      </c>
      <c r="I32" s="229">
        <v>2393</v>
      </c>
    </row>
    <row r="33" spans="1:9" ht="21.75" customHeight="1">
      <c r="A33" s="947" t="s">
        <v>45</v>
      </c>
      <c r="B33" s="804">
        <v>23</v>
      </c>
      <c r="C33" s="817">
        <v>1</v>
      </c>
      <c r="D33" s="804" t="s">
        <v>57</v>
      </c>
      <c r="E33" s="817">
        <f t="shared" si="4"/>
        <v>1</v>
      </c>
      <c r="F33" s="1212">
        <v>1</v>
      </c>
      <c r="G33" s="805">
        <v>284</v>
      </c>
      <c r="H33" s="229">
        <v>363</v>
      </c>
      <c r="I33" s="229">
        <v>2109</v>
      </c>
    </row>
    <row r="34" spans="1:9" ht="21.75" customHeight="1">
      <c r="A34" s="947" t="s">
        <v>46</v>
      </c>
      <c r="B34" s="804">
        <v>24</v>
      </c>
      <c r="C34" s="817">
        <v>1</v>
      </c>
      <c r="D34" s="817" t="s">
        <v>57</v>
      </c>
      <c r="E34" s="817">
        <f t="shared" si="4"/>
        <v>1</v>
      </c>
      <c r="F34" s="804">
        <v>3</v>
      </c>
      <c r="G34" s="805">
        <v>1930</v>
      </c>
      <c r="H34" s="229">
        <v>231</v>
      </c>
      <c r="I34" s="229">
        <v>2152</v>
      </c>
    </row>
    <row r="35" spans="1:9" ht="21.75" customHeight="1">
      <c r="A35" s="947" t="s">
        <v>47</v>
      </c>
      <c r="B35" s="804">
        <v>27</v>
      </c>
      <c r="C35" s="817">
        <v>1</v>
      </c>
      <c r="D35" s="804" t="s">
        <v>57</v>
      </c>
      <c r="E35" s="817">
        <f t="shared" si="4"/>
        <v>1</v>
      </c>
      <c r="F35" s="229" t="s">
        <v>57</v>
      </c>
      <c r="G35" s="805">
        <v>414</v>
      </c>
      <c r="H35" s="229">
        <v>357</v>
      </c>
      <c r="I35" s="229">
        <v>2803</v>
      </c>
    </row>
    <row r="36" spans="1:9" ht="21.75" customHeight="1">
      <c r="A36" s="947" t="s">
        <v>58</v>
      </c>
      <c r="B36" s="804" t="s">
        <v>57</v>
      </c>
      <c r="C36" s="817">
        <v>1</v>
      </c>
      <c r="D36" s="804">
        <v>4</v>
      </c>
      <c r="E36" s="817">
        <f t="shared" si="4"/>
        <v>5</v>
      </c>
      <c r="F36" s="229" t="s">
        <v>57</v>
      </c>
      <c r="G36" s="805">
        <v>680</v>
      </c>
      <c r="H36" s="229">
        <v>43</v>
      </c>
      <c r="I36" s="229">
        <v>1393</v>
      </c>
    </row>
    <row r="37" spans="1:9" ht="30.75" customHeight="1">
      <c r="A37" s="953" t="s">
        <v>1368</v>
      </c>
      <c r="B37" s="145">
        <f t="shared" ref="B37:I37" si="5">IF(SUM(B38:B44)=0,"-",SUM(B38:B44))</f>
        <v>140</v>
      </c>
      <c r="C37" s="884">
        <f>IF(SUM(C38:C44)=0,"-",SUM(C38:C44))</f>
        <v>8</v>
      </c>
      <c r="D37" s="145">
        <f>IF(SUM(D38:D44)=0,"-",SUM(D38:D44))</f>
        <v>3</v>
      </c>
      <c r="E37" s="891">
        <f>IF(SUM(E38:E44)=0,"-",SUM(E38:E44))</f>
        <v>11</v>
      </c>
      <c r="F37" s="145">
        <f t="shared" si="5"/>
        <v>32</v>
      </c>
      <c r="G37" s="891">
        <f t="shared" si="5"/>
        <v>2580</v>
      </c>
      <c r="H37" s="145">
        <f t="shared" si="5"/>
        <v>2262</v>
      </c>
      <c r="I37" s="145">
        <f t="shared" si="5"/>
        <v>17196</v>
      </c>
    </row>
    <row r="38" spans="1:9" ht="21.75" customHeight="1">
      <c r="A38" s="947" t="s">
        <v>36</v>
      </c>
      <c r="B38" s="804">
        <v>35</v>
      </c>
      <c r="C38" s="817">
        <v>2</v>
      </c>
      <c r="D38" s="804">
        <v>2</v>
      </c>
      <c r="E38" s="817">
        <f t="shared" ref="E38:E44" si="6">SUM(C38:D38)</f>
        <v>4</v>
      </c>
      <c r="F38" s="804">
        <v>2</v>
      </c>
      <c r="G38" s="805">
        <v>413</v>
      </c>
      <c r="H38" s="229">
        <v>632</v>
      </c>
      <c r="I38" s="229">
        <v>3584</v>
      </c>
    </row>
    <row r="39" spans="1:9" ht="21.75" customHeight="1">
      <c r="A39" s="947" t="s">
        <v>37</v>
      </c>
      <c r="B39" s="804">
        <v>19</v>
      </c>
      <c r="C39" s="817">
        <v>1</v>
      </c>
      <c r="D39" s="804" t="s">
        <v>57</v>
      </c>
      <c r="E39" s="817">
        <f t="shared" si="6"/>
        <v>1</v>
      </c>
      <c r="F39" s="804">
        <v>7</v>
      </c>
      <c r="G39" s="805">
        <v>250</v>
      </c>
      <c r="H39" s="229">
        <v>222</v>
      </c>
      <c r="I39" s="229">
        <v>1717</v>
      </c>
    </row>
    <row r="40" spans="1:9" ht="21.75" customHeight="1">
      <c r="A40" s="947" t="s">
        <v>38</v>
      </c>
      <c r="B40" s="804">
        <v>33</v>
      </c>
      <c r="C40" s="817">
        <v>1</v>
      </c>
      <c r="D40" s="804" t="s">
        <v>57</v>
      </c>
      <c r="E40" s="817">
        <f t="shared" si="6"/>
        <v>1</v>
      </c>
      <c r="F40" s="1212">
        <v>1</v>
      </c>
      <c r="G40" s="805">
        <v>162</v>
      </c>
      <c r="H40" s="229">
        <v>462</v>
      </c>
      <c r="I40" s="229">
        <v>2055</v>
      </c>
    </row>
    <row r="41" spans="1:9" ht="21.75" customHeight="1">
      <c r="A41" s="947" t="s">
        <v>40</v>
      </c>
      <c r="B41" s="804">
        <v>20</v>
      </c>
      <c r="C41" s="817">
        <v>1</v>
      </c>
      <c r="D41" s="804" t="s">
        <v>57</v>
      </c>
      <c r="E41" s="817">
        <f t="shared" si="6"/>
        <v>1</v>
      </c>
      <c r="F41" s="1212">
        <v>8</v>
      </c>
      <c r="G41" s="805">
        <v>549</v>
      </c>
      <c r="H41" s="229">
        <v>314</v>
      </c>
      <c r="I41" s="229">
        <v>2296</v>
      </c>
    </row>
    <row r="42" spans="1:9" ht="21.75" customHeight="1">
      <c r="A42" s="947" t="s">
        <v>52</v>
      </c>
      <c r="B42" s="804">
        <v>18</v>
      </c>
      <c r="C42" s="817">
        <v>1</v>
      </c>
      <c r="D42" s="804" t="s">
        <v>57</v>
      </c>
      <c r="E42" s="817">
        <f t="shared" si="6"/>
        <v>1</v>
      </c>
      <c r="F42" s="1212">
        <v>5</v>
      </c>
      <c r="G42" s="805">
        <v>650</v>
      </c>
      <c r="H42" s="229">
        <v>297</v>
      </c>
      <c r="I42" s="229">
        <v>3826</v>
      </c>
    </row>
    <row r="43" spans="1:9" ht="21.75" customHeight="1">
      <c r="A43" s="947" t="s">
        <v>41</v>
      </c>
      <c r="B43" s="801" t="s">
        <v>57</v>
      </c>
      <c r="C43" s="819">
        <v>1</v>
      </c>
      <c r="D43" s="817">
        <v>1</v>
      </c>
      <c r="E43" s="817">
        <f t="shared" si="6"/>
        <v>2</v>
      </c>
      <c r="F43" s="1212">
        <v>4</v>
      </c>
      <c r="G43" s="805">
        <v>275</v>
      </c>
      <c r="H43" s="229">
        <v>21</v>
      </c>
      <c r="I43" s="229">
        <v>2170</v>
      </c>
    </row>
    <row r="44" spans="1:9" ht="21.75" customHeight="1">
      <c r="A44" s="948" t="s">
        <v>39</v>
      </c>
      <c r="B44" s="808">
        <v>15</v>
      </c>
      <c r="C44" s="949">
        <v>1</v>
      </c>
      <c r="D44" s="950" t="s">
        <v>57</v>
      </c>
      <c r="E44" s="950">
        <f t="shared" si="6"/>
        <v>1</v>
      </c>
      <c r="F44" s="808">
        <v>5</v>
      </c>
      <c r="G44" s="889">
        <v>281</v>
      </c>
      <c r="H44" s="230">
        <v>314</v>
      </c>
      <c r="I44" s="230">
        <v>1548</v>
      </c>
    </row>
    <row r="45" spans="1:9" ht="12.4" customHeight="1">
      <c r="A45" s="553" t="s">
        <v>1674</v>
      </c>
      <c r="B45" s="926" t="s">
        <v>57</v>
      </c>
      <c r="E45" s="723"/>
      <c r="F45" s="723"/>
      <c r="G45" s="549" t="s">
        <v>776</v>
      </c>
      <c r="H45" s="552" t="s">
        <v>1288</v>
      </c>
      <c r="I45" s="540"/>
    </row>
    <row r="46" spans="1:9" ht="12.4" customHeight="1">
      <c r="A46" s="553" t="s">
        <v>1675</v>
      </c>
      <c r="E46" s="723"/>
      <c r="F46" s="723"/>
      <c r="G46" s="549" t="s">
        <v>782</v>
      </c>
      <c r="H46" s="550" t="s">
        <v>1307</v>
      </c>
      <c r="I46" s="540"/>
    </row>
    <row r="47" spans="1:9" ht="12.4" customHeight="1">
      <c r="A47" s="553" t="s">
        <v>1676</v>
      </c>
      <c r="E47" s="723"/>
      <c r="F47" s="723"/>
      <c r="G47" s="553"/>
      <c r="H47" s="550" t="s">
        <v>1308</v>
      </c>
      <c r="I47" s="540"/>
    </row>
    <row r="48" spans="1:9" ht="12.4" customHeight="1">
      <c r="E48" s="723"/>
      <c r="F48" s="723"/>
      <c r="G48" s="723"/>
      <c r="H48" s="723"/>
      <c r="I48" s="723"/>
    </row>
    <row r="50" spans="6:6" ht="12.4" customHeight="1">
      <c r="F50" s="954"/>
    </row>
  </sheetData>
  <mergeCells count="14">
    <mergeCell ref="A1:I1"/>
    <mergeCell ref="A2:I2"/>
    <mergeCell ref="I4:I5"/>
    <mergeCell ref="A4:A5"/>
    <mergeCell ref="B4:B5"/>
    <mergeCell ref="C4:E4"/>
    <mergeCell ref="F4:H4"/>
    <mergeCell ref="B12:I12"/>
    <mergeCell ref="A23:I23"/>
    <mergeCell ref="I25:I26"/>
    <mergeCell ref="A25:A26"/>
    <mergeCell ref="B25:B26"/>
    <mergeCell ref="C25:E25"/>
    <mergeCell ref="F25:H25"/>
  </mergeCells>
  <phoneticPr fontId="0" type="noConversion"/>
  <conditionalFormatting sqref="A45:A47">
    <cfRule type="cellIs" dxfId="9" priority="1" stopIfTrue="1" operator="equal">
      <formula>".."</formula>
    </cfRule>
  </conditionalFormatting>
  <printOptions horizontalCentered="1"/>
  <pageMargins left="0.14000000000000001" right="0.14000000000000001" top="0.85" bottom="0.1" header="0.85" footer="0.1"/>
  <pageSetup paperSize="9" orientation="landscape" blackAndWhite="1" r:id="rId1"/>
  <headerFooter alignWithMargins="0"/>
  <rowBreaks count="1" manualBreakCount="1">
    <brk id="22" max="16383" man="1"/>
  </rowBreaks>
</worksheet>
</file>

<file path=xl/worksheets/sheet24.xml><?xml version="1.0" encoding="utf-8"?>
<worksheet xmlns="http://schemas.openxmlformats.org/spreadsheetml/2006/main" xmlns:r="http://schemas.openxmlformats.org/officeDocument/2006/relationships">
  <sheetPr codeName="Sheet24"/>
  <dimension ref="A1:F42"/>
  <sheetViews>
    <sheetView workbookViewId="0">
      <selection activeCell="F14" sqref="F14"/>
    </sheetView>
  </sheetViews>
  <sheetFormatPr defaultRowHeight="12.4" customHeight="1"/>
  <cols>
    <col min="1" max="1" width="21.7109375" style="723" customWidth="1"/>
    <col min="2" max="6" width="12.85546875" style="723" customWidth="1"/>
    <col min="7" max="16384" width="9.140625" style="723"/>
  </cols>
  <sheetData>
    <row r="1" spans="1:6" ht="14.25" customHeight="1">
      <c r="A1" s="1399" t="s">
        <v>646</v>
      </c>
      <c r="B1" s="1399"/>
      <c r="C1" s="1399"/>
      <c r="D1" s="1399"/>
      <c r="E1" s="1399"/>
      <c r="F1" s="1399"/>
    </row>
    <row r="2" spans="1:6" ht="32.25" customHeight="1">
      <c r="A2" s="1467" t="str">
        <f>CONCATENATE("Achievement of Universal Immunization Programme
 in the district of ",District!$A$1)</f>
        <v>Achievement of Universal Immunization Programme
 in the district of Purulia</v>
      </c>
      <c r="B2" s="1467"/>
      <c r="C2" s="1467"/>
      <c r="D2" s="1467"/>
      <c r="E2" s="1467"/>
      <c r="F2" s="1467"/>
    </row>
    <row r="3" spans="1:6" ht="14.25" customHeight="1">
      <c r="B3" s="772"/>
      <c r="C3" s="772"/>
      <c r="D3" s="772"/>
      <c r="E3" s="772"/>
      <c r="F3" s="738" t="s">
        <v>1058</v>
      </c>
    </row>
    <row r="4" spans="1:6" ht="15" customHeight="1">
      <c r="A4" s="719" t="s">
        <v>951</v>
      </c>
      <c r="B4" s="704" t="s">
        <v>1178</v>
      </c>
      <c r="C4" s="491" t="s">
        <v>1179</v>
      </c>
      <c r="D4" s="588" t="s">
        <v>1180</v>
      </c>
      <c r="E4" s="491" t="s">
        <v>1181</v>
      </c>
      <c r="F4" s="433" t="s">
        <v>1182</v>
      </c>
    </row>
    <row r="5" spans="1:6" ht="15" customHeight="1">
      <c r="A5" s="741" t="s">
        <v>1008</v>
      </c>
      <c r="B5" s="741" t="s">
        <v>1009</v>
      </c>
      <c r="C5" s="729" t="s">
        <v>1010</v>
      </c>
      <c r="D5" s="790" t="s">
        <v>1011</v>
      </c>
      <c r="E5" s="729" t="s">
        <v>1015</v>
      </c>
      <c r="F5" s="742" t="s">
        <v>1016</v>
      </c>
    </row>
    <row r="6" spans="1:6" ht="18" customHeight="1">
      <c r="A6" s="743" t="s">
        <v>1526</v>
      </c>
      <c r="B6" s="801">
        <v>56807</v>
      </c>
      <c r="C6" s="801">
        <v>60177</v>
      </c>
      <c r="D6" s="801">
        <v>59028</v>
      </c>
      <c r="E6" s="801">
        <v>59212</v>
      </c>
      <c r="F6" s="804">
        <v>54969</v>
      </c>
    </row>
    <row r="7" spans="1:6" ht="18" customHeight="1">
      <c r="A7" s="743" t="s">
        <v>1525</v>
      </c>
      <c r="B7" s="776">
        <v>62480</v>
      </c>
      <c r="C7" s="744">
        <v>57806</v>
      </c>
      <c r="D7" s="795">
        <v>57856</v>
      </c>
      <c r="E7" s="776">
        <v>56745</v>
      </c>
      <c r="F7" s="744">
        <v>54500</v>
      </c>
    </row>
    <row r="8" spans="1:6" ht="18" customHeight="1">
      <c r="A8" s="743" t="s">
        <v>1051</v>
      </c>
      <c r="B8" s="776">
        <v>62249</v>
      </c>
      <c r="C8" s="776">
        <v>57859</v>
      </c>
      <c r="D8" s="776">
        <v>51941</v>
      </c>
      <c r="E8" s="776">
        <v>60216</v>
      </c>
      <c r="F8" s="744">
        <v>54757</v>
      </c>
    </row>
    <row r="9" spans="1:6" ht="18" customHeight="1">
      <c r="A9" s="743" t="s">
        <v>1250</v>
      </c>
      <c r="B9" s="776">
        <v>53847</v>
      </c>
      <c r="C9" s="744">
        <v>56428</v>
      </c>
      <c r="D9" s="795">
        <v>57168</v>
      </c>
      <c r="E9" s="776">
        <v>54060</v>
      </c>
      <c r="F9" s="744">
        <v>57499</v>
      </c>
    </row>
    <row r="10" spans="1:6" ht="18" customHeight="1">
      <c r="A10" s="743" t="s">
        <v>527</v>
      </c>
      <c r="B10" s="777">
        <f>SUM( B12,B21,B30)</f>
        <v>61089</v>
      </c>
      <c r="C10" s="746">
        <f>SUM( C12,C21,C30)</f>
        <v>53978</v>
      </c>
      <c r="D10" s="746">
        <f>SUM( D12,D21,D30)</f>
        <v>54060</v>
      </c>
      <c r="E10" s="746">
        <f>SUM( E12,E21,E30)</f>
        <v>55635</v>
      </c>
      <c r="F10" s="746">
        <f>SUM( F12,F21,F30)</f>
        <v>51634</v>
      </c>
    </row>
    <row r="11" spans="1:6" ht="27" customHeight="1">
      <c r="A11" s="781" t="s">
        <v>1214</v>
      </c>
      <c r="B11" s="1534" t="str">
        <f>"Year : " &amp; $A$10</f>
        <v>Year : 2013-14</v>
      </c>
      <c r="C11" s="1535"/>
      <c r="D11" s="1535"/>
      <c r="E11" s="1535"/>
      <c r="F11" s="1536"/>
    </row>
    <row r="12" spans="1:6" ht="18" customHeight="1">
      <c r="A12" s="953" t="s">
        <v>566</v>
      </c>
      <c r="B12" s="955">
        <f>SUM(B13:B20)</f>
        <v>25059</v>
      </c>
      <c r="C12" s="946">
        <f>SUM(C13:C20)</f>
        <v>21659</v>
      </c>
      <c r="D12" s="956">
        <f>SUM(D13:D20)</f>
        <v>21659</v>
      </c>
      <c r="E12" s="955">
        <f>SUM(E13:E20)</f>
        <v>19908</v>
      </c>
      <c r="F12" s="946">
        <f>SUM(F13:F20)</f>
        <v>20412</v>
      </c>
    </row>
    <row r="13" spans="1:6" ht="18" customHeight="1">
      <c r="A13" s="947" t="s">
        <v>26</v>
      </c>
      <c r="B13" s="801">
        <v>4033</v>
      </c>
      <c r="C13" s="804">
        <v>3264</v>
      </c>
      <c r="D13" s="805">
        <v>3283</v>
      </c>
      <c r="E13" s="804">
        <v>2555</v>
      </c>
      <c r="F13" s="957">
        <v>2990</v>
      </c>
    </row>
    <row r="14" spans="1:6" ht="18" customHeight="1">
      <c r="A14" s="947" t="s">
        <v>27</v>
      </c>
      <c r="B14" s="801">
        <v>3344</v>
      </c>
      <c r="C14" s="804">
        <v>2734</v>
      </c>
      <c r="D14" s="805">
        <v>2733</v>
      </c>
      <c r="E14" s="804">
        <v>2707</v>
      </c>
      <c r="F14" s="957">
        <v>2535</v>
      </c>
    </row>
    <row r="15" spans="1:6" ht="18" customHeight="1">
      <c r="A15" s="947" t="s">
        <v>53</v>
      </c>
      <c r="B15" s="801">
        <v>3480</v>
      </c>
      <c r="C15" s="804">
        <v>2982</v>
      </c>
      <c r="D15" s="805">
        <v>2976</v>
      </c>
      <c r="E15" s="804">
        <v>2795</v>
      </c>
      <c r="F15" s="957">
        <v>2885</v>
      </c>
    </row>
    <row r="16" spans="1:6" ht="18" customHeight="1">
      <c r="A16" s="947" t="s">
        <v>28</v>
      </c>
      <c r="B16" s="801">
        <v>3510</v>
      </c>
      <c r="C16" s="804">
        <v>3281</v>
      </c>
      <c r="D16" s="805">
        <v>3265</v>
      </c>
      <c r="E16" s="804">
        <v>2770</v>
      </c>
      <c r="F16" s="957">
        <v>3179</v>
      </c>
    </row>
    <row r="17" spans="1:6" ht="18" customHeight="1">
      <c r="A17" s="947" t="s">
        <v>29</v>
      </c>
      <c r="B17" s="801">
        <v>3062</v>
      </c>
      <c r="C17" s="804">
        <v>2729</v>
      </c>
      <c r="D17" s="805">
        <v>2731</v>
      </c>
      <c r="E17" s="804">
        <v>2521</v>
      </c>
      <c r="F17" s="957">
        <v>2501</v>
      </c>
    </row>
    <row r="18" spans="1:6" ht="18" customHeight="1">
      <c r="A18" s="947" t="s">
        <v>48</v>
      </c>
      <c r="B18" s="801">
        <v>3589</v>
      </c>
      <c r="C18" s="804">
        <v>3213</v>
      </c>
      <c r="D18" s="805">
        <v>3229</v>
      </c>
      <c r="E18" s="804">
        <v>3099</v>
      </c>
      <c r="F18" s="957">
        <v>3019</v>
      </c>
    </row>
    <row r="19" spans="1:6" ht="18" customHeight="1">
      <c r="A19" s="947" t="s">
        <v>54</v>
      </c>
      <c r="B19" s="801">
        <v>4041</v>
      </c>
      <c r="C19" s="804">
        <v>3456</v>
      </c>
      <c r="D19" s="805">
        <v>3442</v>
      </c>
      <c r="E19" s="804">
        <v>3461</v>
      </c>
      <c r="F19" s="957">
        <v>3303</v>
      </c>
    </row>
    <row r="20" spans="1:6" ht="18" customHeight="1">
      <c r="A20" s="947" t="s">
        <v>49</v>
      </c>
      <c r="B20" s="1249" t="s">
        <v>57</v>
      </c>
      <c r="C20" s="1249" t="s">
        <v>57</v>
      </c>
      <c r="D20" s="1249" t="s">
        <v>57</v>
      </c>
      <c r="E20" s="1249" t="s">
        <v>57</v>
      </c>
      <c r="F20" s="229" t="s">
        <v>57</v>
      </c>
    </row>
    <row r="21" spans="1:6" ht="18" customHeight="1">
      <c r="A21" s="953" t="s">
        <v>50</v>
      </c>
      <c r="B21" s="891">
        <f>SUM(B22:B29)</f>
        <v>19667</v>
      </c>
      <c r="C21" s="145">
        <f>SUM(C22:C29)</f>
        <v>18101</v>
      </c>
      <c r="D21" s="884">
        <f>SUM(D22:D29)</f>
        <v>18194</v>
      </c>
      <c r="E21" s="145">
        <f>SUM(E22:E29)</f>
        <v>23285</v>
      </c>
      <c r="F21" s="509">
        <f>SUM(F22:F29)</f>
        <v>17330</v>
      </c>
    </row>
    <row r="22" spans="1:6" ht="18" customHeight="1">
      <c r="A22" s="947" t="s">
        <v>33</v>
      </c>
      <c r="B22" s="801">
        <v>1807</v>
      </c>
      <c r="C22" s="804">
        <v>1622</v>
      </c>
      <c r="D22" s="805">
        <v>1621</v>
      </c>
      <c r="E22" s="804">
        <v>1705</v>
      </c>
      <c r="F22" s="928">
        <v>1545</v>
      </c>
    </row>
    <row r="23" spans="1:6" ht="18" customHeight="1">
      <c r="A23" s="947" t="s">
        <v>34</v>
      </c>
      <c r="B23" s="801">
        <v>2896</v>
      </c>
      <c r="C23" s="804">
        <v>2590</v>
      </c>
      <c r="D23" s="805">
        <v>2594</v>
      </c>
      <c r="E23" s="804">
        <v>2086</v>
      </c>
      <c r="F23" s="928">
        <v>2471</v>
      </c>
    </row>
    <row r="24" spans="1:6" ht="18" customHeight="1">
      <c r="A24" s="947" t="s">
        <v>55</v>
      </c>
      <c r="B24" s="801">
        <v>2853</v>
      </c>
      <c r="C24" s="804">
        <v>2559</v>
      </c>
      <c r="D24" s="805">
        <v>2558</v>
      </c>
      <c r="E24" s="804">
        <v>2432</v>
      </c>
      <c r="F24" s="928">
        <v>2403</v>
      </c>
    </row>
    <row r="25" spans="1:6" ht="18" customHeight="1">
      <c r="A25" s="947" t="s">
        <v>56</v>
      </c>
      <c r="B25" s="801">
        <v>1790</v>
      </c>
      <c r="C25" s="804">
        <v>1595</v>
      </c>
      <c r="D25" s="805">
        <v>1596</v>
      </c>
      <c r="E25" s="804">
        <v>1275</v>
      </c>
      <c r="F25" s="928">
        <v>1501</v>
      </c>
    </row>
    <row r="26" spans="1:6" ht="18" customHeight="1">
      <c r="A26" s="947" t="s">
        <v>45</v>
      </c>
      <c r="B26" s="801">
        <v>2357</v>
      </c>
      <c r="C26" s="804">
        <v>2105</v>
      </c>
      <c r="D26" s="805">
        <v>2111</v>
      </c>
      <c r="E26" s="804">
        <v>1432</v>
      </c>
      <c r="F26" s="928">
        <v>1981</v>
      </c>
    </row>
    <row r="27" spans="1:6" ht="18" customHeight="1">
      <c r="A27" s="947" t="s">
        <v>46</v>
      </c>
      <c r="B27" s="801">
        <v>3177</v>
      </c>
      <c r="C27" s="804">
        <v>2743</v>
      </c>
      <c r="D27" s="805">
        <v>2735</v>
      </c>
      <c r="E27" s="804">
        <v>2450</v>
      </c>
      <c r="F27" s="928">
        <v>2651</v>
      </c>
    </row>
    <row r="28" spans="1:6" ht="18" customHeight="1">
      <c r="A28" s="947" t="s">
        <v>47</v>
      </c>
      <c r="B28" s="801">
        <v>3701</v>
      </c>
      <c r="C28" s="804">
        <v>3161</v>
      </c>
      <c r="D28" s="805">
        <v>3166</v>
      </c>
      <c r="E28" s="804">
        <v>2317</v>
      </c>
      <c r="F28" s="928">
        <v>3080</v>
      </c>
    </row>
    <row r="29" spans="1:6" ht="18" customHeight="1">
      <c r="A29" s="947" t="s">
        <v>58</v>
      </c>
      <c r="B29" s="801">
        <v>1086</v>
      </c>
      <c r="C29" s="804">
        <v>1726</v>
      </c>
      <c r="D29" s="805">
        <v>1813</v>
      </c>
      <c r="E29" s="804">
        <v>9588</v>
      </c>
      <c r="F29" s="928">
        <v>1698</v>
      </c>
    </row>
    <row r="30" spans="1:6" ht="26.25" customHeight="1">
      <c r="A30" s="953" t="s">
        <v>1368</v>
      </c>
      <c r="B30" s="891">
        <f>SUM(B31:B37)</f>
        <v>16363</v>
      </c>
      <c r="C30" s="145">
        <f>SUM(C31:C37)</f>
        <v>14218</v>
      </c>
      <c r="D30" s="884">
        <f>SUM(D31:D37)</f>
        <v>14207</v>
      </c>
      <c r="E30" s="145">
        <f>SUM(E31:E37)</f>
        <v>12442</v>
      </c>
      <c r="F30" s="509">
        <f>SUM(F31:F37)</f>
        <v>13892</v>
      </c>
    </row>
    <row r="31" spans="1:6" ht="18" customHeight="1">
      <c r="A31" s="947" t="s">
        <v>36</v>
      </c>
      <c r="B31" s="801">
        <v>3406</v>
      </c>
      <c r="C31" s="804">
        <v>3041</v>
      </c>
      <c r="D31" s="805">
        <v>3058</v>
      </c>
      <c r="E31" s="804">
        <v>2192</v>
      </c>
      <c r="F31" s="928">
        <v>3023</v>
      </c>
    </row>
    <row r="32" spans="1:6" ht="18" customHeight="1">
      <c r="A32" s="947" t="s">
        <v>37</v>
      </c>
      <c r="B32" s="801">
        <v>2026</v>
      </c>
      <c r="C32" s="804">
        <v>1799</v>
      </c>
      <c r="D32" s="805">
        <v>1806</v>
      </c>
      <c r="E32" s="804">
        <v>1470</v>
      </c>
      <c r="F32" s="928">
        <v>1778</v>
      </c>
    </row>
    <row r="33" spans="1:6" ht="18" customHeight="1">
      <c r="A33" s="947" t="s">
        <v>38</v>
      </c>
      <c r="B33" s="801">
        <v>4223</v>
      </c>
      <c r="C33" s="804">
        <v>3710</v>
      </c>
      <c r="D33" s="805">
        <v>3684</v>
      </c>
      <c r="E33" s="804">
        <v>3069</v>
      </c>
      <c r="F33" s="928">
        <v>3564</v>
      </c>
    </row>
    <row r="34" spans="1:6" ht="18" customHeight="1">
      <c r="A34" s="947" t="s">
        <v>40</v>
      </c>
      <c r="B34" s="801">
        <v>2459</v>
      </c>
      <c r="C34" s="804">
        <v>2161</v>
      </c>
      <c r="D34" s="805">
        <v>2161</v>
      </c>
      <c r="E34" s="804">
        <v>1174</v>
      </c>
      <c r="F34" s="928">
        <v>2102</v>
      </c>
    </row>
    <row r="35" spans="1:6" ht="18" customHeight="1">
      <c r="A35" s="947" t="s">
        <v>52</v>
      </c>
      <c r="B35" s="801">
        <v>2292</v>
      </c>
      <c r="C35" s="804">
        <v>2048</v>
      </c>
      <c r="D35" s="805">
        <v>2032</v>
      </c>
      <c r="E35" s="804">
        <v>1757</v>
      </c>
      <c r="F35" s="928">
        <v>1978</v>
      </c>
    </row>
    <row r="36" spans="1:6" ht="18" customHeight="1">
      <c r="A36" s="947" t="s">
        <v>41</v>
      </c>
      <c r="B36" s="801">
        <v>440</v>
      </c>
      <c r="C36" s="804">
        <v>164</v>
      </c>
      <c r="D36" s="805">
        <v>164</v>
      </c>
      <c r="E36" s="804">
        <v>1719</v>
      </c>
      <c r="F36" s="928">
        <v>180</v>
      </c>
    </row>
    <row r="37" spans="1:6" ht="18" customHeight="1">
      <c r="A37" s="948" t="s">
        <v>39</v>
      </c>
      <c r="B37" s="958">
        <v>1517</v>
      </c>
      <c r="C37" s="808">
        <v>1295</v>
      </c>
      <c r="D37" s="889">
        <v>1302</v>
      </c>
      <c r="E37" s="808">
        <v>1061</v>
      </c>
      <c r="F37" s="806">
        <v>1267</v>
      </c>
    </row>
    <row r="38" spans="1:6" ht="12.4" customHeight="1">
      <c r="A38" s="553" t="s">
        <v>799</v>
      </c>
      <c r="B38" s="553"/>
      <c r="C38" s="553"/>
      <c r="D38" s="1532" t="s">
        <v>1289</v>
      </c>
      <c r="E38" s="1533"/>
      <c r="F38" s="1533"/>
    </row>
    <row r="39" spans="1:6" ht="12.4" customHeight="1">
      <c r="A39" s="1530" t="s">
        <v>1128</v>
      </c>
      <c r="B39" s="1531"/>
      <c r="C39" s="1531"/>
      <c r="D39" s="113"/>
      <c r="E39" s="113"/>
      <c r="F39" s="113"/>
    </row>
    <row r="40" spans="1:6" ht="12.4" customHeight="1">
      <c r="A40" s="1530" t="s">
        <v>1129</v>
      </c>
      <c r="B40" s="1531"/>
      <c r="C40" s="1531"/>
      <c r="D40" s="113"/>
      <c r="E40" s="113"/>
      <c r="F40" s="113"/>
    </row>
    <row r="41" spans="1:6" ht="12.4" customHeight="1">
      <c r="A41" s="37"/>
      <c r="B41" s="37"/>
      <c r="C41" s="37"/>
      <c r="D41" s="37"/>
      <c r="E41" s="37"/>
      <c r="F41" s="37"/>
    </row>
    <row r="42" spans="1:6" ht="12.4" customHeight="1">
      <c r="A42" s="926"/>
      <c r="B42" s="926"/>
      <c r="C42" s="926"/>
      <c r="D42" s="926"/>
      <c r="E42" s="926"/>
      <c r="F42" s="926"/>
    </row>
  </sheetData>
  <mergeCells count="6">
    <mergeCell ref="A1:F1"/>
    <mergeCell ref="A39:C39"/>
    <mergeCell ref="A40:C40"/>
    <mergeCell ref="D38:F38"/>
    <mergeCell ref="A2:F2"/>
    <mergeCell ref="B11:F11"/>
  </mergeCells>
  <phoneticPr fontId="0" type="noConversion"/>
  <conditionalFormatting sqref="A1:XFD1048576">
    <cfRule type="cellIs" dxfId="8" priority="1" stopIfTrue="1" operator="equal">
      <formula>".."</formula>
    </cfRule>
  </conditionalFormatting>
  <printOptions horizontalCentered="1"/>
  <pageMargins left="0.1" right="0.1" top="0.85" bottom="0.1" header="0.85" footer="0.1"/>
  <pageSetup paperSize="9" orientation="portrait" blackAndWhite="1" r:id="rId1"/>
  <headerFooter alignWithMargins="0"/>
</worksheet>
</file>

<file path=xl/worksheets/sheet25.xml><?xml version="1.0" encoding="utf-8"?>
<worksheet xmlns="http://schemas.openxmlformats.org/spreadsheetml/2006/main" xmlns:r="http://schemas.openxmlformats.org/officeDocument/2006/relationships">
  <sheetPr codeName="Sheet25"/>
  <dimension ref="A1:D56"/>
  <sheetViews>
    <sheetView workbookViewId="0">
      <selection activeCell="F14" sqref="F14"/>
    </sheetView>
  </sheetViews>
  <sheetFormatPr defaultRowHeight="12.4" customHeight="1"/>
  <cols>
    <col min="1" max="1" width="21.7109375" style="926" customWidth="1"/>
    <col min="2" max="4" width="19.7109375" style="926" customWidth="1"/>
    <col min="5" max="16384" width="9.140625" style="926"/>
  </cols>
  <sheetData>
    <row r="1" spans="1:4" ht="15" customHeight="1">
      <c r="A1" s="1537" t="s">
        <v>647</v>
      </c>
      <c r="B1" s="1537"/>
      <c r="C1" s="1537"/>
      <c r="D1" s="1537"/>
    </row>
    <row r="2" spans="1:4" ht="34.5" customHeight="1">
      <c r="A2" s="1538" t="str">
        <f>CONCATENATE(" Patients treated in Hospitals, Health Centres and Sub-centres
 in the district of ",District!$A$1)</f>
        <v xml:space="preserve"> Patients treated in Hospitals, Health Centres and Sub-centres
 in the district of Purulia</v>
      </c>
      <c r="B2" s="1538"/>
      <c r="C2" s="1538"/>
      <c r="D2" s="1538"/>
    </row>
    <row r="3" spans="1:4" ht="12.75" customHeight="1">
      <c r="B3" s="959"/>
      <c r="C3" s="959"/>
      <c r="D3" s="960" t="s">
        <v>1058</v>
      </c>
    </row>
    <row r="4" spans="1:4" ht="16.5" customHeight="1">
      <c r="A4" s="961" t="s">
        <v>951</v>
      </c>
      <c r="B4" s="229" t="s">
        <v>1183</v>
      </c>
      <c r="C4" s="962" t="s">
        <v>1184</v>
      </c>
      <c r="D4" s="962" t="s">
        <v>1035</v>
      </c>
    </row>
    <row r="5" spans="1:4" ht="18.75" customHeight="1">
      <c r="A5" s="963" t="s">
        <v>1008</v>
      </c>
      <c r="B5" s="964" t="s">
        <v>1009</v>
      </c>
      <c r="C5" s="964" t="s">
        <v>1010</v>
      </c>
      <c r="D5" s="964" t="s">
        <v>1011</v>
      </c>
    </row>
    <row r="6" spans="1:4" ht="18" customHeight="1">
      <c r="A6" s="804">
        <v>2010</v>
      </c>
      <c r="B6" s="805">
        <v>306434</v>
      </c>
      <c r="C6" s="804">
        <v>2061525</v>
      </c>
      <c r="D6" s="804">
        <v>2367959</v>
      </c>
    </row>
    <row r="7" spans="1:4" ht="18" customHeight="1">
      <c r="A7" s="804">
        <v>2011</v>
      </c>
      <c r="B7" s="804">
        <v>211127</v>
      </c>
      <c r="C7" s="804">
        <v>2291196</v>
      </c>
      <c r="D7" s="804">
        <v>2502323</v>
      </c>
    </row>
    <row r="8" spans="1:4" ht="18" customHeight="1">
      <c r="A8" s="804">
        <v>2012</v>
      </c>
      <c r="B8" s="804">
        <v>210185</v>
      </c>
      <c r="C8" s="802">
        <v>4942112</v>
      </c>
      <c r="D8" s="804">
        <v>5152297</v>
      </c>
    </row>
    <row r="9" spans="1:4" ht="18" customHeight="1">
      <c r="A9" s="804">
        <v>2013</v>
      </c>
      <c r="B9" s="804">
        <v>225846</v>
      </c>
      <c r="C9" s="802">
        <v>4562660</v>
      </c>
      <c r="D9" s="804">
        <v>4788506</v>
      </c>
    </row>
    <row r="10" spans="1:4" ht="18" customHeight="1">
      <c r="A10" s="230">
        <v>2014</v>
      </c>
      <c r="B10" s="808">
        <f>SUM(B12,B21,B30)</f>
        <v>252557</v>
      </c>
      <c r="C10" s="808">
        <f>SUM(C12,C21,C30)</f>
        <v>4830181</v>
      </c>
      <c r="D10" s="808">
        <f>SUM(D12,D21,D30)</f>
        <v>5082738</v>
      </c>
    </row>
    <row r="11" spans="1:4" ht="27" customHeight="1">
      <c r="A11" s="965" t="s">
        <v>1315</v>
      </c>
      <c r="B11" s="1539" t="str">
        <f>"Year : " &amp; $A$10</f>
        <v>Year : 2014</v>
      </c>
      <c r="C11" s="1399"/>
      <c r="D11" s="1540"/>
    </row>
    <row r="12" spans="1:4" ht="18" customHeight="1">
      <c r="A12" s="966" t="s">
        <v>566</v>
      </c>
      <c r="B12" s="955">
        <f>SUM(B13:B20)</f>
        <v>49276</v>
      </c>
      <c r="C12" s="946">
        <f>SUM(C13:C20)</f>
        <v>1464726</v>
      </c>
      <c r="D12" s="967">
        <f>SUM(B12:C12)</f>
        <v>1514002</v>
      </c>
    </row>
    <row r="13" spans="1:4" ht="18" customHeight="1">
      <c r="A13" s="947" t="s">
        <v>26</v>
      </c>
      <c r="B13" s="801">
        <v>4001</v>
      </c>
      <c r="C13" s="801">
        <v>208674</v>
      </c>
      <c r="D13" s="306">
        <f>IF(SUM(B13:C13)=0,"..",SUM(B13:C13))</f>
        <v>212675</v>
      </c>
    </row>
    <row r="14" spans="1:4" ht="18" customHeight="1">
      <c r="A14" s="947" t="s">
        <v>27</v>
      </c>
      <c r="B14" s="801">
        <v>7756</v>
      </c>
      <c r="C14" s="801">
        <v>161919</v>
      </c>
      <c r="D14" s="306">
        <f t="shared" ref="D14:D19" si="0">IF(SUM(B14:C14)=0,"..",SUM(B14:C14))</f>
        <v>169675</v>
      </c>
    </row>
    <row r="15" spans="1:4" ht="18" customHeight="1">
      <c r="A15" s="947" t="s">
        <v>53</v>
      </c>
      <c r="B15" s="801">
        <v>10255</v>
      </c>
      <c r="C15" s="801">
        <v>250414</v>
      </c>
      <c r="D15" s="306">
        <f t="shared" si="0"/>
        <v>260669</v>
      </c>
    </row>
    <row r="16" spans="1:4" ht="18" customHeight="1">
      <c r="A16" s="947" t="s">
        <v>28</v>
      </c>
      <c r="B16" s="801">
        <v>6498</v>
      </c>
      <c r="C16" s="801">
        <v>184677</v>
      </c>
      <c r="D16" s="306">
        <f t="shared" si="0"/>
        <v>191175</v>
      </c>
    </row>
    <row r="17" spans="1:4" ht="18" customHeight="1">
      <c r="A17" s="947" t="s">
        <v>29</v>
      </c>
      <c r="B17" s="801">
        <v>5122</v>
      </c>
      <c r="C17" s="801">
        <v>222090</v>
      </c>
      <c r="D17" s="306">
        <f t="shared" si="0"/>
        <v>227212</v>
      </c>
    </row>
    <row r="18" spans="1:4" ht="18" customHeight="1">
      <c r="A18" s="947" t="s">
        <v>48</v>
      </c>
      <c r="B18" s="801">
        <v>8572</v>
      </c>
      <c r="C18" s="801">
        <v>198949</v>
      </c>
      <c r="D18" s="306">
        <f t="shared" si="0"/>
        <v>207521</v>
      </c>
    </row>
    <row r="19" spans="1:4" ht="18" customHeight="1">
      <c r="A19" s="947" t="s">
        <v>54</v>
      </c>
      <c r="B19" s="801">
        <v>7072</v>
      </c>
      <c r="C19" s="801">
        <v>238003</v>
      </c>
      <c r="D19" s="306">
        <f t="shared" si="0"/>
        <v>245075</v>
      </c>
    </row>
    <row r="20" spans="1:4" ht="18" customHeight="1">
      <c r="A20" s="947" t="s">
        <v>49</v>
      </c>
      <c r="B20" s="1284" t="s">
        <v>57</v>
      </c>
      <c r="C20" s="1284" t="s">
        <v>57</v>
      </c>
      <c r="D20" s="306" t="s">
        <v>57</v>
      </c>
    </row>
    <row r="21" spans="1:4" ht="18" customHeight="1">
      <c r="A21" s="953" t="s">
        <v>50</v>
      </c>
      <c r="B21" s="891">
        <f>SUM(B22:B29)</f>
        <v>131520</v>
      </c>
      <c r="C21" s="145">
        <f>SUM(C22:C29)</f>
        <v>1969507</v>
      </c>
      <c r="D21" s="815">
        <f>SUM(B21:C21)</f>
        <v>2101027</v>
      </c>
    </row>
    <row r="22" spans="1:4" ht="18" customHeight="1">
      <c r="A22" s="947" t="s">
        <v>33</v>
      </c>
      <c r="B22" s="801">
        <v>10609</v>
      </c>
      <c r="C22" s="804">
        <v>177339</v>
      </c>
      <c r="D22" s="306">
        <f t="shared" ref="D22:D29" si="1">IF(SUM(B22:C22)=0,"..",SUM(B22:C22))</f>
        <v>187948</v>
      </c>
    </row>
    <row r="23" spans="1:4" ht="18" customHeight="1">
      <c r="A23" s="947" t="s">
        <v>34</v>
      </c>
      <c r="B23" s="801">
        <v>8735</v>
      </c>
      <c r="C23" s="804">
        <v>242155</v>
      </c>
      <c r="D23" s="306">
        <f t="shared" si="1"/>
        <v>250890</v>
      </c>
    </row>
    <row r="24" spans="1:4" ht="18" customHeight="1">
      <c r="A24" s="947" t="s">
        <v>55</v>
      </c>
      <c r="B24" s="801">
        <v>8695</v>
      </c>
      <c r="C24" s="804">
        <v>243730</v>
      </c>
      <c r="D24" s="306">
        <f t="shared" si="1"/>
        <v>252425</v>
      </c>
    </row>
    <row r="25" spans="1:4" ht="18" customHeight="1">
      <c r="A25" s="947" t="s">
        <v>56</v>
      </c>
      <c r="B25" s="801">
        <v>4364</v>
      </c>
      <c r="C25" s="804">
        <v>170503</v>
      </c>
      <c r="D25" s="306">
        <f t="shared" si="1"/>
        <v>174867</v>
      </c>
    </row>
    <row r="26" spans="1:4" ht="18" customHeight="1">
      <c r="A26" s="947" t="s">
        <v>45</v>
      </c>
      <c r="B26" s="801">
        <v>5018</v>
      </c>
      <c r="C26" s="804">
        <v>214312</v>
      </c>
      <c r="D26" s="306">
        <f t="shared" si="1"/>
        <v>219330</v>
      </c>
    </row>
    <row r="27" spans="1:4" ht="18" customHeight="1">
      <c r="A27" s="947" t="s">
        <v>46</v>
      </c>
      <c r="B27" s="801">
        <v>7795</v>
      </c>
      <c r="C27" s="804">
        <v>271956</v>
      </c>
      <c r="D27" s="306">
        <f t="shared" si="1"/>
        <v>279751</v>
      </c>
    </row>
    <row r="28" spans="1:4" ht="18" customHeight="1">
      <c r="A28" s="947" t="s">
        <v>47</v>
      </c>
      <c r="B28" s="801">
        <v>3791</v>
      </c>
      <c r="C28" s="804">
        <v>203229</v>
      </c>
      <c r="D28" s="306">
        <f t="shared" si="1"/>
        <v>207020</v>
      </c>
    </row>
    <row r="29" spans="1:4" ht="18" customHeight="1">
      <c r="A29" s="947" t="s">
        <v>58</v>
      </c>
      <c r="B29" s="801">
        <v>82513</v>
      </c>
      <c r="C29" s="804">
        <v>446283</v>
      </c>
      <c r="D29" s="306">
        <f t="shared" si="1"/>
        <v>528796</v>
      </c>
    </row>
    <row r="30" spans="1:4" ht="27.75" customHeight="1">
      <c r="A30" s="953" t="s">
        <v>1368</v>
      </c>
      <c r="B30" s="891">
        <f>SUM(B31:B37)</f>
        <v>71761</v>
      </c>
      <c r="C30" s="145">
        <f>SUM(C31:C37)</f>
        <v>1395948</v>
      </c>
      <c r="D30" s="815">
        <f>SUM(B30:C30)</f>
        <v>1467709</v>
      </c>
    </row>
    <row r="31" spans="1:4" ht="18" customHeight="1">
      <c r="A31" s="947" t="s">
        <v>36</v>
      </c>
      <c r="B31" s="801">
        <v>9970</v>
      </c>
      <c r="C31" s="804">
        <v>296525</v>
      </c>
      <c r="D31" s="306">
        <f t="shared" ref="D31:D37" si="2">IF(SUM(B31:C31)=0,"..",SUM(B31:C31))</f>
        <v>306495</v>
      </c>
    </row>
    <row r="32" spans="1:4" ht="18" customHeight="1">
      <c r="A32" s="947" t="s">
        <v>37</v>
      </c>
      <c r="B32" s="801">
        <v>5366</v>
      </c>
      <c r="C32" s="804">
        <v>168817</v>
      </c>
      <c r="D32" s="306">
        <f t="shared" si="2"/>
        <v>174183</v>
      </c>
    </row>
    <row r="33" spans="1:4" ht="18" customHeight="1">
      <c r="A33" s="947" t="s">
        <v>38</v>
      </c>
      <c r="B33" s="801">
        <v>15895</v>
      </c>
      <c r="C33" s="804">
        <v>331506</v>
      </c>
      <c r="D33" s="306">
        <f t="shared" si="2"/>
        <v>347401</v>
      </c>
    </row>
    <row r="34" spans="1:4" ht="18" customHeight="1">
      <c r="A34" s="947" t="s">
        <v>40</v>
      </c>
      <c r="B34" s="141">
        <v>1913</v>
      </c>
      <c r="C34" s="804">
        <v>152413</v>
      </c>
      <c r="D34" s="306">
        <f t="shared" si="2"/>
        <v>154326</v>
      </c>
    </row>
    <row r="35" spans="1:4" ht="18" customHeight="1">
      <c r="A35" s="947" t="s">
        <v>52</v>
      </c>
      <c r="B35" s="801">
        <v>7344</v>
      </c>
      <c r="C35" s="804">
        <v>116687</v>
      </c>
      <c r="D35" s="306">
        <f t="shared" si="2"/>
        <v>124031</v>
      </c>
    </row>
    <row r="36" spans="1:4" ht="18" customHeight="1">
      <c r="A36" s="947" t="s">
        <v>41</v>
      </c>
      <c r="B36" s="801">
        <v>18013</v>
      </c>
      <c r="C36" s="804">
        <v>113374</v>
      </c>
      <c r="D36" s="306">
        <f t="shared" si="2"/>
        <v>131387</v>
      </c>
    </row>
    <row r="37" spans="1:4" ht="18" customHeight="1">
      <c r="A37" s="948" t="s">
        <v>39</v>
      </c>
      <c r="B37" s="958">
        <v>13260</v>
      </c>
      <c r="C37" s="808">
        <v>216626</v>
      </c>
      <c r="D37" s="307">
        <f t="shared" si="2"/>
        <v>229886</v>
      </c>
    </row>
    <row r="38" spans="1:4" ht="13.5" customHeight="1">
      <c r="C38" s="549" t="s">
        <v>1130</v>
      </c>
      <c r="D38" s="968" t="s">
        <v>1290</v>
      </c>
    </row>
    <row r="39" spans="1:4" ht="12.4" customHeight="1">
      <c r="C39" s="549" t="s">
        <v>782</v>
      </c>
      <c r="D39" s="1541" t="s">
        <v>114</v>
      </c>
    </row>
    <row r="40" spans="1:4" ht="12.4" customHeight="1">
      <c r="C40" s="37"/>
      <c r="D40" s="1542"/>
    </row>
    <row r="41" spans="1:4" ht="12.4" customHeight="1">
      <c r="C41" s="37"/>
      <c r="D41" s="1542"/>
    </row>
    <row r="42" spans="1:4" ht="14.25" customHeight="1">
      <c r="C42" s="37"/>
      <c r="D42" s="1542"/>
    </row>
    <row r="47" spans="1:4" ht="12.4" customHeight="1">
      <c r="B47" s="550"/>
    </row>
    <row r="48" spans="1:4" ht="12.4" customHeight="1">
      <c r="B48" s="37"/>
    </row>
    <row r="49" spans="2:4" ht="12.4" customHeight="1">
      <c r="B49" s="37"/>
    </row>
    <row r="50" spans="2:4" ht="12.4" customHeight="1">
      <c r="B50" s="37"/>
    </row>
    <row r="54" spans="2:4" ht="12.4" customHeight="1">
      <c r="B54" s="549"/>
      <c r="C54" s="968"/>
      <c r="D54" s="113"/>
    </row>
    <row r="55" spans="2:4" ht="12.4" customHeight="1">
      <c r="B55" s="549"/>
      <c r="C55" s="550"/>
      <c r="D55" s="969"/>
    </row>
    <row r="56" spans="2:4" ht="12.4" customHeight="1">
      <c r="B56" s="553"/>
      <c r="C56" s="550"/>
    </row>
  </sheetData>
  <mergeCells count="4">
    <mergeCell ref="A1:D1"/>
    <mergeCell ref="A2:D2"/>
    <mergeCell ref="B11:D11"/>
    <mergeCell ref="D39:D42"/>
  </mergeCells>
  <phoneticPr fontId="0" type="noConversion"/>
  <conditionalFormatting sqref="A1:XFD1048576">
    <cfRule type="cellIs" dxfId="7" priority="1" stopIfTrue="1" operator="equal">
      <formula>".."</formula>
    </cfRule>
  </conditionalFormatting>
  <printOptions horizontalCentered="1" verticalCentered="1"/>
  <pageMargins left="0.15" right="0.15" top="0.36" bottom="0.1" header="0.4" footer="0.1"/>
  <pageSetup paperSize="9" orientation="portrait" blackAndWhite="1" r:id="rId1"/>
  <headerFooter alignWithMargins="0"/>
</worksheet>
</file>

<file path=xl/worksheets/sheet26.xml><?xml version="1.0" encoding="utf-8"?>
<worksheet xmlns="http://schemas.openxmlformats.org/spreadsheetml/2006/main" xmlns:r="http://schemas.openxmlformats.org/officeDocument/2006/relationships">
  <sheetPr codeName="Sheet39"/>
  <dimension ref="A1:G45"/>
  <sheetViews>
    <sheetView topLeftCell="A10" workbookViewId="0">
      <selection activeCell="F14" sqref="F14"/>
    </sheetView>
  </sheetViews>
  <sheetFormatPr defaultRowHeight="12.4" customHeight="1"/>
  <cols>
    <col min="1" max="1" width="22" style="926" customWidth="1"/>
    <col min="2" max="5" width="16.140625" style="926" customWidth="1"/>
    <col min="6" max="16384" width="9.140625" style="926"/>
  </cols>
  <sheetData>
    <row r="1" spans="1:5" ht="12" customHeight="1">
      <c r="A1" s="1543" t="s">
        <v>515</v>
      </c>
      <c r="B1" s="1543"/>
      <c r="C1" s="1543"/>
      <c r="D1" s="1543"/>
      <c r="E1" s="1543"/>
    </row>
    <row r="2" spans="1:5" ht="32.25" customHeight="1">
      <c r="A2" s="1544" t="str">
        <f>CONCATENATE(" Births and Deaths in different Hospitals &amp; Health Centres
 in the district of ",District!$A$1)</f>
        <v xml:space="preserve"> Births and Deaths in different Hospitals &amp; Health Centres
 in the district of Purulia</v>
      </c>
      <c r="B2" s="1544"/>
      <c r="C2" s="1544"/>
      <c r="D2" s="1544"/>
      <c r="E2" s="1544"/>
    </row>
    <row r="3" spans="1:5" ht="13.5" customHeight="1">
      <c r="A3" s="970"/>
      <c r="B3" s="971"/>
      <c r="C3" s="972"/>
      <c r="D3" s="972"/>
      <c r="E3" s="973" t="s">
        <v>1058</v>
      </c>
    </row>
    <row r="4" spans="1:5" ht="13.5" customHeight="1">
      <c r="A4" s="1546" t="s">
        <v>951</v>
      </c>
      <c r="B4" s="1548" t="s">
        <v>993</v>
      </c>
      <c r="C4" s="1493" t="s">
        <v>521</v>
      </c>
      <c r="D4" s="1512"/>
      <c r="E4" s="1457"/>
    </row>
    <row r="5" spans="1:5" ht="13.5" customHeight="1">
      <c r="A5" s="1547"/>
      <c r="B5" s="1549"/>
      <c r="C5" s="786" t="s">
        <v>994</v>
      </c>
      <c r="D5" s="728" t="s">
        <v>995</v>
      </c>
      <c r="E5" s="975" t="s">
        <v>1035</v>
      </c>
    </row>
    <row r="6" spans="1:5" ht="13.5" customHeight="1">
      <c r="A6" s="963" t="s">
        <v>1008</v>
      </c>
      <c r="B6" s="963" t="s">
        <v>1009</v>
      </c>
      <c r="C6" s="964" t="s">
        <v>1010</v>
      </c>
      <c r="D6" s="976" t="s">
        <v>1011</v>
      </c>
      <c r="E6" s="976" t="s">
        <v>1015</v>
      </c>
    </row>
    <row r="7" spans="1:5" ht="15" customHeight="1">
      <c r="A7" s="229">
        <v>2010</v>
      </c>
      <c r="B7" s="229">
        <v>43070</v>
      </c>
      <c r="C7" s="308">
        <v>783</v>
      </c>
      <c r="D7" s="229">
        <v>4176</v>
      </c>
      <c r="E7" s="229">
        <v>4959</v>
      </c>
    </row>
    <row r="8" spans="1:5" ht="15" customHeight="1">
      <c r="A8" s="229">
        <v>2011</v>
      </c>
      <c r="B8" s="804">
        <v>37333</v>
      </c>
      <c r="C8" s="805">
        <v>578</v>
      </c>
      <c r="D8" s="804">
        <v>2682</v>
      </c>
      <c r="E8" s="804">
        <v>3260</v>
      </c>
    </row>
    <row r="9" spans="1:5" ht="15" customHeight="1">
      <c r="A9" s="229">
        <v>2012</v>
      </c>
      <c r="B9" s="804">
        <v>55605</v>
      </c>
      <c r="C9" s="805">
        <v>2088</v>
      </c>
      <c r="D9" s="804">
        <v>5278</v>
      </c>
      <c r="E9" s="804">
        <v>7366</v>
      </c>
    </row>
    <row r="10" spans="1:5" ht="15" customHeight="1">
      <c r="A10" s="229">
        <v>2013</v>
      </c>
      <c r="B10" s="804">
        <v>31651</v>
      </c>
      <c r="C10" s="802">
        <v>1656</v>
      </c>
      <c r="D10" s="804">
        <v>7696</v>
      </c>
      <c r="E10" s="804">
        <v>9352</v>
      </c>
    </row>
    <row r="11" spans="1:5" ht="15" customHeight="1">
      <c r="A11" s="230">
        <v>2014</v>
      </c>
      <c r="B11" s="230">
        <f>SUM(B13,B22,B31)</f>
        <v>56284</v>
      </c>
      <c r="C11" s="142">
        <f>SUM(C13,C22,C31)</f>
        <v>1153</v>
      </c>
      <c r="D11" s="230">
        <f>SUM(D13,D22,D31)</f>
        <v>8984</v>
      </c>
      <c r="E11" s="230">
        <f>SUM(E13,E22,E31)</f>
        <v>10137</v>
      </c>
    </row>
    <row r="12" spans="1:5" ht="22.5" customHeight="1">
      <c r="A12" s="974" t="s">
        <v>1315</v>
      </c>
      <c r="B12" s="1527" t="str">
        <f>"Year : " &amp; $A$11</f>
        <v>Year : 2014</v>
      </c>
      <c r="C12" s="1528"/>
      <c r="D12" s="1528"/>
      <c r="E12" s="1529"/>
    </row>
    <row r="13" spans="1:5" ht="18" customHeight="1">
      <c r="A13" s="966" t="s">
        <v>566</v>
      </c>
      <c r="B13" s="955">
        <f>SUM(B14:B21)</f>
        <v>18238</v>
      </c>
      <c r="C13" s="955">
        <f>SUM(C14:C21)</f>
        <v>209</v>
      </c>
      <c r="D13" s="955">
        <f>SUM(D14:D21)</f>
        <v>2477</v>
      </c>
      <c r="E13" s="967">
        <f>SUM(C13:D13)</f>
        <v>2686</v>
      </c>
    </row>
    <row r="14" spans="1:5" ht="18" customHeight="1">
      <c r="A14" s="947" t="s">
        <v>26</v>
      </c>
      <c r="B14" s="141">
        <v>2004</v>
      </c>
      <c r="C14" s="801">
        <v>5</v>
      </c>
      <c r="D14" s="801">
        <v>318</v>
      </c>
      <c r="E14" s="306">
        <f>IF(SUM(C14:D14)=0,"..",SUM(C14:D14))</f>
        <v>323</v>
      </c>
    </row>
    <row r="15" spans="1:5" ht="18" customHeight="1">
      <c r="A15" s="947" t="s">
        <v>27</v>
      </c>
      <c r="B15" s="141">
        <v>2610</v>
      </c>
      <c r="C15" s="141">
        <v>27</v>
      </c>
      <c r="D15" s="801">
        <v>171</v>
      </c>
      <c r="E15" s="306">
        <f t="shared" ref="E15:E20" si="0">IF(SUM(C15:D15)=0,"..",SUM(C15:D15))</f>
        <v>198</v>
      </c>
    </row>
    <row r="16" spans="1:5" ht="18" customHeight="1">
      <c r="A16" s="947" t="s">
        <v>53</v>
      </c>
      <c r="B16" s="141">
        <v>2541</v>
      </c>
      <c r="C16" s="141">
        <v>25</v>
      </c>
      <c r="D16" s="801">
        <v>131</v>
      </c>
      <c r="E16" s="306">
        <f t="shared" si="0"/>
        <v>156</v>
      </c>
    </row>
    <row r="17" spans="1:7" ht="18" customHeight="1">
      <c r="A17" s="947" t="s">
        <v>28</v>
      </c>
      <c r="B17" s="141">
        <v>2536</v>
      </c>
      <c r="C17" s="801">
        <v>40</v>
      </c>
      <c r="D17" s="801">
        <v>801</v>
      </c>
      <c r="E17" s="306">
        <f t="shared" si="0"/>
        <v>841</v>
      </c>
    </row>
    <row r="18" spans="1:7" ht="18" customHeight="1">
      <c r="A18" s="947" t="s">
        <v>29</v>
      </c>
      <c r="B18" s="141">
        <v>2365</v>
      </c>
      <c r="C18" s="801">
        <v>38</v>
      </c>
      <c r="D18" s="801">
        <v>314</v>
      </c>
      <c r="E18" s="306">
        <f t="shared" si="0"/>
        <v>352</v>
      </c>
    </row>
    <row r="19" spans="1:7" ht="18" customHeight="1">
      <c r="A19" s="947" t="s">
        <v>48</v>
      </c>
      <c r="B19" s="141">
        <v>2654</v>
      </c>
      <c r="C19" s="801">
        <v>35</v>
      </c>
      <c r="D19" s="801">
        <v>461</v>
      </c>
      <c r="E19" s="306">
        <f t="shared" si="0"/>
        <v>496</v>
      </c>
    </row>
    <row r="20" spans="1:7" ht="18" customHeight="1">
      <c r="A20" s="947" t="s">
        <v>54</v>
      </c>
      <c r="B20" s="141">
        <v>3528</v>
      </c>
      <c r="C20" s="141">
        <v>39</v>
      </c>
      <c r="D20" s="801">
        <v>281</v>
      </c>
      <c r="E20" s="306">
        <f t="shared" si="0"/>
        <v>320</v>
      </c>
    </row>
    <row r="21" spans="1:7" ht="18" customHeight="1">
      <c r="A21" s="947" t="s">
        <v>49</v>
      </c>
      <c r="B21" s="1284" t="s">
        <v>57</v>
      </c>
      <c r="C21" s="1284" t="s">
        <v>57</v>
      </c>
      <c r="D21" s="1284" t="s">
        <v>57</v>
      </c>
      <c r="E21" s="306" t="s">
        <v>57</v>
      </c>
    </row>
    <row r="22" spans="1:7" ht="18" customHeight="1">
      <c r="A22" s="953" t="s">
        <v>50</v>
      </c>
      <c r="B22" s="891">
        <f>SUM(B23:B30)</f>
        <v>27306</v>
      </c>
      <c r="C22" s="891">
        <f>SUM(C23:C30)</f>
        <v>778</v>
      </c>
      <c r="D22" s="891">
        <f>SUM(D23:D30)</f>
        <v>4319</v>
      </c>
      <c r="E22" s="815">
        <f>SUM(C22:D22)</f>
        <v>5097</v>
      </c>
    </row>
    <row r="23" spans="1:7" ht="18" customHeight="1">
      <c r="A23" s="947" t="s">
        <v>33</v>
      </c>
      <c r="B23" s="141">
        <v>1778</v>
      </c>
      <c r="C23" s="801">
        <v>25</v>
      </c>
      <c r="D23" s="801">
        <v>467</v>
      </c>
      <c r="E23" s="306">
        <f t="shared" ref="E23:E30" si="1">IF(SUM(C23:D23)=0,"..",SUM(C23:D23))</f>
        <v>492</v>
      </c>
    </row>
    <row r="24" spans="1:7" ht="18" customHeight="1">
      <c r="A24" s="947" t="s">
        <v>34</v>
      </c>
      <c r="B24" s="141">
        <v>1962</v>
      </c>
      <c r="C24" s="141">
        <v>23</v>
      </c>
      <c r="D24" s="801">
        <v>659</v>
      </c>
      <c r="E24" s="306">
        <f t="shared" si="1"/>
        <v>682</v>
      </c>
    </row>
    <row r="25" spans="1:7" ht="18" customHeight="1">
      <c r="A25" s="947" t="s">
        <v>55</v>
      </c>
      <c r="B25" s="141">
        <v>2446</v>
      </c>
      <c r="C25" s="801">
        <v>32</v>
      </c>
      <c r="D25" s="801">
        <v>759</v>
      </c>
      <c r="E25" s="306">
        <f t="shared" si="1"/>
        <v>791</v>
      </c>
    </row>
    <row r="26" spans="1:7" ht="18" customHeight="1">
      <c r="A26" s="947" t="s">
        <v>56</v>
      </c>
      <c r="B26" s="141">
        <v>1217</v>
      </c>
      <c r="C26" s="801">
        <v>24</v>
      </c>
      <c r="D26" s="801">
        <v>531</v>
      </c>
      <c r="E26" s="306">
        <f t="shared" si="1"/>
        <v>555</v>
      </c>
    </row>
    <row r="27" spans="1:7" ht="18" customHeight="1">
      <c r="A27" s="947" t="s">
        <v>45</v>
      </c>
      <c r="B27" s="141">
        <v>1311</v>
      </c>
      <c r="C27" s="801">
        <v>27</v>
      </c>
      <c r="D27" s="801">
        <v>625</v>
      </c>
      <c r="E27" s="306">
        <f t="shared" si="1"/>
        <v>652</v>
      </c>
    </row>
    <row r="28" spans="1:7" ht="18" customHeight="1">
      <c r="A28" s="947" t="s">
        <v>46</v>
      </c>
      <c r="B28" s="141">
        <v>2058</v>
      </c>
      <c r="C28" s="141">
        <v>23</v>
      </c>
      <c r="D28" s="801">
        <v>632</v>
      </c>
      <c r="E28" s="306">
        <f t="shared" si="1"/>
        <v>655</v>
      </c>
    </row>
    <row r="29" spans="1:7" ht="18" customHeight="1">
      <c r="A29" s="947" t="s">
        <v>47</v>
      </c>
      <c r="B29" s="141">
        <v>1967</v>
      </c>
      <c r="C29" s="801">
        <v>28</v>
      </c>
      <c r="D29" s="801">
        <v>596</v>
      </c>
      <c r="E29" s="306">
        <f t="shared" si="1"/>
        <v>624</v>
      </c>
    </row>
    <row r="30" spans="1:7" ht="18" customHeight="1">
      <c r="A30" s="947" t="s">
        <v>58</v>
      </c>
      <c r="B30" s="141">
        <v>14567</v>
      </c>
      <c r="C30" s="801">
        <v>596</v>
      </c>
      <c r="D30" s="801">
        <v>50</v>
      </c>
      <c r="E30" s="306">
        <f t="shared" si="1"/>
        <v>646</v>
      </c>
      <c r="G30" s="977"/>
    </row>
    <row r="31" spans="1:7" ht="27.75" customHeight="1">
      <c r="A31" s="953" t="s">
        <v>1368</v>
      </c>
      <c r="B31" s="891">
        <f>SUM(B32:B38)</f>
        <v>10740</v>
      </c>
      <c r="C31" s="891">
        <f>SUM(C32:C38)</f>
        <v>166</v>
      </c>
      <c r="D31" s="891">
        <f>SUM(D32:D38)</f>
        <v>2188</v>
      </c>
      <c r="E31" s="815">
        <f>SUM(C31:D31)</f>
        <v>2354</v>
      </c>
    </row>
    <row r="32" spans="1:7" ht="18" customHeight="1">
      <c r="A32" s="947" t="s">
        <v>36</v>
      </c>
      <c r="B32" s="141">
        <v>1630</v>
      </c>
      <c r="C32" s="801">
        <v>22</v>
      </c>
      <c r="D32" s="801">
        <v>532</v>
      </c>
      <c r="E32" s="306">
        <f t="shared" ref="E32:E38" si="2">IF(SUM(C32:D32)=0,"..",SUM(C32:D32))</f>
        <v>554</v>
      </c>
    </row>
    <row r="33" spans="1:5" ht="18" customHeight="1">
      <c r="A33" s="947" t="s">
        <v>37</v>
      </c>
      <c r="B33" s="141">
        <v>1301</v>
      </c>
      <c r="C33" s="141">
        <v>27</v>
      </c>
      <c r="D33" s="801">
        <v>408</v>
      </c>
      <c r="E33" s="306">
        <f t="shared" si="2"/>
        <v>435</v>
      </c>
    </row>
    <row r="34" spans="1:5" ht="18" customHeight="1">
      <c r="A34" s="947" t="s">
        <v>38</v>
      </c>
      <c r="B34" s="141">
        <v>2715</v>
      </c>
      <c r="C34" s="801">
        <v>10</v>
      </c>
      <c r="D34" s="801">
        <v>183</v>
      </c>
      <c r="E34" s="306">
        <f t="shared" si="2"/>
        <v>193</v>
      </c>
    </row>
    <row r="35" spans="1:5" ht="18" customHeight="1">
      <c r="A35" s="947" t="s">
        <v>40</v>
      </c>
      <c r="B35" s="141">
        <v>870</v>
      </c>
      <c r="C35" s="801">
        <v>10</v>
      </c>
      <c r="D35" s="801">
        <v>225</v>
      </c>
      <c r="E35" s="306">
        <f t="shared" si="2"/>
        <v>235</v>
      </c>
    </row>
    <row r="36" spans="1:5" ht="18" customHeight="1">
      <c r="A36" s="947" t="s">
        <v>52</v>
      </c>
      <c r="B36" s="141">
        <v>1611</v>
      </c>
      <c r="C36" s="801">
        <v>34</v>
      </c>
      <c r="D36" s="801">
        <v>237</v>
      </c>
      <c r="E36" s="306">
        <f t="shared" si="2"/>
        <v>271</v>
      </c>
    </row>
    <row r="37" spans="1:5" ht="18" customHeight="1">
      <c r="A37" s="947" t="s">
        <v>41</v>
      </c>
      <c r="B37" s="141">
        <v>1768</v>
      </c>
      <c r="C37" s="141">
        <v>44</v>
      </c>
      <c r="D37" s="141">
        <v>261</v>
      </c>
      <c r="E37" s="306">
        <f t="shared" si="2"/>
        <v>305</v>
      </c>
    </row>
    <row r="38" spans="1:5" ht="18" customHeight="1">
      <c r="A38" s="948" t="s">
        <v>39</v>
      </c>
      <c r="B38" s="143">
        <v>845</v>
      </c>
      <c r="C38" s="958">
        <v>19</v>
      </c>
      <c r="D38" s="958">
        <v>342</v>
      </c>
      <c r="E38" s="307">
        <f t="shared" si="2"/>
        <v>361</v>
      </c>
    </row>
    <row r="39" spans="1:5" ht="12.4" customHeight="1">
      <c r="A39" s="978"/>
      <c r="B39" s="979"/>
      <c r="C39" s="556" t="s">
        <v>1169</v>
      </c>
      <c r="D39" s="980" t="s">
        <v>115</v>
      </c>
      <c r="E39" s="550"/>
    </row>
    <row r="40" spans="1:5" ht="12.4" customHeight="1">
      <c r="A40" s="942"/>
      <c r="B40" s="942"/>
      <c r="C40" s="550"/>
      <c r="D40" s="1545" t="s">
        <v>1291</v>
      </c>
      <c r="E40" s="1545"/>
    </row>
    <row r="41" spans="1:5" ht="13.5" customHeight="1">
      <c r="A41" s="942"/>
      <c r="B41" s="942"/>
      <c r="C41" s="550"/>
      <c r="D41" s="1545"/>
      <c r="E41" s="1545"/>
    </row>
    <row r="42" spans="1:5" ht="12.4" customHeight="1">
      <c r="A42" s="942"/>
      <c r="B42" s="942"/>
      <c r="C42" s="981"/>
      <c r="D42" s="981"/>
      <c r="E42" s="981"/>
    </row>
    <row r="43" spans="1:5" ht="12.4" customHeight="1">
      <c r="A43" s="970"/>
      <c r="B43" s="970"/>
      <c r="C43" s="970"/>
      <c r="D43" s="970"/>
      <c r="E43" s="970"/>
    </row>
    <row r="44" spans="1:5" ht="12.4" customHeight="1">
      <c r="A44" s="970"/>
      <c r="B44" s="970"/>
      <c r="C44" s="970"/>
      <c r="D44" s="970"/>
      <c r="E44" s="970"/>
    </row>
    <row r="45" spans="1:5" ht="12.4" customHeight="1">
      <c r="A45" s="970"/>
      <c r="B45" s="970"/>
      <c r="C45" s="970"/>
      <c r="D45" s="970"/>
      <c r="E45" s="970"/>
    </row>
  </sheetData>
  <mergeCells count="7">
    <mergeCell ref="A1:E1"/>
    <mergeCell ref="A2:E2"/>
    <mergeCell ref="D40:E41"/>
    <mergeCell ref="A4:A5"/>
    <mergeCell ref="B4:B5"/>
    <mergeCell ref="C4:E4"/>
    <mergeCell ref="B12:E12"/>
  </mergeCells>
  <phoneticPr fontId="0" type="noConversion"/>
  <conditionalFormatting sqref="A1:XFD1048576">
    <cfRule type="cellIs" dxfId="6" priority="1" stopIfTrue="1" operator="equal">
      <formula>".."</formula>
    </cfRule>
  </conditionalFormatting>
  <printOptions horizontalCentered="1"/>
  <pageMargins left="0.14000000000000001" right="0.14000000000000001" top="0.85" bottom="0.1" header="0.85" footer="0.1"/>
  <pageSetup paperSize="9" orientation="portrait" blackAndWhite="1" r:id="rId1"/>
  <headerFooter alignWithMargins="0"/>
</worksheet>
</file>

<file path=xl/worksheets/sheet27.xml><?xml version="1.0" encoding="utf-8"?>
<worksheet xmlns="http://schemas.openxmlformats.org/spreadsheetml/2006/main" xmlns:r="http://schemas.openxmlformats.org/officeDocument/2006/relationships">
  <sheetPr codeName="Sheet26"/>
  <dimension ref="A1:J45"/>
  <sheetViews>
    <sheetView topLeftCell="A10" workbookViewId="0">
      <selection activeCell="F14" sqref="F14"/>
    </sheetView>
  </sheetViews>
  <sheetFormatPr defaultRowHeight="12.75"/>
  <cols>
    <col min="1" max="1" width="1.85546875" style="723" customWidth="1"/>
    <col min="2" max="2" width="2.85546875" style="723" customWidth="1"/>
    <col min="3" max="3" width="1.5703125" style="723" customWidth="1"/>
    <col min="4" max="4" width="49.28515625" style="723" customWidth="1"/>
    <col min="5" max="9" width="13.7109375" style="723" customWidth="1"/>
    <col min="10" max="16384" width="9.140625" style="723"/>
  </cols>
  <sheetData>
    <row r="1" spans="1:9" ht="12.75" customHeight="1">
      <c r="A1" s="1399" t="s">
        <v>648</v>
      </c>
      <c r="B1" s="1399"/>
      <c r="C1" s="1399"/>
      <c r="D1" s="1399"/>
      <c r="E1" s="1399"/>
      <c r="F1" s="1399"/>
      <c r="G1" s="1399"/>
      <c r="H1" s="1399"/>
      <c r="I1" s="1399"/>
    </row>
    <row r="2" spans="1:9" ht="16.5">
      <c r="A2" s="1413" t="str">
        <f>CONCATENATE(" General Educational Institutions by type in the district of ",District!A1)</f>
        <v xml:space="preserve"> General Educational Institutions by type in the district of Purulia</v>
      </c>
      <c r="B2" s="1413"/>
      <c r="C2" s="1413"/>
      <c r="D2" s="1413"/>
      <c r="E2" s="1413"/>
      <c r="F2" s="1413"/>
      <c r="G2" s="1413"/>
      <c r="H2" s="1413"/>
      <c r="I2" s="1413"/>
    </row>
    <row r="3" spans="1:9" ht="12" customHeight="1">
      <c r="A3" s="753"/>
      <c r="B3" s="690"/>
      <c r="C3" s="690"/>
      <c r="D3" s="824"/>
      <c r="E3" s="824"/>
      <c r="F3" s="824"/>
      <c r="G3" s="824"/>
      <c r="H3" s="824"/>
      <c r="I3" s="905" t="s">
        <v>1058</v>
      </c>
    </row>
    <row r="4" spans="1:9" ht="15" customHeight="1">
      <c r="A4" s="1403" t="s">
        <v>800</v>
      </c>
      <c r="B4" s="1513"/>
      <c r="C4" s="1513"/>
      <c r="D4" s="1404"/>
      <c r="E4" s="1400" t="s">
        <v>951</v>
      </c>
      <c r="F4" s="1400"/>
      <c r="G4" s="1400"/>
      <c r="H4" s="1400"/>
      <c r="I4" s="1401"/>
    </row>
    <row r="5" spans="1:9" ht="15" customHeight="1">
      <c r="A5" s="1405"/>
      <c r="B5" s="1486"/>
      <c r="C5" s="1486"/>
      <c r="D5" s="1406"/>
      <c r="E5" s="124" t="s">
        <v>1526</v>
      </c>
      <c r="F5" s="124" t="s">
        <v>1525</v>
      </c>
      <c r="G5" s="124" t="s">
        <v>1051</v>
      </c>
      <c r="H5" s="728" t="s">
        <v>1250</v>
      </c>
      <c r="I5" s="728" t="s">
        <v>527</v>
      </c>
    </row>
    <row r="6" spans="1:9" ht="15" customHeight="1">
      <c r="A6" s="1395" t="s">
        <v>1008</v>
      </c>
      <c r="B6" s="1485"/>
      <c r="C6" s="1485"/>
      <c r="D6" s="1396"/>
      <c r="E6" s="790" t="s">
        <v>1009</v>
      </c>
      <c r="F6" s="729" t="s">
        <v>1010</v>
      </c>
      <c r="G6" s="790" t="s">
        <v>1011</v>
      </c>
      <c r="H6" s="729" t="s">
        <v>1015</v>
      </c>
      <c r="I6" s="742" t="s">
        <v>1016</v>
      </c>
    </row>
    <row r="7" spans="1:9">
      <c r="A7" s="982">
        <v>1</v>
      </c>
      <c r="B7" s="1556" t="s">
        <v>567</v>
      </c>
      <c r="C7" s="1556"/>
      <c r="D7" s="1557"/>
      <c r="E7" s="440">
        <f>E8+E13+E18+E23</f>
        <v>3437</v>
      </c>
      <c r="F7" s="440">
        <f>F8+F13+F18+F23</f>
        <v>3529</v>
      </c>
      <c r="G7" s="440">
        <f>G8+G13+G18+G23</f>
        <v>3580</v>
      </c>
      <c r="H7" s="440">
        <f>H8+H13+H18+H23</f>
        <v>3634</v>
      </c>
      <c r="I7" s="440">
        <f>I8+I13+I18+I23</f>
        <v>3770</v>
      </c>
    </row>
    <row r="8" spans="1:9" ht="24.75" customHeight="1">
      <c r="A8" s="985"/>
      <c r="B8" s="986" t="s">
        <v>1188</v>
      </c>
      <c r="C8" s="1550" t="s">
        <v>468</v>
      </c>
      <c r="D8" s="1551"/>
      <c r="E8" s="440">
        <f>SUM(E9:E12)</f>
        <v>2999</v>
      </c>
      <c r="F8" s="440">
        <f>SUM(F9:F12)</f>
        <v>2998</v>
      </c>
      <c r="G8" s="440">
        <f>SUM(G9:G12)</f>
        <v>2999</v>
      </c>
      <c r="H8" s="440">
        <f>SUM(H9:H12)</f>
        <v>2999</v>
      </c>
      <c r="I8" s="440">
        <f>SUM(I9:I12)</f>
        <v>3001</v>
      </c>
    </row>
    <row r="9" spans="1:9">
      <c r="A9" s="985"/>
      <c r="B9" s="902"/>
      <c r="C9" s="902"/>
      <c r="D9" s="591" t="s">
        <v>1185</v>
      </c>
      <c r="E9" s="492">
        <v>2985</v>
      </c>
      <c r="F9" s="219">
        <v>2984</v>
      </c>
      <c r="G9" s="219">
        <v>2984</v>
      </c>
      <c r="H9" s="219">
        <v>2984</v>
      </c>
      <c r="I9" s="219">
        <v>2984</v>
      </c>
    </row>
    <row r="10" spans="1:9">
      <c r="A10" s="985"/>
      <c r="B10" s="902"/>
      <c r="C10" s="902"/>
      <c r="D10" s="591" t="s">
        <v>1309</v>
      </c>
      <c r="E10" s="492">
        <v>5</v>
      </c>
      <c r="F10" s="219">
        <v>5</v>
      </c>
      <c r="G10" s="219">
        <v>6</v>
      </c>
      <c r="H10" s="219">
        <v>6</v>
      </c>
      <c r="I10" s="219">
        <v>6</v>
      </c>
    </row>
    <row r="11" spans="1:9">
      <c r="A11" s="985"/>
      <c r="B11" s="902"/>
      <c r="C11" s="902"/>
      <c r="D11" s="591" t="s">
        <v>1227</v>
      </c>
      <c r="E11" s="492">
        <v>7</v>
      </c>
      <c r="F11" s="219">
        <v>7</v>
      </c>
      <c r="G11" s="219">
        <v>7</v>
      </c>
      <c r="H11" s="219">
        <v>7</v>
      </c>
      <c r="I11" s="219">
        <v>9</v>
      </c>
    </row>
    <row r="12" spans="1:9">
      <c r="A12" s="985"/>
      <c r="B12" s="902"/>
      <c r="C12" s="902"/>
      <c r="D12" s="591" t="s">
        <v>1310</v>
      </c>
      <c r="E12" s="492">
        <v>2</v>
      </c>
      <c r="F12" s="219">
        <v>2</v>
      </c>
      <c r="G12" s="219">
        <v>2</v>
      </c>
      <c r="H12" s="219">
        <v>2</v>
      </c>
      <c r="I12" s="219">
        <v>2</v>
      </c>
    </row>
    <row r="13" spans="1:9" ht="25.5" customHeight="1">
      <c r="A13" s="985"/>
      <c r="B13" s="986" t="s">
        <v>1186</v>
      </c>
      <c r="C13" s="1550" t="s">
        <v>469</v>
      </c>
      <c r="D13" s="1551"/>
      <c r="E13" s="440">
        <f>SUM(E14:E17)</f>
        <v>112</v>
      </c>
      <c r="F13" s="440">
        <f>SUM(F14:F17)</f>
        <v>197</v>
      </c>
      <c r="G13" s="440">
        <f>SUM(G14:G17)</f>
        <v>244</v>
      </c>
      <c r="H13" s="440">
        <f>SUM(H14:H17)</f>
        <v>299</v>
      </c>
      <c r="I13" s="440">
        <f>SUM(I14:I17)</f>
        <v>428</v>
      </c>
    </row>
    <row r="14" spans="1:9">
      <c r="A14" s="985"/>
      <c r="B14" s="902"/>
      <c r="C14" s="902"/>
      <c r="D14" s="591" t="s">
        <v>142</v>
      </c>
      <c r="E14" s="492">
        <v>110</v>
      </c>
      <c r="F14" s="219">
        <v>196</v>
      </c>
      <c r="G14" s="219">
        <v>241</v>
      </c>
      <c r="H14" s="219">
        <v>296</v>
      </c>
      <c r="I14" s="219">
        <v>427</v>
      </c>
    </row>
    <row r="15" spans="1:9">
      <c r="A15" s="985"/>
      <c r="B15" s="902"/>
      <c r="C15" s="902"/>
      <c r="D15" s="591" t="s">
        <v>1610</v>
      </c>
      <c r="E15" s="492" t="s">
        <v>57</v>
      </c>
      <c r="F15" s="219" t="s">
        <v>57</v>
      </c>
      <c r="G15" s="219">
        <v>1</v>
      </c>
      <c r="H15" s="219">
        <v>1</v>
      </c>
      <c r="I15" s="219">
        <v>1</v>
      </c>
    </row>
    <row r="16" spans="1:9">
      <c r="A16" s="985"/>
      <c r="B16" s="902"/>
      <c r="C16" s="902"/>
      <c r="D16" s="591" t="s">
        <v>1227</v>
      </c>
      <c r="E16" s="492">
        <v>2</v>
      </c>
      <c r="F16" s="219">
        <v>1</v>
      </c>
      <c r="G16" s="219">
        <v>2</v>
      </c>
      <c r="H16" s="219">
        <v>2</v>
      </c>
      <c r="I16" s="219" t="s">
        <v>57</v>
      </c>
    </row>
    <row r="17" spans="1:10">
      <c r="A17" s="985"/>
      <c r="B17" s="902"/>
      <c r="C17" s="902"/>
      <c r="D17" s="591" t="s">
        <v>1310</v>
      </c>
      <c r="E17" s="492" t="s">
        <v>57</v>
      </c>
      <c r="F17" s="219" t="s">
        <v>57</v>
      </c>
      <c r="G17" s="219" t="s">
        <v>57</v>
      </c>
      <c r="H17" s="219" t="s">
        <v>57</v>
      </c>
      <c r="I17" s="219" t="s">
        <v>57</v>
      </c>
    </row>
    <row r="18" spans="1:10" ht="26.25" customHeight="1">
      <c r="A18" s="985"/>
      <c r="B18" s="986" t="s">
        <v>1187</v>
      </c>
      <c r="C18" s="1550" t="s">
        <v>470</v>
      </c>
      <c r="D18" s="1551"/>
      <c r="E18" s="440">
        <f>SUM(E19:E22)</f>
        <v>178</v>
      </c>
      <c r="F18" s="440">
        <f>SUM(F19:F22)</f>
        <v>163</v>
      </c>
      <c r="G18" s="440">
        <f>SUM(G19:G22)</f>
        <v>163</v>
      </c>
      <c r="H18" s="440">
        <f>SUM(H19:H22)</f>
        <v>80</v>
      </c>
      <c r="I18" s="440">
        <f>SUM(I19:I22)</f>
        <v>80</v>
      </c>
    </row>
    <row r="19" spans="1:10">
      <c r="A19" s="985"/>
      <c r="B19" s="902"/>
      <c r="C19" s="902"/>
      <c r="D19" s="591" t="s">
        <v>142</v>
      </c>
      <c r="E19" s="492">
        <v>173</v>
      </c>
      <c r="F19" s="219">
        <v>159</v>
      </c>
      <c r="G19" s="219">
        <v>159</v>
      </c>
      <c r="H19" s="219">
        <v>77</v>
      </c>
      <c r="I19" s="219">
        <v>75</v>
      </c>
    </row>
    <row r="20" spans="1:10">
      <c r="A20" s="985"/>
      <c r="B20" s="902"/>
      <c r="C20" s="902"/>
      <c r="D20" s="591" t="s">
        <v>1611</v>
      </c>
      <c r="E20" s="492">
        <v>4</v>
      </c>
      <c r="F20" s="219">
        <v>3</v>
      </c>
      <c r="G20" s="219">
        <v>3</v>
      </c>
      <c r="H20" s="219">
        <v>2</v>
      </c>
      <c r="I20" s="219">
        <v>2</v>
      </c>
    </row>
    <row r="21" spans="1:10">
      <c r="A21" s="985"/>
      <c r="B21" s="902"/>
      <c r="C21" s="902"/>
      <c r="D21" s="591" t="s">
        <v>1227</v>
      </c>
      <c r="E21" s="492">
        <v>1</v>
      </c>
      <c r="F21" s="219">
        <v>1</v>
      </c>
      <c r="G21" s="219">
        <v>1</v>
      </c>
      <c r="H21" s="219">
        <v>1</v>
      </c>
      <c r="I21" s="219">
        <v>3</v>
      </c>
    </row>
    <row r="22" spans="1:10">
      <c r="A22" s="985"/>
      <c r="B22" s="902"/>
      <c r="C22" s="902"/>
      <c r="D22" s="591" t="s">
        <v>1310</v>
      </c>
      <c r="E22" s="492" t="s">
        <v>57</v>
      </c>
      <c r="F22" s="219" t="s">
        <v>57</v>
      </c>
      <c r="G22" s="219" t="s">
        <v>57</v>
      </c>
      <c r="H22" s="219" t="s">
        <v>57</v>
      </c>
      <c r="I22" s="219" t="s">
        <v>57</v>
      </c>
    </row>
    <row r="23" spans="1:10" ht="26.25" customHeight="1">
      <c r="A23" s="985"/>
      <c r="B23" s="986" t="s">
        <v>1189</v>
      </c>
      <c r="C23" s="1550" t="s">
        <v>471</v>
      </c>
      <c r="D23" s="1551"/>
      <c r="E23" s="440">
        <f>SUM(E24:E28)</f>
        <v>148</v>
      </c>
      <c r="F23" s="440">
        <f>SUM(F24:F28)</f>
        <v>171</v>
      </c>
      <c r="G23" s="440">
        <f>SUM(G24:G28)</f>
        <v>174</v>
      </c>
      <c r="H23" s="440">
        <v>256</v>
      </c>
      <c r="I23" s="440">
        <f>SUM(I24:I28)</f>
        <v>261</v>
      </c>
    </row>
    <row r="24" spans="1:10">
      <c r="A24" s="985"/>
      <c r="B24" s="902"/>
      <c r="C24" s="902"/>
      <c r="D24" s="591" t="s">
        <v>1228</v>
      </c>
      <c r="E24" s="492">
        <v>138</v>
      </c>
      <c r="F24" s="219">
        <v>159</v>
      </c>
      <c r="G24" s="219">
        <v>162</v>
      </c>
      <c r="H24" s="219" t="s">
        <v>1633</v>
      </c>
      <c r="I24" s="219">
        <v>248</v>
      </c>
    </row>
    <row r="25" spans="1:10">
      <c r="A25" s="985"/>
      <c r="B25" s="902"/>
      <c r="C25" s="902"/>
      <c r="D25" s="591" t="s">
        <v>1229</v>
      </c>
      <c r="E25" s="492">
        <v>1</v>
      </c>
      <c r="F25" s="492">
        <v>1</v>
      </c>
      <c r="G25" s="219">
        <v>1</v>
      </c>
      <c r="H25" s="219">
        <v>1</v>
      </c>
      <c r="I25" s="219">
        <v>1</v>
      </c>
    </row>
    <row r="26" spans="1:10">
      <c r="A26" s="985"/>
      <c r="B26" s="902"/>
      <c r="C26" s="902"/>
      <c r="D26" s="591" t="s">
        <v>1227</v>
      </c>
      <c r="E26" s="492">
        <v>5</v>
      </c>
      <c r="F26" s="492">
        <v>6</v>
      </c>
      <c r="G26" s="219">
        <v>6</v>
      </c>
      <c r="H26" s="219">
        <v>6</v>
      </c>
      <c r="I26" s="219">
        <v>6</v>
      </c>
    </row>
    <row r="27" spans="1:10">
      <c r="A27" s="985"/>
      <c r="B27" s="902"/>
      <c r="C27" s="902"/>
      <c r="D27" s="591" t="s">
        <v>1310</v>
      </c>
      <c r="E27" s="492">
        <v>2</v>
      </c>
      <c r="F27" s="492">
        <v>2</v>
      </c>
      <c r="G27" s="219">
        <v>2</v>
      </c>
      <c r="H27" s="219">
        <v>2</v>
      </c>
      <c r="I27" s="219">
        <v>2</v>
      </c>
    </row>
    <row r="28" spans="1:10">
      <c r="A28" s="985"/>
      <c r="B28" s="902"/>
      <c r="C28" s="902"/>
      <c r="D28" s="591" t="s">
        <v>1260</v>
      </c>
      <c r="E28" s="492">
        <v>2</v>
      </c>
      <c r="F28" s="492">
        <v>3</v>
      </c>
      <c r="G28" s="219">
        <v>3</v>
      </c>
      <c r="H28" s="219">
        <v>4</v>
      </c>
      <c r="I28" s="219">
        <v>4</v>
      </c>
    </row>
    <row r="29" spans="1:10">
      <c r="A29" s="982">
        <v>2</v>
      </c>
      <c r="B29" s="983" t="s">
        <v>568</v>
      </c>
      <c r="C29" s="983"/>
      <c r="D29" s="984"/>
      <c r="E29" s="987">
        <v>16</v>
      </c>
      <c r="F29" s="988">
        <v>17</v>
      </c>
      <c r="G29" s="988">
        <v>18</v>
      </c>
      <c r="H29" s="988">
        <v>19</v>
      </c>
      <c r="I29" s="988">
        <v>20</v>
      </c>
    </row>
    <row r="30" spans="1:10" ht="26.25" customHeight="1">
      <c r="A30" s="982">
        <v>3</v>
      </c>
      <c r="B30" s="1550" t="s">
        <v>1224</v>
      </c>
      <c r="C30" s="1552"/>
      <c r="D30" s="1553"/>
      <c r="E30" s="124" t="s">
        <v>57</v>
      </c>
      <c r="F30" s="126" t="s">
        <v>395</v>
      </c>
      <c r="G30" s="126">
        <v>1</v>
      </c>
      <c r="H30" s="164">
        <v>1</v>
      </c>
      <c r="I30" s="164">
        <v>1</v>
      </c>
    </row>
    <row r="31" spans="1:10">
      <c r="A31" s="989">
        <v>4</v>
      </c>
      <c r="B31" s="1554" t="s">
        <v>145</v>
      </c>
      <c r="C31" s="1554"/>
      <c r="D31" s="1555"/>
      <c r="E31" s="990">
        <v>5</v>
      </c>
      <c r="F31" s="991">
        <v>5</v>
      </c>
      <c r="G31" s="991">
        <v>5</v>
      </c>
      <c r="H31" s="991">
        <v>5</v>
      </c>
      <c r="I31" s="991">
        <v>5</v>
      </c>
      <c r="J31" s="736"/>
    </row>
    <row r="32" spans="1:10">
      <c r="A32" s="550" t="s">
        <v>211</v>
      </c>
      <c r="B32" s="540"/>
      <c r="C32" s="550"/>
      <c r="D32" s="550"/>
      <c r="E32" s="556" t="s">
        <v>1469</v>
      </c>
      <c r="F32" s="550" t="s">
        <v>1252</v>
      </c>
      <c r="G32" s="992"/>
      <c r="H32" s="992"/>
      <c r="I32" s="992"/>
      <c r="J32" s="736"/>
    </row>
    <row r="33" spans="1:9">
      <c r="A33" s="970"/>
      <c r="B33" s="970"/>
      <c r="C33" s="970"/>
      <c r="D33" s="970"/>
      <c r="E33" s="550"/>
      <c r="F33" s="550" t="s">
        <v>1253</v>
      </c>
      <c r="G33" s="992"/>
      <c r="H33" s="992"/>
      <c r="I33" s="992"/>
    </row>
    <row r="34" spans="1:9">
      <c r="A34" s="970"/>
      <c r="B34" s="970"/>
      <c r="C34" s="970"/>
      <c r="D34" s="970"/>
      <c r="E34" s="550"/>
      <c r="F34" s="550" t="s">
        <v>101</v>
      </c>
      <c r="G34" s="992"/>
      <c r="H34" s="992"/>
      <c r="I34" s="992"/>
    </row>
    <row r="35" spans="1:9">
      <c r="A35" s="970"/>
      <c r="B35" s="970"/>
      <c r="C35" s="970"/>
      <c r="D35" s="970"/>
      <c r="E35" s="550"/>
      <c r="F35" s="550" t="s">
        <v>1226</v>
      </c>
      <c r="G35" s="992"/>
      <c r="H35" s="992"/>
      <c r="I35" s="992"/>
    </row>
    <row r="36" spans="1:9">
      <c r="A36" s="970"/>
      <c r="B36" s="970"/>
      <c r="C36" s="970"/>
      <c r="D36" s="970"/>
      <c r="E36" s="550"/>
      <c r="F36" s="550" t="s">
        <v>1239</v>
      </c>
      <c r="G36" s="992"/>
      <c r="H36" s="992"/>
      <c r="I36" s="992"/>
    </row>
    <row r="37" spans="1:9">
      <c r="A37" s="970"/>
      <c r="B37" s="970"/>
      <c r="C37" s="970"/>
      <c r="D37" s="970"/>
      <c r="E37" s="550"/>
      <c r="F37" s="550" t="s">
        <v>1240</v>
      </c>
      <c r="G37" s="992"/>
      <c r="H37" s="992"/>
      <c r="I37" s="992"/>
    </row>
    <row r="38" spans="1:9">
      <c r="A38" s="970"/>
      <c r="B38" s="970"/>
      <c r="C38" s="970"/>
      <c r="D38" s="970"/>
      <c r="E38" s="550"/>
      <c r="F38" s="550" t="s">
        <v>1131</v>
      </c>
      <c r="G38" s="992"/>
      <c r="H38" s="992"/>
      <c r="I38" s="992"/>
    </row>
    <row r="39" spans="1:9">
      <c r="A39" s="970"/>
      <c r="B39" s="970"/>
      <c r="C39" s="970"/>
      <c r="D39" s="970"/>
      <c r="E39" s="981"/>
      <c r="G39" s="981"/>
      <c r="H39" s="981"/>
      <c r="I39" s="981"/>
    </row>
    <row r="40" spans="1:9">
      <c r="A40" s="926"/>
      <c r="B40" s="926"/>
      <c r="C40" s="926"/>
      <c r="D40" s="926"/>
      <c r="E40" s="926"/>
      <c r="F40" s="926"/>
      <c r="G40" s="926"/>
      <c r="H40" s="926"/>
      <c r="I40" s="926"/>
    </row>
    <row r="41" spans="1:9">
      <c r="A41" s="926"/>
      <c r="B41" s="926"/>
      <c r="C41" s="926"/>
      <c r="D41" s="926"/>
      <c r="E41" s="926"/>
      <c r="F41" s="926"/>
      <c r="G41" s="926"/>
      <c r="H41" s="926"/>
      <c r="I41" s="926"/>
    </row>
    <row r="42" spans="1:9">
      <c r="A42" s="926"/>
      <c r="B42" s="926"/>
      <c r="C42" s="926"/>
      <c r="D42" s="926"/>
      <c r="E42" s="926"/>
      <c r="F42" s="926"/>
      <c r="G42" s="926"/>
      <c r="H42" s="926"/>
      <c r="I42" s="926"/>
    </row>
    <row r="43" spans="1:9">
      <c r="A43" s="926"/>
      <c r="B43" s="926"/>
      <c r="C43" s="926"/>
      <c r="D43" s="926"/>
      <c r="E43" s="926"/>
      <c r="F43" s="926"/>
      <c r="G43" s="926"/>
      <c r="H43" s="926"/>
      <c r="I43" s="926"/>
    </row>
    <row r="44" spans="1:9">
      <c r="A44" s="926"/>
      <c r="B44" s="926"/>
      <c r="C44" s="926"/>
      <c r="D44" s="926"/>
      <c r="E44" s="926"/>
      <c r="F44" s="926"/>
      <c r="G44" s="926"/>
      <c r="H44" s="926"/>
      <c r="I44" s="926"/>
    </row>
    <row r="45" spans="1:9">
      <c r="A45" s="926"/>
      <c r="B45" s="926"/>
      <c r="C45" s="926"/>
      <c r="D45" s="926"/>
      <c r="E45" s="926"/>
      <c r="F45" s="926"/>
      <c r="G45" s="926"/>
      <c r="H45" s="926"/>
      <c r="I45" s="926"/>
    </row>
  </sheetData>
  <mergeCells count="12">
    <mergeCell ref="C23:D23"/>
    <mergeCell ref="B30:D30"/>
    <mergeCell ref="B31:D31"/>
    <mergeCell ref="A1:I1"/>
    <mergeCell ref="B7:D7"/>
    <mergeCell ref="A2:I2"/>
    <mergeCell ref="A6:D6"/>
    <mergeCell ref="E4:I4"/>
    <mergeCell ref="C13:D13"/>
    <mergeCell ref="A4:D5"/>
    <mergeCell ref="C8:D8"/>
    <mergeCell ref="C18:D18"/>
  </mergeCells>
  <phoneticPr fontId="0" type="noConversion"/>
  <printOptions horizontalCentered="1" verticalCentered="1"/>
  <pageMargins left="0" right="0" top="0.48" bottom="0" header="0.55000000000000004" footer="0.14000000000000001"/>
  <pageSetup paperSize="9" orientation="landscape" blackAndWhite="1" r:id="rId1"/>
  <headerFooter alignWithMargins="0"/>
</worksheet>
</file>

<file path=xl/worksheets/sheet28.xml><?xml version="1.0" encoding="utf-8"?>
<worksheet xmlns="http://schemas.openxmlformats.org/spreadsheetml/2006/main" xmlns:r="http://schemas.openxmlformats.org/officeDocument/2006/relationships">
  <sheetPr codeName="Sheet27"/>
  <dimension ref="A1:K43"/>
  <sheetViews>
    <sheetView workbookViewId="0">
      <selection activeCell="F14" sqref="F14"/>
    </sheetView>
  </sheetViews>
  <sheetFormatPr defaultRowHeight="12.75"/>
  <cols>
    <col min="1" max="1" width="2.140625" style="723" customWidth="1"/>
    <col min="2" max="2" width="2.85546875" style="723" customWidth="1"/>
    <col min="3" max="3" width="1.85546875" style="723" customWidth="1"/>
    <col min="4" max="4" width="52.28515625" style="723" customWidth="1"/>
    <col min="5" max="9" width="12.7109375" style="723" customWidth="1"/>
    <col min="10" max="16384" width="9.140625" style="723"/>
  </cols>
  <sheetData>
    <row r="1" spans="1:10" ht="15.75" customHeight="1">
      <c r="A1" s="1558" t="s">
        <v>649</v>
      </c>
      <c r="B1" s="1558"/>
      <c r="C1" s="1558"/>
      <c r="D1" s="1558"/>
      <c r="E1" s="1558"/>
      <c r="F1" s="1558"/>
      <c r="G1" s="1558"/>
      <c r="H1" s="1558"/>
      <c r="I1" s="1558"/>
    </row>
    <row r="2" spans="1:10" ht="16.5">
      <c r="A2" s="1413" t="str">
        <f>CONCATENATE("Professional &amp; Technical Educational Institutions by type in the district of ",District!A1)</f>
        <v>Professional &amp; Technical Educational Institutions by type in the district of Purulia</v>
      </c>
      <c r="B2" s="1413"/>
      <c r="C2" s="1413"/>
      <c r="D2" s="1413"/>
      <c r="E2" s="1413"/>
      <c r="F2" s="1413"/>
      <c r="G2" s="1413"/>
      <c r="H2" s="1413"/>
      <c r="I2" s="1413"/>
    </row>
    <row r="3" spans="1:10">
      <c r="A3" s="1560"/>
      <c r="B3" s="1560"/>
      <c r="C3" s="1560"/>
      <c r="D3" s="1560"/>
      <c r="E3" s="1560"/>
      <c r="F3" s="1560"/>
      <c r="G3" s="1560"/>
      <c r="H3" s="1560"/>
      <c r="I3" s="780" t="s">
        <v>1058</v>
      </c>
    </row>
    <row r="4" spans="1:10" ht="14.25" customHeight="1">
      <c r="A4" s="1403" t="s">
        <v>800</v>
      </c>
      <c r="B4" s="1513"/>
      <c r="C4" s="1513"/>
      <c r="D4" s="1404"/>
      <c r="E4" s="1407" t="s">
        <v>951</v>
      </c>
      <c r="F4" s="1400"/>
      <c r="G4" s="1400"/>
      <c r="H4" s="1400"/>
      <c r="I4" s="1401"/>
      <c r="J4" s="883"/>
    </row>
    <row r="5" spans="1:10" ht="14.25" customHeight="1">
      <c r="A5" s="1405"/>
      <c r="B5" s="1486"/>
      <c r="C5" s="1486"/>
      <c r="D5" s="1406"/>
      <c r="E5" s="124" t="s">
        <v>1526</v>
      </c>
      <c r="F5" s="124" t="s">
        <v>1525</v>
      </c>
      <c r="G5" s="124" t="s">
        <v>1051</v>
      </c>
      <c r="H5" s="728" t="s">
        <v>1250</v>
      </c>
      <c r="I5" s="728" t="s">
        <v>527</v>
      </c>
    </row>
    <row r="6" spans="1:10" ht="14.25" customHeight="1">
      <c r="A6" s="1395" t="s">
        <v>1008</v>
      </c>
      <c r="B6" s="1485"/>
      <c r="C6" s="1485"/>
      <c r="D6" s="1485"/>
      <c r="E6" s="729" t="s">
        <v>1009</v>
      </c>
      <c r="F6" s="729" t="s">
        <v>1010</v>
      </c>
      <c r="G6" s="790" t="s">
        <v>1011</v>
      </c>
      <c r="H6" s="729" t="s">
        <v>1015</v>
      </c>
      <c r="I6" s="742" t="s">
        <v>1016</v>
      </c>
    </row>
    <row r="7" spans="1:10">
      <c r="A7" s="993">
        <v>1</v>
      </c>
      <c r="B7" s="1559" t="s">
        <v>299</v>
      </c>
      <c r="C7" s="1559"/>
      <c r="D7" s="1559"/>
      <c r="E7" s="524">
        <f>SUM(E8,E13,E16)</f>
        <v>9</v>
      </c>
      <c r="F7" s="524">
        <f>SUM(F8,F13,F16)</f>
        <v>9</v>
      </c>
      <c r="G7" s="524">
        <f>SUM(G8,G13,G16)</f>
        <v>9</v>
      </c>
      <c r="H7" s="524">
        <f>SUM(H8,H13,H16)</f>
        <v>10</v>
      </c>
      <c r="I7" s="524">
        <f>SUM(I8,I13,I16)</f>
        <v>12</v>
      </c>
    </row>
    <row r="8" spans="1:10">
      <c r="A8" s="985"/>
      <c r="B8" s="225" t="s">
        <v>1188</v>
      </c>
      <c r="C8" s="1556" t="s">
        <v>1311</v>
      </c>
      <c r="D8" s="1556"/>
      <c r="E8" s="164">
        <f>SUM(E9:E12)</f>
        <v>2</v>
      </c>
      <c r="F8" s="164">
        <f>SUM(F9:F12)</f>
        <v>2</v>
      </c>
      <c r="G8" s="164">
        <f>SUM(G9:G12)</f>
        <v>2</v>
      </c>
      <c r="H8" s="164">
        <f>SUM(H9:H12)</f>
        <v>2</v>
      </c>
      <c r="I8" s="164">
        <f>SUM(I9:I12)</f>
        <v>2</v>
      </c>
    </row>
    <row r="9" spans="1:10">
      <c r="A9" s="985"/>
      <c r="B9" s="902"/>
      <c r="C9" s="902"/>
      <c r="D9" s="225" t="s">
        <v>1261</v>
      </c>
      <c r="E9" s="994" t="s">
        <v>57</v>
      </c>
      <c r="F9" s="994" t="s">
        <v>57</v>
      </c>
      <c r="G9" s="994" t="s">
        <v>57</v>
      </c>
      <c r="H9" s="994" t="s">
        <v>57</v>
      </c>
      <c r="I9" s="219" t="s">
        <v>57</v>
      </c>
    </row>
    <row r="10" spans="1:10">
      <c r="A10" s="985"/>
      <c r="B10" s="902"/>
      <c r="C10" s="902"/>
      <c r="D10" s="225" t="s">
        <v>686</v>
      </c>
      <c r="E10" s="994" t="s">
        <v>57</v>
      </c>
      <c r="F10" s="994" t="s">
        <v>57</v>
      </c>
      <c r="G10" s="994" t="s">
        <v>57</v>
      </c>
      <c r="H10" s="994" t="s">
        <v>57</v>
      </c>
      <c r="I10" s="219" t="s">
        <v>57</v>
      </c>
    </row>
    <row r="11" spans="1:10">
      <c r="A11" s="985"/>
      <c r="B11" s="902"/>
      <c r="C11" s="902"/>
      <c r="D11" s="225" t="s">
        <v>1312</v>
      </c>
      <c r="E11" s="994">
        <v>1</v>
      </c>
      <c r="F11" s="994">
        <v>1</v>
      </c>
      <c r="G11" s="994">
        <v>1</v>
      </c>
      <c r="H11" s="994">
        <v>1</v>
      </c>
      <c r="I11" s="994">
        <v>1</v>
      </c>
    </row>
    <row r="12" spans="1:10">
      <c r="A12" s="985"/>
      <c r="B12" s="902"/>
      <c r="C12" s="902"/>
      <c r="D12" s="225" t="s">
        <v>1313</v>
      </c>
      <c r="E12" s="994">
        <v>1</v>
      </c>
      <c r="F12" s="994">
        <v>1</v>
      </c>
      <c r="G12" s="994">
        <v>1</v>
      </c>
      <c r="H12" s="994">
        <v>1</v>
      </c>
      <c r="I12" s="994">
        <v>1</v>
      </c>
    </row>
    <row r="13" spans="1:10">
      <c r="A13" s="985"/>
      <c r="B13" s="225" t="s">
        <v>1186</v>
      </c>
      <c r="C13" s="1556" t="s">
        <v>1262</v>
      </c>
      <c r="D13" s="1556"/>
      <c r="E13" s="164">
        <f>SUM(E14:E15)</f>
        <v>7</v>
      </c>
      <c r="F13" s="164">
        <f>SUM(F14:F15)</f>
        <v>7</v>
      </c>
      <c r="G13" s="164">
        <f>SUM(G14:G15)</f>
        <v>7</v>
      </c>
      <c r="H13" s="164">
        <f>SUM(H14:H15)</f>
        <v>8</v>
      </c>
      <c r="I13" s="164">
        <f>SUM(I14:I15)</f>
        <v>10</v>
      </c>
    </row>
    <row r="14" spans="1:10" ht="12.75" customHeight="1">
      <c r="A14" s="985"/>
      <c r="B14" s="902"/>
      <c r="C14" s="902"/>
      <c r="D14" s="995" t="s">
        <v>1264</v>
      </c>
      <c r="E14" s="744">
        <v>6</v>
      </c>
      <c r="F14" s="744">
        <v>6</v>
      </c>
      <c r="G14" s="744">
        <v>5</v>
      </c>
      <c r="H14" s="744">
        <v>6</v>
      </c>
      <c r="I14" s="744">
        <v>8</v>
      </c>
    </row>
    <row r="15" spans="1:10">
      <c r="A15" s="985"/>
      <c r="B15" s="902"/>
      <c r="C15" s="902"/>
      <c r="D15" s="225" t="s">
        <v>1265</v>
      </c>
      <c r="E15" s="994">
        <v>1</v>
      </c>
      <c r="F15" s="994">
        <v>1</v>
      </c>
      <c r="G15" s="994">
        <v>2</v>
      </c>
      <c r="H15" s="994">
        <v>2</v>
      </c>
      <c r="I15" s="994">
        <v>2</v>
      </c>
    </row>
    <row r="16" spans="1:10" ht="27.75" customHeight="1">
      <c r="A16" s="985"/>
      <c r="B16" s="986" t="s">
        <v>1187</v>
      </c>
      <c r="C16" s="1550" t="s">
        <v>1052</v>
      </c>
      <c r="D16" s="1550"/>
      <c r="E16" s="744" t="s">
        <v>57</v>
      </c>
      <c r="F16" s="744" t="s">
        <v>57</v>
      </c>
      <c r="G16" s="744" t="s">
        <v>57</v>
      </c>
      <c r="H16" s="744" t="s">
        <v>57</v>
      </c>
      <c r="I16" s="1248" t="s">
        <v>57</v>
      </c>
    </row>
    <row r="17" spans="1:11">
      <c r="A17" s="792">
        <v>2</v>
      </c>
      <c r="B17" s="1556" t="s">
        <v>300</v>
      </c>
      <c r="C17" s="1556"/>
      <c r="D17" s="1556"/>
      <c r="E17" s="164">
        <f>SUM(E18,E25,E28)</f>
        <v>8</v>
      </c>
      <c r="F17" s="164">
        <f>SUM(F18,F25,F28)</f>
        <v>9</v>
      </c>
      <c r="G17" s="164">
        <f>SUM(G18,G25,G28)</f>
        <v>8</v>
      </c>
      <c r="H17" s="164">
        <f>SUM(H18,H25,H28)</f>
        <v>8</v>
      </c>
      <c r="I17" s="164">
        <f>SUM(I18,I25,I28)</f>
        <v>9</v>
      </c>
    </row>
    <row r="18" spans="1:11">
      <c r="A18" s="985"/>
      <c r="B18" s="225" t="s">
        <v>1188</v>
      </c>
      <c r="C18" s="1556" t="s">
        <v>1230</v>
      </c>
      <c r="D18" s="1556"/>
      <c r="E18" s="164">
        <f>SUM(E19:E24)</f>
        <v>4</v>
      </c>
      <c r="F18" s="164">
        <f>SUM(F19:F24)</f>
        <v>5</v>
      </c>
      <c r="G18" s="164">
        <f>SUM(G19:G24)</f>
        <v>4</v>
      </c>
      <c r="H18" s="164">
        <f>SUM(H19:H24)</f>
        <v>4</v>
      </c>
      <c r="I18" s="164">
        <f>SUM(I19:I24)</f>
        <v>4</v>
      </c>
    </row>
    <row r="19" spans="1:11" ht="25.5">
      <c r="A19" s="985"/>
      <c r="B19" s="902"/>
      <c r="C19" s="902"/>
      <c r="D19" s="995" t="s">
        <v>460</v>
      </c>
      <c r="E19" s="744">
        <v>2</v>
      </c>
      <c r="F19" s="744">
        <v>2</v>
      </c>
      <c r="G19" s="744">
        <v>1</v>
      </c>
      <c r="H19" s="744">
        <v>1</v>
      </c>
      <c r="I19" s="744">
        <v>1</v>
      </c>
      <c r="J19" s="926"/>
      <c r="K19" s="926"/>
    </row>
    <row r="20" spans="1:11">
      <c r="A20" s="985"/>
      <c r="B20" s="902"/>
      <c r="C20" s="902"/>
      <c r="D20" s="225" t="s">
        <v>1231</v>
      </c>
      <c r="E20" s="994" t="s">
        <v>57</v>
      </c>
      <c r="F20" s="994" t="s">
        <v>57</v>
      </c>
      <c r="G20" s="994" t="s">
        <v>57</v>
      </c>
      <c r="H20" s="994" t="s">
        <v>57</v>
      </c>
      <c r="I20" s="219" t="s">
        <v>57</v>
      </c>
    </row>
    <row r="21" spans="1:11">
      <c r="A21" s="985"/>
      <c r="B21" s="902"/>
      <c r="C21" s="902"/>
      <c r="D21" s="225" t="s">
        <v>1232</v>
      </c>
      <c r="E21" s="994">
        <v>1</v>
      </c>
      <c r="F21" s="994">
        <v>1</v>
      </c>
      <c r="G21" s="994">
        <v>1</v>
      </c>
      <c r="H21" s="994">
        <v>1</v>
      </c>
      <c r="I21" s="994">
        <v>1</v>
      </c>
    </row>
    <row r="22" spans="1:11">
      <c r="A22" s="985"/>
      <c r="B22" s="902"/>
      <c r="C22" s="902"/>
      <c r="D22" s="225" t="s">
        <v>1233</v>
      </c>
      <c r="E22" s="994">
        <v>1</v>
      </c>
      <c r="F22" s="994">
        <v>2</v>
      </c>
      <c r="G22" s="994">
        <v>2</v>
      </c>
      <c r="H22" s="994">
        <v>2</v>
      </c>
      <c r="I22" s="994">
        <v>2</v>
      </c>
    </row>
    <row r="23" spans="1:11">
      <c r="A23" s="985"/>
      <c r="B23" s="902"/>
      <c r="C23" s="902"/>
      <c r="D23" s="225" t="s">
        <v>1314</v>
      </c>
      <c r="E23" s="994" t="s">
        <v>57</v>
      </c>
      <c r="F23" s="994" t="s">
        <v>57</v>
      </c>
      <c r="G23" s="994" t="s">
        <v>57</v>
      </c>
      <c r="H23" s="994" t="s">
        <v>57</v>
      </c>
      <c r="I23" s="219" t="s">
        <v>57</v>
      </c>
    </row>
    <row r="24" spans="1:11" ht="38.25">
      <c r="A24" s="985"/>
      <c r="B24" s="902"/>
      <c r="C24" s="902"/>
      <c r="D24" s="995" t="s">
        <v>461</v>
      </c>
      <c r="E24" s="744" t="s">
        <v>57</v>
      </c>
      <c r="F24" s="744" t="s">
        <v>57</v>
      </c>
      <c r="G24" s="744" t="s">
        <v>57</v>
      </c>
      <c r="H24" s="744" t="s">
        <v>57</v>
      </c>
      <c r="I24" s="1248" t="s">
        <v>57</v>
      </c>
    </row>
    <row r="25" spans="1:11">
      <c r="A25" s="985"/>
      <c r="B25" s="225" t="s">
        <v>1186</v>
      </c>
      <c r="C25" s="1556" t="s">
        <v>1275</v>
      </c>
      <c r="D25" s="1556"/>
      <c r="E25" s="164">
        <f>SUM(E26:E27)</f>
        <v>4</v>
      </c>
      <c r="F25" s="164">
        <f>SUM(F26:F27)</f>
        <v>4</v>
      </c>
      <c r="G25" s="164">
        <f>SUM(G26:G27)</f>
        <v>4</v>
      </c>
      <c r="H25" s="164">
        <f>SUM(H26:H27)</f>
        <v>4</v>
      </c>
      <c r="I25" s="164">
        <f>SUM(I26:I27)</f>
        <v>5</v>
      </c>
    </row>
    <row r="26" spans="1:11">
      <c r="A26" s="985"/>
      <c r="B26" s="902"/>
      <c r="C26" s="902"/>
      <c r="D26" s="225" t="s">
        <v>138</v>
      </c>
      <c r="E26" s="219">
        <v>4</v>
      </c>
      <c r="F26" s="219">
        <v>4</v>
      </c>
      <c r="G26" s="219">
        <v>4</v>
      </c>
      <c r="H26" s="219">
        <v>4</v>
      </c>
      <c r="I26" s="219">
        <v>5</v>
      </c>
    </row>
    <row r="27" spans="1:11">
      <c r="A27" s="985"/>
      <c r="B27" s="902"/>
      <c r="C27" s="902"/>
      <c r="D27" s="225" t="s">
        <v>1234</v>
      </c>
      <c r="E27" s="994" t="s">
        <v>57</v>
      </c>
      <c r="F27" s="994" t="s">
        <v>57</v>
      </c>
      <c r="G27" s="994" t="s">
        <v>57</v>
      </c>
      <c r="H27" s="994" t="s">
        <v>57</v>
      </c>
      <c r="I27" s="219" t="s">
        <v>57</v>
      </c>
    </row>
    <row r="28" spans="1:11">
      <c r="A28" s="985"/>
      <c r="B28" s="225" t="s">
        <v>1187</v>
      </c>
      <c r="C28" s="1556" t="s">
        <v>1235</v>
      </c>
      <c r="D28" s="1556"/>
      <c r="E28" s="804" t="str">
        <f>IF(SUM(E29:E34)=0,"-",SUM(E29:E34))</f>
        <v>-</v>
      </c>
      <c r="F28" s="229" t="str">
        <f>IF(SUM(F29:F34)=0,"-",SUM(F29:F34))</f>
        <v>-</v>
      </c>
      <c r="G28" s="229" t="str">
        <f>IF(SUM(G29:G34)=0,"-",SUM(G29:G34))</f>
        <v>-</v>
      </c>
      <c r="H28" s="229" t="str">
        <f>IF(SUM(H29:H34)=0,"-",SUM(H29:H34))</f>
        <v>-</v>
      </c>
      <c r="I28" s="229" t="s">
        <v>57</v>
      </c>
    </row>
    <row r="29" spans="1:11">
      <c r="A29" s="985"/>
      <c r="B29" s="902"/>
      <c r="C29" s="902"/>
      <c r="D29" s="225" t="s">
        <v>1277</v>
      </c>
      <c r="E29" s="994" t="s">
        <v>57</v>
      </c>
      <c r="F29" s="994" t="s">
        <v>57</v>
      </c>
      <c r="G29" s="994" t="s">
        <v>57</v>
      </c>
      <c r="H29" s="994" t="s">
        <v>57</v>
      </c>
      <c r="I29" s="219" t="s">
        <v>57</v>
      </c>
    </row>
    <row r="30" spans="1:11">
      <c r="A30" s="985"/>
      <c r="B30" s="902"/>
      <c r="C30" s="902"/>
      <c r="D30" s="225" t="s">
        <v>1278</v>
      </c>
      <c r="E30" s="994" t="s">
        <v>57</v>
      </c>
      <c r="F30" s="994" t="s">
        <v>57</v>
      </c>
      <c r="G30" s="994" t="s">
        <v>57</v>
      </c>
      <c r="H30" s="994" t="s">
        <v>57</v>
      </c>
      <c r="I30" s="219" t="s">
        <v>57</v>
      </c>
    </row>
    <row r="31" spans="1:11">
      <c r="A31" s="985"/>
      <c r="B31" s="902"/>
      <c r="C31" s="902"/>
      <c r="D31" s="225" t="s">
        <v>1281</v>
      </c>
      <c r="E31" s="994" t="s">
        <v>57</v>
      </c>
      <c r="F31" s="994" t="s">
        <v>57</v>
      </c>
      <c r="G31" s="994" t="s">
        <v>57</v>
      </c>
      <c r="H31" s="994" t="s">
        <v>57</v>
      </c>
      <c r="I31" s="219" t="s">
        <v>57</v>
      </c>
    </row>
    <row r="32" spans="1:11">
      <c r="A32" s="985"/>
      <c r="B32" s="902"/>
      <c r="C32" s="902"/>
      <c r="D32" s="225" t="s">
        <v>1279</v>
      </c>
      <c r="E32" s="994" t="s">
        <v>57</v>
      </c>
      <c r="F32" s="994" t="s">
        <v>57</v>
      </c>
      <c r="G32" s="994" t="s">
        <v>57</v>
      </c>
      <c r="H32" s="994" t="s">
        <v>57</v>
      </c>
      <c r="I32" s="219" t="s">
        <v>57</v>
      </c>
      <c r="K32" s="5" t="s">
        <v>355</v>
      </c>
    </row>
    <row r="33" spans="1:10" ht="12.75" customHeight="1">
      <c r="A33" s="985"/>
      <c r="B33" s="902"/>
      <c r="C33" s="902"/>
      <c r="D33" s="996" t="s">
        <v>1280</v>
      </c>
      <c r="E33" s="994" t="s">
        <v>57</v>
      </c>
      <c r="F33" s="994" t="s">
        <v>57</v>
      </c>
      <c r="G33" s="994" t="s">
        <v>57</v>
      </c>
      <c r="H33" s="994" t="s">
        <v>57</v>
      </c>
      <c r="I33" s="219" t="s">
        <v>57</v>
      </c>
    </row>
    <row r="34" spans="1:10">
      <c r="A34" s="792">
        <v>3</v>
      </c>
      <c r="B34" s="1554" t="s">
        <v>301</v>
      </c>
      <c r="C34" s="1554"/>
      <c r="D34" s="1554"/>
      <c r="E34" s="997" t="s">
        <v>57</v>
      </c>
      <c r="F34" s="997" t="s">
        <v>57</v>
      </c>
      <c r="G34" s="997" t="s">
        <v>57</v>
      </c>
      <c r="H34" s="997" t="s">
        <v>57</v>
      </c>
      <c r="I34" s="1341" t="s">
        <v>57</v>
      </c>
    </row>
    <row r="35" spans="1:10">
      <c r="A35" s="998"/>
      <c r="B35" s="999" t="s">
        <v>1035</v>
      </c>
      <c r="C35" s="1000"/>
      <c r="D35" s="1000"/>
      <c r="E35" s="735">
        <f>SUM(E7,E17,E34)</f>
        <v>17</v>
      </c>
      <c r="F35" s="735">
        <f>SUM(F7,F17,F34)</f>
        <v>18</v>
      </c>
      <c r="G35" s="735">
        <f>SUM(G7,G17,G34)</f>
        <v>17</v>
      </c>
      <c r="H35" s="735">
        <f>SUM(H7,H17,H34)</f>
        <v>18</v>
      </c>
      <c r="I35" s="735">
        <f>SUM(I7,I17,I34)</f>
        <v>21</v>
      </c>
    </row>
    <row r="36" spans="1:10">
      <c r="A36" s="970"/>
      <c r="B36" s="970"/>
      <c r="C36" s="970"/>
      <c r="D36" s="970"/>
      <c r="E36" s="1532" t="s">
        <v>801</v>
      </c>
      <c r="F36" s="1533"/>
      <c r="G36" s="1533"/>
      <c r="H36" s="1533"/>
      <c r="I36" s="1533"/>
      <c r="J36" s="112"/>
    </row>
    <row r="37" spans="1:10">
      <c r="A37" s="970"/>
      <c r="B37" s="970"/>
      <c r="C37" s="970"/>
      <c r="D37" s="970"/>
      <c r="E37" s="970"/>
      <c r="F37" s="981"/>
      <c r="G37" s="981"/>
      <c r="H37" s="981"/>
      <c r="I37" s="981"/>
    </row>
    <row r="38" spans="1:10">
      <c r="A38" s="970"/>
      <c r="B38" s="970"/>
      <c r="C38" s="970"/>
      <c r="D38" s="970"/>
      <c r="E38" s="970"/>
      <c r="F38" s="981"/>
      <c r="G38" s="981"/>
      <c r="H38" s="981"/>
      <c r="I38" s="981"/>
    </row>
    <row r="39" spans="1:10" ht="12.75" customHeight="1">
      <c r="A39" s="926"/>
      <c r="B39" s="926"/>
      <c r="C39" s="926"/>
      <c r="D39" s="926"/>
      <c r="E39" s="926"/>
      <c r="F39" s="926"/>
      <c r="G39" s="926"/>
      <c r="H39" s="926"/>
      <c r="I39" s="926"/>
    </row>
    <row r="40" spans="1:10">
      <c r="A40" s="926"/>
      <c r="B40" s="926"/>
      <c r="C40" s="926"/>
      <c r="D40" s="926"/>
      <c r="E40" s="926"/>
      <c r="F40" s="926"/>
      <c r="G40" s="926"/>
      <c r="H40" s="926"/>
      <c r="I40" s="926"/>
    </row>
    <row r="41" spans="1:10">
      <c r="A41" s="926"/>
      <c r="B41" s="926"/>
      <c r="C41" s="926"/>
      <c r="D41" s="926"/>
      <c r="E41" s="926"/>
      <c r="F41" s="926"/>
      <c r="G41" s="926"/>
      <c r="H41" s="926"/>
      <c r="I41" s="926"/>
    </row>
    <row r="42" spans="1:10">
      <c r="A42" s="926"/>
      <c r="B42" s="926"/>
      <c r="C42" s="926"/>
      <c r="D42" s="926"/>
      <c r="E42" s="926"/>
      <c r="F42" s="926"/>
      <c r="G42" s="926"/>
      <c r="H42" s="926"/>
      <c r="I42" s="926"/>
    </row>
    <row r="43" spans="1:10">
      <c r="A43" s="926"/>
      <c r="B43" s="926"/>
      <c r="C43" s="926"/>
      <c r="D43" s="926"/>
      <c r="E43" s="926"/>
      <c r="F43" s="926"/>
      <c r="G43" s="926"/>
      <c r="H43" s="926"/>
      <c r="I43" s="926"/>
    </row>
  </sheetData>
  <mergeCells count="16">
    <mergeCell ref="A1:I1"/>
    <mergeCell ref="B34:D34"/>
    <mergeCell ref="C13:D13"/>
    <mergeCell ref="C18:D18"/>
    <mergeCell ref="A2:I2"/>
    <mergeCell ref="A6:D6"/>
    <mergeCell ref="B7:D7"/>
    <mergeCell ref="C8:D8"/>
    <mergeCell ref="E4:I4"/>
    <mergeCell ref="A3:H3"/>
    <mergeCell ref="E36:I36"/>
    <mergeCell ref="A4:D5"/>
    <mergeCell ref="C28:D28"/>
    <mergeCell ref="C25:D25"/>
    <mergeCell ref="B17:D17"/>
    <mergeCell ref="C16:D16"/>
  </mergeCells>
  <phoneticPr fontId="0" type="noConversion"/>
  <printOptions horizontalCentered="1" verticalCentered="1"/>
  <pageMargins left="0.1" right="0.1" top="0" bottom="0" header="0.15" footer="0.14000000000000001"/>
  <pageSetup paperSize="9" orientation="landscape" blackAndWhite="1" r:id="rId1"/>
  <headerFooter alignWithMargins="0"/>
</worksheet>
</file>

<file path=xl/worksheets/sheet29.xml><?xml version="1.0" encoding="utf-8"?>
<worksheet xmlns="http://schemas.openxmlformats.org/spreadsheetml/2006/main" xmlns:r="http://schemas.openxmlformats.org/officeDocument/2006/relationships">
  <sheetPr codeName="Sheet28"/>
  <dimension ref="A1:I35"/>
  <sheetViews>
    <sheetView workbookViewId="0">
      <selection activeCell="F14" sqref="F14"/>
    </sheetView>
  </sheetViews>
  <sheetFormatPr defaultRowHeight="12.75"/>
  <cols>
    <col min="1" max="1" width="3.7109375" style="723" customWidth="1"/>
    <col min="2" max="3" width="9.140625" style="723"/>
    <col min="4" max="4" width="26" style="723" customWidth="1"/>
    <col min="5" max="6" width="13.7109375" style="723" customWidth="1"/>
    <col min="7" max="8" width="14.5703125" style="723" customWidth="1"/>
    <col min="9" max="9" width="15" style="723" customWidth="1"/>
    <col min="10" max="16384" width="9.140625" style="723"/>
  </cols>
  <sheetData>
    <row r="1" spans="1:9" ht="16.5" customHeight="1">
      <c r="A1" s="1558" t="s">
        <v>650</v>
      </c>
      <c r="B1" s="1558"/>
      <c r="C1" s="1558"/>
      <c r="D1" s="1558"/>
      <c r="E1" s="1558"/>
      <c r="F1" s="1558"/>
      <c r="G1" s="1558"/>
      <c r="H1" s="1558"/>
      <c r="I1" s="1558"/>
    </row>
    <row r="2" spans="1:9" ht="21" customHeight="1">
      <c r="A2" s="1467" t="str">
        <f>CONCATENATE(" Special and Non-formal Educational Institutions by type in the district of ",District!A1)</f>
        <v xml:space="preserve"> Special and Non-formal Educational Institutions by type in the district of Purulia</v>
      </c>
      <c r="B2" s="1467"/>
      <c r="C2" s="1467"/>
      <c r="D2" s="1467"/>
      <c r="E2" s="1467"/>
      <c r="F2" s="1467"/>
      <c r="G2" s="1467"/>
      <c r="H2" s="1467"/>
      <c r="I2" s="1467"/>
    </row>
    <row r="3" spans="1:9" ht="17.100000000000001" customHeight="1">
      <c r="A3" s="1565"/>
      <c r="B3" s="1565"/>
      <c r="C3" s="1565"/>
      <c r="D3" s="1565"/>
      <c r="E3" s="1565"/>
      <c r="F3" s="1565"/>
      <c r="G3" s="1565"/>
      <c r="H3" s="1565"/>
      <c r="I3" s="778" t="s">
        <v>1058</v>
      </c>
    </row>
    <row r="4" spans="1:9" ht="17.100000000000001" customHeight="1">
      <c r="A4" s="1403" t="s">
        <v>800</v>
      </c>
      <c r="B4" s="1513"/>
      <c r="C4" s="1513"/>
      <c r="D4" s="1404"/>
      <c r="E4" s="1407" t="s">
        <v>951</v>
      </c>
      <c r="F4" s="1400"/>
      <c r="G4" s="1400"/>
      <c r="H4" s="1400"/>
      <c r="I4" s="1401"/>
    </row>
    <row r="5" spans="1:9" ht="17.100000000000001" customHeight="1">
      <c r="A5" s="1405"/>
      <c r="B5" s="1486"/>
      <c r="C5" s="1486"/>
      <c r="D5" s="1406"/>
      <c r="E5" s="124" t="s">
        <v>1526</v>
      </c>
      <c r="F5" s="124" t="s">
        <v>1525</v>
      </c>
      <c r="G5" s="124" t="s">
        <v>1051</v>
      </c>
      <c r="H5" s="728" t="s">
        <v>1250</v>
      </c>
      <c r="I5" s="728" t="s">
        <v>527</v>
      </c>
    </row>
    <row r="6" spans="1:9" ht="17.100000000000001" customHeight="1">
      <c r="A6" s="1395" t="s">
        <v>1008</v>
      </c>
      <c r="B6" s="1485"/>
      <c r="C6" s="1485"/>
      <c r="D6" s="1485"/>
      <c r="E6" s="741" t="s">
        <v>1009</v>
      </c>
      <c r="F6" s="729" t="s">
        <v>1010</v>
      </c>
      <c r="G6" s="790" t="s">
        <v>1011</v>
      </c>
      <c r="H6" s="729" t="s">
        <v>1015</v>
      </c>
      <c r="I6" s="742" t="s">
        <v>1016</v>
      </c>
    </row>
    <row r="7" spans="1:9" ht="19.5" customHeight="1">
      <c r="A7" s="125">
        <v>1</v>
      </c>
      <c r="B7" s="1562" t="s">
        <v>1285</v>
      </c>
      <c r="C7" s="1563"/>
      <c r="D7" s="1564"/>
      <c r="E7" s="928">
        <v>416</v>
      </c>
      <c r="F7" s="928">
        <v>416</v>
      </c>
      <c r="G7" s="928">
        <v>416</v>
      </c>
      <c r="H7" s="928">
        <v>416</v>
      </c>
      <c r="I7" s="928">
        <v>416</v>
      </c>
    </row>
    <row r="8" spans="1:9" ht="19.5" customHeight="1">
      <c r="A8" s="125">
        <v>2</v>
      </c>
      <c r="B8" s="1454" t="s">
        <v>524</v>
      </c>
      <c r="C8" s="1561"/>
      <c r="D8" s="1461"/>
      <c r="E8" s="140">
        <v>139</v>
      </c>
      <c r="F8" s="140">
        <v>139</v>
      </c>
      <c r="G8" s="140">
        <v>139</v>
      </c>
      <c r="H8" s="140">
        <v>139</v>
      </c>
      <c r="I8" s="140">
        <v>139</v>
      </c>
    </row>
    <row r="9" spans="1:9" ht="19.5" customHeight="1">
      <c r="A9" s="125">
        <v>3</v>
      </c>
      <c r="B9" s="1454" t="s">
        <v>1286</v>
      </c>
      <c r="C9" s="1561"/>
      <c r="D9" s="1461"/>
      <c r="E9" s="928" t="s">
        <v>57</v>
      </c>
      <c r="F9" s="928" t="s">
        <v>57</v>
      </c>
      <c r="G9" s="928" t="s">
        <v>57</v>
      </c>
      <c r="H9" s="928" t="s">
        <v>57</v>
      </c>
      <c r="I9" s="140" t="s">
        <v>57</v>
      </c>
    </row>
    <row r="10" spans="1:9" ht="19.5" customHeight="1">
      <c r="A10" s="125">
        <v>4</v>
      </c>
      <c r="B10" s="1454" t="s">
        <v>536</v>
      </c>
      <c r="C10" s="1561"/>
      <c r="D10" s="1461"/>
      <c r="E10" s="928">
        <v>2</v>
      </c>
      <c r="F10" s="928">
        <v>2</v>
      </c>
      <c r="G10" s="928">
        <v>2</v>
      </c>
      <c r="H10" s="928">
        <v>2</v>
      </c>
      <c r="I10" s="928">
        <v>2</v>
      </c>
    </row>
    <row r="11" spans="1:9" ht="19.5" customHeight="1">
      <c r="A11" s="125">
        <v>5</v>
      </c>
      <c r="B11" s="1454" t="s">
        <v>146</v>
      </c>
      <c r="C11" s="1561"/>
      <c r="D11" s="1461"/>
      <c r="E11" s="928">
        <v>2</v>
      </c>
      <c r="F11" s="928">
        <v>2</v>
      </c>
      <c r="G11" s="928">
        <v>2</v>
      </c>
      <c r="H11" s="928">
        <v>2</v>
      </c>
      <c r="I11" s="928">
        <v>2</v>
      </c>
    </row>
    <row r="12" spans="1:9" ht="19.5" customHeight="1">
      <c r="A12" s="125">
        <v>6</v>
      </c>
      <c r="B12" s="1454" t="s">
        <v>1296</v>
      </c>
      <c r="C12" s="1561"/>
      <c r="D12" s="1461"/>
      <c r="E12" s="928">
        <v>1</v>
      </c>
      <c r="F12" s="928">
        <v>1</v>
      </c>
      <c r="G12" s="928">
        <v>1</v>
      </c>
      <c r="H12" s="928">
        <v>1</v>
      </c>
      <c r="I12" s="928">
        <v>1</v>
      </c>
    </row>
    <row r="13" spans="1:9" ht="26.25" customHeight="1">
      <c r="A13" s="1003">
        <v>7</v>
      </c>
      <c r="B13" s="1569" t="s">
        <v>545</v>
      </c>
      <c r="C13" s="1552"/>
      <c r="D13" s="1553"/>
      <c r="E13" s="928">
        <v>3</v>
      </c>
      <c r="F13" s="928">
        <v>3</v>
      </c>
      <c r="G13" s="928">
        <v>3</v>
      </c>
      <c r="H13" s="928">
        <v>3</v>
      </c>
      <c r="I13" s="928">
        <v>3</v>
      </c>
    </row>
    <row r="14" spans="1:9" ht="19.5" customHeight="1">
      <c r="A14" s="125">
        <v>8</v>
      </c>
      <c r="B14" s="1454" t="s">
        <v>1339</v>
      </c>
      <c r="C14" s="1561"/>
      <c r="D14" s="1461"/>
      <c r="E14" s="928">
        <v>39</v>
      </c>
      <c r="F14" s="928">
        <v>43</v>
      </c>
      <c r="G14" s="928">
        <v>36</v>
      </c>
      <c r="H14" s="928">
        <v>36</v>
      </c>
      <c r="I14" s="928">
        <v>36</v>
      </c>
    </row>
    <row r="15" spans="1:9" ht="19.5" customHeight="1">
      <c r="A15" s="125">
        <v>9</v>
      </c>
      <c r="B15" s="1454" t="s">
        <v>1340</v>
      </c>
      <c r="C15" s="1561"/>
      <c r="D15" s="1461"/>
      <c r="E15" s="928">
        <v>4427</v>
      </c>
      <c r="F15" s="928">
        <v>4691</v>
      </c>
      <c r="G15" s="928">
        <v>4715</v>
      </c>
      <c r="H15" s="928">
        <v>4845</v>
      </c>
      <c r="I15" s="928">
        <v>4828</v>
      </c>
    </row>
    <row r="16" spans="1:9" ht="19.5" customHeight="1">
      <c r="A16" s="125">
        <v>10</v>
      </c>
      <c r="B16" s="1454" t="s">
        <v>428</v>
      </c>
      <c r="C16" s="1561"/>
      <c r="D16" s="1461"/>
      <c r="E16" s="928" t="s">
        <v>57</v>
      </c>
      <c r="F16" s="928" t="s">
        <v>57</v>
      </c>
      <c r="G16" s="928" t="s">
        <v>57</v>
      </c>
      <c r="H16" s="928" t="s">
        <v>57</v>
      </c>
      <c r="I16" s="140" t="s">
        <v>57</v>
      </c>
    </row>
    <row r="17" spans="1:9" ht="42" customHeight="1">
      <c r="A17" s="1003">
        <v>11</v>
      </c>
      <c r="B17" s="1570" t="s">
        <v>537</v>
      </c>
      <c r="C17" s="1571"/>
      <c r="D17" s="1572"/>
      <c r="E17" s="928">
        <v>1</v>
      </c>
      <c r="F17" s="928">
        <v>1</v>
      </c>
      <c r="G17" s="928">
        <v>1</v>
      </c>
      <c r="H17" s="928">
        <v>1</v>
      </c>
      <c r="I17" s="928">
        <v>1</v>
      </c>
    </row>
    <row r="18" spans="1:9" ht="19.5" customHeight="1">
      <c r="A18" s="125">
        <v>12</v>
      </c>
      <c r="B18" s="1566" t="s">
        <v>996</v>
      </c>
      <c r="C18" s="1567"/>
      <c r="D18" s="1568"/>
      <c r="E18" s="806">
        <v>1</v>
      </c>
      <c r="F18" s="928">
        <v>1</v>
      </c>
      <c r="G18" s="928">
        <v>1</v>
      </c>
      <c r="H18" s="928">
        <v>1</v>
      </c>
      <c r="I18" s="928">
        <v>1</v>
      </c>
    </row>
    <row r="19" spans="1:9" ht="19.5" customHeight="1">
      <c r="A19" s="1004"/>
      <c r="B19" s="999" t="s">
        <v>1035</v>
      </c>
      <c r="C19" s="1000"/>
      <c r="D19" s="1037"/>
      <c r="E19" s="499">
        <f>SUM(E7:E18)</f>
        <v>5031</v>
      </c>
      <c r="F19" s="499">
        <f>SUM(F7:F18)</f>
        <v>5299</v>
      </c>
      <c r="G19" s="499">
        <f>SUM(G7:G18)</f>
        <v>5316</v>
      </c>
      <c r="H19" s="499">
        <f>SUM(H7:H18)</f>
        <v>5446</v>
      </c>
      <c r="I19" s="499">
        <f>SUM(I7:I18)</f>
        <v>5429</v>
      </c>
    </row>
    <row r="20" spans="1:9">
      <c r="A20" s="926"/>
      <c r="B20" s="926"/>
      <c r="C20" s="926"/>
      <c r="F20" s="549" t="s">
        <v>335</v>
      </c>
      <c r="G20" s="553" t="s">
        <v>1349</v>
      </c>
      <c r="H20" s="113"/>
      <c r="I20" s="112"/>
    </row>
    <row r="21" spans="1:9">
      <c r="A21" s="926"/>
      <c r="F21" s="553"/>
      <c r="G21" s="553" t="s">
        <v>538</v>
      </c>
      <c r="H21" s="112"/>
      <c r="I21" s="112"/>
    </row>
    <row r="22" spans="1:9">
      <c r="A22" s="926"/>
      <c r="F22" s="553"/>
      <c r="G22" s="553" t="s">
        <v>328</v>
      </c>
      <c r="H22" s="112"/>
      <c r="I22" s="112"/>
    </row>
    <row r="23" spans="1:9">
      <c r="A23" s="926"/>
      <c r="F23" s="553"/>
      <c r="G23" s="553" t="s">
        <v>329</v>
      </c>
      <c r="H23" s="112"/>
      <c r="I23" s="112"/>
    </row>
    <row r="24" spans="1:9">
      <c r="A24" s="926"/>
      <c r="B24" s="926"/>
      <c r="C24" s="926"/>
      <c r="F24" s="553"/>
      <c r="G24" s="553" t="s">
        <v>212</v>
      </c>
      <c r="H24" s="113"/>
      <c r="I24" s="112"/>
    </row>
    <row r="25" spans="1:9">
      <c r="A25" s="926"/>
      <c r="F25" s="553"/>
      <c r="G25" s="553" t="s">
        <v>1242</v>
      </c>
      <c r="H25" s="113"/>
      <c r="I25" s="112"/>
    </row>
    <row r="26" spans="1:9">
      <c r="A26" s="926"/>
      <c r="B26" s="926"/>
      <c r="C26" s="926"/>
      <c r="F26" s="553"/>
      <c r="G26" s="553" t="s">
        <v>1012</v>
      </c>
      <c r="H26" s="113"/>
      <c r="I26" s="112"/>
    </row>
    <row r="27" spans="1:9">
      <c r="A27" s="926"/>
      <c r="B27" s="926"/>
      <c r="C27" s="926"/>
      <c r="F27" s="553"/>
      <c r="G27" s="553" t="s">
        <v>1243</v>
      </c>
      <c r="H27" s="112"/>
      <c r="I27" s="112"/>
    </row>
    <row r="28" spans="1:9">
      <c r="A28" s="926"/>
      <c r="B28" s="926"/>
      <c r="C28" s="926"/>
      <c r="F28" s="553"/>
      <c r="G28" s="553" t="s">
        <v>1132</v>
      </c>
      <c r="H28" s="113"/>
      <c r="I28" s="112"/>
    </row>
    <row r="29" spans="1:9">
      <c r="A29" s="926"/>
      <c r="B29" s="926"/>
      <c r="C29" s="926"/>
      <c r="D29" s="37"/>
      <c r="E29" s="37"/>
      <c r="F29" s="37"/>
      <c r="G29" s="37"/>
      <c r="H29" s="37"/>
      <c r="I29" s="5"/>
    </row>
    <row r="30" spans="1:9">
      <c r="A30" s="926"/>
      <c r="B30" s="926"/>
      <c r="C30" s="926"/>
      <c r="D30" s="926"/>
      <c r="E30" s="37"/>
      <c r="F30" s="37"/>
      <c r="G30" s="37"/>
      <c r="H30" s="37"/>
      <c r="I30" s="37"/>
    </row>
    <row r="31" spans="1:9">
      <c r="A31" s="926"/>
      <c r="B31" s="926"/>
      <c r="C31" s="926"/>
      <c r="D31" s="926"/>
      <c r="E31" s="926"/>
      <c r="F31" s="926"/>
      <c r="G31" s="926"/>
      <c r="H31" s="926"/>
      <c r="I31" s="926"/>
    </row>
    <row r="32" spans="1:9">
      <c r="A32" s="926"/>
      <c r="B32" s="926"/>
      <c r="C32" s="926"/>
      <c r="D32" s="926"/>
      <c r="E32" s="926"/>
      <c r="F32" s="926"/>
      <c r="G32" s="926"/>
      <c r="H32" s="926"/>
      <c r="I32" s="926"/>
    </row>
    <row r="33" spans="1:9">
      <c r="A33" s="926"/>
      <c r="B33" s="926"/>
      <c r="C33" s="926"/>
      <c r="D33" s="926"/>
      <c r="E33" s="926"/>
      <c r="F33" s="926"/>
      <c r="G33" s="926"/>
      <c r="H33" s="926"/>
      <c r="I33" s="926"/>
    </row>
    <row r="34" spans="1:9">
      <c r="A34" s="926"/>
      <c r="B34" s="926"/>
      <c r="C34" s="926"/>
      <c r="D34" s="926"/>
      <c r="E34" s="926"/>
      <c r="F34" s="926"/>
      <c r="G34" s="926"/>
      <c r="H34" s="926"/>
      <c r="I34" s="926"/>
    </row>
    <row r="35" spans="1:9">
      <c r="A35" s="926"/>
      <c r="B35" s="926"/>
      <c r="C35" s="926"/>
      <c r="D35" s="926"/>
      <c r="E35" s="926"/>
      <c r="F35" s="926"/>
      <c r="G35" s="926"/>
      <c r="H35" s="926"/>
      <c r="I35" s="926"/>
    </row>
  </sheetData>
  <mergeCells count="18">
    <mergeCell ref="B14:D14"/>
    <mergeCell ref="B12:D12"/>
    <mergeCell ref="B18:D18"/>
    <mergeCell ref="B13:D13"/>
    <mergeCell ref="B17:D17"/>
    <mergeCell ref="B15:D15"/>
    <mergeCell ref="B16:D16"/>
    <mergeCell ref="A1:I1"/>
    <mergeCell ref="B9:D9"/>
    <mergeCell ref="B10:D10"/>
    <mergeCell ref="B11:D11"/>
    <mergeCell ref="B7:D7"/>
    <mergeCell ref="A2:I2"/>
    <mergeCell ref="E4:I4"/>
    <mergeCell ref="A4:D5"/>
    <mergeCell ref="B8:D8"/>
    <mergeCell ref="A6:D6"/>
    <mergeCell ref="A3:H3"/>
  </mergeCells>
  <phoneticPr fontId="0" type="noConversion"/>
  <printOptions horizontalCentered="1"/>
  <pageMargins left="0.1" right="0.1" top="0.78" bottom="0.1" header="0.63" footer="0.1"/>
  <pageSetup paperSize="9" orientation="landscape" blackAndWhite="1" r:id="rId1"/>
  <headerFooter alignWithMargins="0"/>
</worksheet>
</file>

<file path=xl/worksheets/sheet3.xml><?xml version="1.0" encoding="utf-8"?>
<worksheet xmlns="http://schemas.openxmlformats.org/spreadsheetml/2006/main" xmlns:r="http://schemas.openxmlformats.org/officeDocument/2006/relationships">
  <sheetPr codeName="Sheet9"/>
  <dimension ref="A3:J41"/>
  <sheetViews>
    <sheetView showGridLines="0" workbookViewId="0">
      <selection activeCell="A41" sqref="A41"/>
    </sheetView>
  </sheetViews>
  <sheetFormatPr defaultRowHeight="12.75"/>
  <sheetData>
    <row r="3" spans="1:10">
      <c r="J3" s="19"/>
    </row>
    <row r="4" spans="1:10">
      <c r="J4" s="19"/>
    </row>
    <row r="5" spans="1:10" ht="35.25">
      <c r="A5" s="1373" t="s">
        <v>1614</v>
      </c>
      <c r="B5" s="1373"/>
      <c r="C5" s="1373"/>
      <c r="D5" s="1373"/>
      <c r="E5" s="1373"/>
      <c r="F5" s="1373"/>
      <c r="G5" s="1373"/>
      <c r="H5" s="1373"/>
      <c r="I5" s="80"/>
      <c r="J5" s="19"/>
    </row>
    <row r="6" spans="1:10">
      <c r="J6" s="19"/>
    </row>
    <row r="7" spans="1:10">
      <c r="J7" s="19"/>
    </row>
    <row r="8" spans="1:10">
      <c r="J8" s="19"/>
    </row>
    <row r="9" spans="1:10" ht="18.75">
      <c r="A9" s="1376" t="s">
        <v>565</v>
      </c>
      <c r="B9" s="1377"/>
      <c r="C9" s="1377"/>
      <c r="D9" s="1377"/>
      <c r="E9" s="1377"/>
      <c r="F9" s="1377"/>
      <c r="G9" s="1377"/>
      <c r="H9" s="1377"/>
      <c r="I9" s="81"/>
      <c r="J9" s="19"/>
    </row>
    <row r="10" spans="1:10" ht="18.75">
      <c r="A10" s="1377"/>
      <c r="B10" s="1377"/>
      <c r="C10" s="1377"/>
      <c r="D10" s="1377"/>
      <c r="E10" s="1377"/>
      <c r="F10" s="1377"/>
      <c r="G10" s="1377"/>
      <c r="H10" s="1377"/>
      <c r="I10" s="81"/>
      <c r="J10" s="19"/>
    </row>
    <row r="11" spans="1:10" ht="18.75">
      <c r="A11" s="1377"/>
      <c r="B11" s="1377"/>
      <c r="C11" s="1377"/>
      <c r="D11" s="1377"/>
      <c r="E11" s="1377"/>
      <c r="F11" s="1377"/>
      <c r="G11" s="1377"/>
      <c r="H11" s="1377"/>
      <c r="I11" s="81"/>
    </row>
    <row r="12" spans="1:10" ht="18.75">
      <c r="A12" s="1377"/>
      <c r="B12" s="1377"/>
      <c r="C12" s="1377"/>
      <c r="D12" s="1377"/>
      <c r="E12" s="1377"/>
      <c r="F12" s="1377"/>
      <c r="G12" s="1377"/>
      <c r="H12" s="1377"/>
      <c r="I12" s="81"/>
    </row>
    <row r="13" spans="1:10" ht="18.75">
      <c r="A13" s="1377"/>
      <c r="B13" s="1377"/>
      <c r="C13" s="1377"/>
      <c r="D13" s="1377"/>
      <c r="E13" s="1377"/>
      <c r="F13" s="1377"/>
      <c r="G13" s="1377"/>
      <c r="H13" s="1377"/>
      <c r="I13" s="81"/>
    </row>
    <row r="14" spans="1:10">
      <c r="A14" s="1377"/>
      <c r="B14" s="1377"/>
      <c r="C14" s="1377"/>
      <c r="D14" s="1377"/>
      <c r="E14" s="1377"/>
      <c r="F14" s="1377"/>
      <c r="G14" s="1377"/>
      <c r="H14" s="1377"/>
      <c r="I14" s="82"/>
    </row>
    <row r="15" spans="1:10">
      <c r="A15" s="1377"/>
      <c r="B15" s="1377"/>
      <c r="C15" s="1377"/>
      <c r="D15" s="1377"/>
      <c r="E15" s="1377"/>
      <c r="F15" s="1377"/>
      <c r="G15" s="1377"/>
      <c r="H15" s="1377"/>
      <c r="I15" s="82"/>
    </row>
    <row r="16" spans="1:10">
      <c r="A16" s="1377"/>
      <c r="B16" s="1377"/>
      <c r="C16" s="1377"/>
      <c r="D16" s="1377"/>
      <c r="E16" s="1377"/>
      <c r="F16" s="1377"/>
      <c r="G16" s="1377"/>
      <c r="H16" s="1377"/>
    </row>
    <row r="17" spans="1:9">
      <c r="A17" s="1377"/>
      <c r="B17" s="1377"/>
      <c r="C17" s="1377"/>
      <c r="D17" s="1377"/>
      <c r="E17" s="1377"/>
      <c r="F17" s="1377"/>
      <c r="G17" s="1377"/>
      <c r="H17" s="1377"/>
    </row>
    <row r="18" spans="1:9" ht="14.1" customHeight="1">
      <c r="A18" s="1377"/>
      <c r="B18" s="1377"/>
      <c r="C18" s="1377"/>
      <c r="D18" s="1377"/>
      <c r="E18" s="1377"/>
      <c r="F18" s="1377"/>
      <c r="G18" s="1377"/>
      <c r="H18" s="1377"/>
      <c r="I18" s="81"/>
    </row>
    <row r="19" spans="1:9" ht="18.75">
      <c r="A19" s="1377"/>
      <c r="B19" s="1377"/>
      <c r="C19" s="1377"/>
      <c r="D19" s="1377"/>
      <c r="E19" s="1377"/>
      <c r="F19" s="1377"/>
      <c r="G19" s="1377"/>
      <c r="H19" s="1377"/>
      <c r="I19" s="81"/>
    </row>
    <row r="20" spans="1:9" ht="18.75">
      <c r="A20" s="1377"/>
      <c r="B20" s="1377"/>
      <c r="C20" s="1377"/>
      <c r="D20" s="1377"/>
      <c r="E20" s="1377"/>
      <c r="F20" s="1377"/>
      <c r="G20" s="1377"/>
      <c r="H20" s="1377"/>
      <c r="I20" s="81"/>
    </row>
    <row r="21" spans="1:9" ht="18.75">
      <c r="A21" s="1377"/>
      <c r="B21" s="1377"/>
      <c r="C21" s="1377"/>
      <c r="D21" s="1377"/>
      <c r="E21" s="1377"/>
      <c r="F21" s="1377"/>
      <c r="G21" s="1377"/>
      <c r="H21" s="1377"/>
      <c r="I21" s="81"/>
    </row>
    <row r="22" spans="1:9" ht="18.75">
      <c r="A22" s="1377"/>
      <c r="B22" s="1377"/>
      <c r="C22" s="1377"/>
      <c r="D22" s="1377"/>
      <c r="E22" s="1377"/>
      <c r="F22" s="1377"/>
      <c r="G22" s="1377"/>
      <c r="H22" s="1377"/>
      <c r="I22" s="81"/>
    </row>
    <row r="23" spans="1:9" ht="18.75">
      <c r="A23" s="1377"/>
      <c r="B23" s="1377"/>
      <c r="C23" s="1377"/>
      <c r="D23" s="1377"/>
      <c r="E23" s="1377"/>
      <c r="F23" s="1377"/>
      <c r="G23" s="1377"/>
      <c r="H23" s="1377"/>
      <c r="I23" s="81"/>
    </row>
    <row r="24" spans="1:9" ht="18.75">
      <c r="A24" s="1377"/>
      <c r="B24" s="1377"/>
      <c r="C24" s="1377"/>
      <c r="D24" s="1377"/>
      <c r="E24" s="1377"/>
      <c r="F24" s="1377"/>
      <c r="G24" s="1377"/>
      <c r="H24" s="1377"/>
      <c r="I24" s="83"/>
    </row>
    <row r="25" spans="1:9" ht="18.75">
      <c r="A25" s="1377"/>
      <c r="B25" s="1377"/>
      <c r="C25" s="1377"/>
      <c r="D25" s="1377"/>
      <c r="E25" s="1377"/>
      <c r="F25" s="1377"/>
      <c r="G25" s="1377"/>
      <c r="H25" s="1377"/>
      <c r="I25" s="83"/>
    </row>
    <row r="26" spans="1:9" ht="30" customHeight="1">
      <c r="A26" s="1377"/>
      <c r="B26" s="1377"/>
      <c r="C26" s="1377"/>
      <c r="D26" s="1377"/>
      <c r="E26" s="1377"/>
      <c r="F26" s="1377"/>
      <c r="G26" s="1377"/>
      <c r="H26" s="1377"/>
      <c r="I26" s="83"/>
    </row>
    <row r="27" spans="1:9" ht="18.75">
      <c r="A27" s="1377"/>
      <c r="B27" s="1377"/>
      <c r="C27" s="1377"/>
      <c r="D27" s="1377"/>
      <c r="E27" s="1377"/>
      <c r="F27" s="1377"/>
      <c r="G27" s="1377"/>
      <c r="H27" s="1377"/>
      <c r="I27" s="83"/>
    </row>
    <row r="28" spans="1:9">
      <c r="A28" s="1377"/>
      <c r="B28" s="1377"/>
      <c r="C28" s="1377"/>
      <c r="D28" s="1377"/>
      <c r="E28" s="1377"/>
      <c r="F28" s="1377"/>
      <c r="G28" s="1377"/>
      <c r="H28" s="1377"/>
    </row>
    <row r="29" spans="1:9">
      <c r="A29" s="1377"/>
      <c r="B29" s="1377"/>
      <c r="C29" s="1377"/>
      <c r="D29" s="1377"/>
      <c r="E29" s="1377"/>
      <c r="F29" s="1377"/>
      <c r="G29" s="1377"/>
      <c r="H29" s="1377"/>
    </row>
    <row r="30" spans="1:9">
      <c r="A30" s="1378"/>
      <c r="B30" s="1378"/>
      <c r="C30" s="1378"/>
      <c r="D30" s="1378"/>
      <c r="E30" s="1378"/>
      <c r="F30" s="1378"/>
      <c r="G30" s="1378"/>
      <c r="H30" s="1378"/>
    </row>
    <row r="31" spans="1:9">
      <c r="A31" s="1378"/>
      <c r="B31" s="1378"/>
      <c r="C31" s="1378"/>
      <c r="D31" s="1378"/>
      <c r="E31" s="1378"/>
      <c r="F31" s="1378"/>
      <c r="G31" s="1378"/>
      <c r="H31" s="1378"/>
    </row>
    <row r="32" spans="1:9">
      <c r="A32" s="1378"/>
      <c r="B32" s="1378"/>
      <c r="C32" s="1378"/>
      <c r="D32" s="1378"/>
      <c r="E32" s="1378"/>
      <c r="F32" s="1378"/>
      <c r="G32" s="1378"/>
      <c r="H32" s="1378"/>
    </row>
    <row r="33" spans="1:9">
      <c r="A33" s="1378"/>
      <c r="B33" s="1378"/>
      <c r="C33" s="1378"/>
      <c r="D33" s="1378"/>
      <c r="E33" s="1378"/>
      <c r="F33" s="1378"/>
      <c r="G33" s="1378"/>
      <c r="H33" s="1378"/>
    </row>
    <row r="36" spans="1:9">
      <c r="D36" s="1375"/>
      <c r="E36" s="1375"/>
      <c r="F36" s="1375"/>
      <c r="G36" s="1375"/>
      <c r="H36" s="1375"/>
      <c r="I36" s="85"/>
    </row>
    <row r="37" spans="1:9">
      <c r="D37" s="85"/>
      <c r="E37" s="85"/>
      <c r="F37" s="85"/>
      <c r="G37" s="85"/>
      <c r="H37" s="85"/>
      <c r="I37" s="85"/>
    </row>
    <row r="38" spans="1:9" ht="15.75">
      <c r="A38" s="674"/>
      <c r="B38" s="674"/>
      <c r="C38" s="674"/>
      <c r="D38" s="1374" t="s">
        <v>1649</v>
      </c>
      <c r="E38" s="1374"/>
      <c r="F38" s="1374"/>
      <c r="G38" s="1374"/>
      <c r="H38" s="1374"/>
      <c r="I38" s="84"/>
    </row>
    <row r="39" spans="1:9" ht="15.75">
      <c r="A39" s="1379" t="s">
        <v>1615</v>
      </c>
      <c r="B39" s="1379"/>
      <c r="C39" s="674"/>
      <c r="D39" s="1374" t="s">
        <v>683</v>
      </c>
      <c r="E39" s="1374"/>
      <c r="F39" s="1374"/>
      <c r="G39" s="1374"/>
      <c r="H39" s="1374"/>
      <c r="I39" s="84"/>
    </row>
    <row r="40" spans="1:9" ht="15.75">
      <c r="A40" s="1379" t="s">
        <v>1687</v>
      </c>
      <c r="B40" s="1379"/>
      <c r="C40" s="1379"/>
      <c r="D40" s="1374" t="s">
        <v>1616</v>
      </c>
      <c r="E40" s="1374"/>
      <c r="F40" s="1374"/>
      <c r="G40" s="1374"/>
      <c r="H40" s="1374"/>
      <c r="I40" s="84"/>
    </row>
    <row r="41" spans="1:9" ht="15.75">
      <c r="A41" s="674"/>
      <c r="B41" s="674"/>
      <c r="C41" s="674"/>
      <c r="D41" s="1374" t="s">
        <v>1617</v>
      </c>
      <c r="E41" s="1374"/>
      <c r="F41" s="1374"/>
      <c r="G41" s="1374"/>
      <c r="H41" s="1374"/>
      <c r="I41" s="84"/>
    </row>
  </sheetData>
  <mergeCells count="9">
    <mergeCell ref="A5:H5"/>
    <mergeCell ref="D38:H38"/>
    <mergeCell ref="D36:H36"/>
    <mergeCell ref="A9:H33"/>
    <mergeCell ref="D41:H41"/>
    <mergeCell ref="A39:B39"/>
    <mergeCell ref="D39:H39"/>
    <mergeCell ref="D40:H40"/>
    <mergeCell ref="A40:C40"/>
  </mergeCells>
  <phoneticPr fontId="0" type="noConversion"/>
  <printOptions horizontalCentered="1"/>
  <pageMargins left="0.1" right="0.1" top="1" bottom="1" header="0.5" footer="0.5"/>
  <pageSetup paperSize="9" orientation="portrait" blackAndWhite="1" horizontalDpi="4294967295" verticalDpi="300" r:id="rId1"/>
  <headerFooter alignWithMargins="0"/>
</worksheet>
</file>

<file path=xl/worksheets/sheet30.xml><?xml version="1.0" encoding="utf-8"?>
<worksheet xmlns="http://schemas.openxmlformats.org/spreadsheetml/2006/main" xmlns:r="http://schemas.openxmlformats.org/officeDocument/2006/relationships">
  <sheetPr codeName="Sheet29"/>
  <dimension ref="A1:AU45"/>
  <sheetViews>
    <sheetView workbookViewId="0">
      <selection activeCell="F14" sqref="F14"/>
    </sheetView>
  </sheetViews>
  <sheetFormatPr defaultRowHeight="12.75"/>
  <cols>
    <col min="1" max="1" width="1.7109375" style="723" customWidth="1"/>
    <col min="2" max="2" width="3.140625" style="723" customWidth="1"/>
    <col min="3" max="3" width="1.5703125" style="723" customWidth="1"/>
    <col min="4" max="4" width="47.7109375" style="723" customWidth="1"/>
    <col min="5" max="14" width="8.28515625" style="723" customWidth="1"/>
    <col min="15" max="16384" width="9.140625" style="723"/>
  </cols>
  <sheetData>
    <row r="1" spans="1:14" ht="13.5" customHeight="1">
      <c r="A1" s="1399" t="s">
        <v>651</v>
      </c>
      <c r="B1" s="1399"/>
      <c r="C1" s="1399"/>
      <c r="D1" s="1399"/>
      <c r="E1" s="1399"/>
      <c r="F1" s="1399"/>
      <c r="G1" s="1399"/>
      <c r="H1" s="1399"/>
      <c r="I1" s="1399"/>
      <c r="J1" s="1399"/>
      <c r="K1" s="1399"/>
      <c r="L1" s="1399"/>
      <c r="M1" s="1399"/>
      <c r="N1" s="1399"/>
    </row>
    <row r="2" spans="1:14" ht="18" customHeight="1">
      <c r="A2" s="1413" t="str">
        <f>CONCATENATE(" Students by sex in different type of General Educational Institutions in the district of ",District!A1)</f>
        <v xml:space="preserve"> Students by sex in different type of General Educational Institutions in the district of Purulia</v>
      </c>
      <c r="B2" s="1413"/>
      <c r="C2" s="1413"/>
      <c r="D2" s="1413"/>
      <c r="E2" s="1413"/>
      <c r="F2" s="1413"/>
      <c r="G2" s="1413"/>
      <c r="H2" s="1413"/>
      <c r="I2" s="1413"/>
      <c r="J2" s="1413"/>
      <c r="K2" s="1413"/>
      <c r="L2" s="1413"/>
      <c r="M2" s="1413"/>
      <c r="N2" s="1413"/>
    </row>
    <row r="3" spans="1:14">
      <c r="A3" s="1565"/>
      <c r="B3" s="1565"/>
      <c r="C3" s="1565"/>
      <c r="D3" s="1565"/>
      <c r="E3" s="1565"/>
      <c r="F3" s="1565"/>
      <c r="G3" s="1565"/>
      <c r="H3" s="1565"/>
      <c r="I3" s="1565"/>
      <c r="J3" s="1565"/>
      <c r="K3" s="1565"/>
      <c r="L3" s="1565"/>
      <c r="M3" s="1565"/>
      <c r="N3" s="738" t="s">
        <v>1058</v>
      </c>
    </row>
    <row r="4" spans="1:14">
      <c r="A4" s="1403" t="s">
        <v>800</v>
      </c>
      <c r="B4" s="1513"/>
      <c r="C4" s="1513"/>
      <c r="D4" s="1404"/>
      <c r="E4" s="1407" t="s">
        <v>951</v>
      </c>
      <c r="F4" s="1400"/>
      <c r="G4" s="1400"/>
      <c r="H4" s="1400"/>
      <c r="I4" s="1400"/>
      <c r="J4" s="1400"/>
      <c r="K4" s="1400"/>
      <c r="L4" s="1400"/>
      <c r="M4" s="1400"/>
      <c r="N4" s="1401"/>
    </row>
    <row r="5" spans="1:14" ht="12.75" customHeight="1">
      <c r="A5" s="1390"/>
      <c r="B5" s="1487"/>
      <c r="C5" s="1487"/>
      <c r="D5" s="1391"/>
      <c r="E5" s="1407" t="s">
        <v>1526</v>
      </c>
      <c r="F5" s="1401"/>
      <c r="G5" s="1407" t="s">
        <v>1525</v>
      </c>
      <c r="H5" s="1401"/>
      <c r="I5" s="1407" t="s">
        <v>1051</v>
      </c>
      <c r="J5" s="1401"/>
      <c r="K5" s="1407" t="s">
        <v>1250</v>
      </c>
      <c r="L5" s="1573"/>
      <c r="M5" s="1407" t="s">
        <v>527</v>
      </c>
      <c r="N5" s="1573"/>
    </row>
    <row r="6" spans="1:14">
      <c r="A6" s="1405"/>
      <c r="B6" s="1486"/>
      <c r="C6" s="1486"/>
      <c r="D6" s="1406"/>
      <c r="E6" s="750" t="s">
        <v>1070</v>
      </c>
      <c r="F6" s="1005" t="s">
        <v>1071</v>
      </c>
      <c r="G6" s="751" t="s">
        <v>1070</v>
      </c>
      <c r="H6" s="1005" t="s">
        <v>1071</v>
      </c>
      <c r="I6" s="750" t="s">
        <v>1070</v>
      </c>
      <c r="J6" s="1005" t="s">
        <v>1071</v>
      </c>
      <c r="K6" s="751" t="s">
        <v>1070</v>
      </c>
      <c r="L6" s="1005" t="s">
        <v>1071</v>
      </c>
      <c r="M6" s="750" t="s">
        <v>1070</v>
      </c>
      <c r="N6" s="1005" t="s">
        <v>1071</v>
      </c>
    </row>
    <row r="7" spans="1:14">
      <c r="A7" s="1574" t="s">
        <v>1008</v>
      </c>
      <c r="B7" s="1575"/>
      <c r="C7" s="1575"/>
      <c r="D7" s="1575"/>
      <c r="E7" s="1006" t="s">
        <v>1009</v>
      </c>
      <c r="F7" s="1008" t="s">
        <v>1010</v>
      </c>
      <c r="G7" s="1007" t="s">
        <v>1011</v>
      </c>
      <c r="H7" s="1008" t="s">
        <v>1015</v>
      </c>
      <c r="I7" s="1009" t="s">
        <v>1016</v>
      </c>
      <c r="J7" s="1008" t="s">
        <v>1017</v>
      </c>
      <c r="K7" s="1007" t="s">
        <v>1039</v>
      </c>
      <c r="L7" s="1008" t="s">
        <v>1040</v>
      </c>
      <c r="M7" s="1006" t="s">
        <v>1041</v>
      </c>
      <c r="N7" s="1008" t="s">
        <v>1042</v>
      </c>
    </row>
    <row r="8" spans="1:14" ht="15.75" customHeight="1">
      <c r="A8" s="1010">
        <v>1</v>
      </c>
      <c r="B8" s="1578" t="s">
        <v>567</v>
      </c>
      <c r="C8" s="1578"/>
      <c r="D8" s="1579"/>
      <c r="E8" s="164">
        <f t="shared" ref="E8:J8" si="0">E9+E14+E19+E24</f>
        <v>297010</v>
      </c>
      <c r="F8" s="164">
        <f t="shared" si="0"/>
        <v>263501</v>
      </c>
      <c r="G8" s="164">
        <f t="shared" si="0"/>
        <v>306492</v>
      </c>
      <c r="H8" s="164">
        <f t="shared" si="0"/>
        <v>274958</v>
      </c>
      <c r="I8" s="164">
        <f t="shared" si="0"/>
        <v>317198</v>
      </c>
      <c r="J8" s="164">
        <f t="shared" si="0"/>
        <v>284456</v>
      </c>
      <c r="K8" s="164">
        <f>K9+K14+K19+K24</f>
        <v>315351</v>
      </c>
      <c r="L8" s="164">
        <f>L9+L14+L19+L24</f>
        <v>283826</v>
      </c>
      <c r="M8" s="164">
        <f>M9+M14+M19+M24</f>
        <v>323771</v>
      </c>
      <c r="N8" s="164">
        <f>N9+N14+N19+N24</f>
        <v>289166</v>
      </c>
    </row>
    <row r="9" spans="1:14" ht="26.25" customHeight="1">
      <c r="A9" s="1011"/>
      <c r="B9" s="986" t="s">
        <v>1188</v>
      </c>
      <c r="C9" s="1580" t="s">
        <v>468</v>
      </c>
      <c r="D9" s="1581"/>
      <c r="E9" s="164">
        <f t="shared" ref="E9:J9" si="1">SUM(E10:E13)</f>
        <v>141201</v>
      </c>
      <c r="F9" s="164">
        <f t="shared" si="1"/>
        <v>141081</v>
      </c>
      <c r="G9" s="164">
        <f t="shared" si="1"/>
        <v>151094</v>
      </c>
      <c r="H9" s="164">
        <f t="shared" si="1"/>
        <v>149977</v>
      </c>
      <c r="I9" s="164">
        <f t="shared" si="1"/>
        <v>152333</v>
      </c>
      <c r="J9" s="164">
        <f t="shared" si="1"/>
        <v>143677</v>
      </c>
      <c r="K9" s="164">
        <f>SUM(K10:K13)</f>
        <v>143087</v>
      </c>
      <c r="L9" s="164">
        <f>SUM(L10:L13)</f>
        <v>125713</v>
      </c>
      <c r="M9" s="164">
        <f>SUM(M10:M13)</f>
        <v>145549</v>
      </c>
      <c r="N9" s="164">
        <f>SUM(N10:N13)</f>
        <v>125363</v>
      </c>
    </row>
    <row r="10" spans="1:14">
      <c r="A10" s="1011"/>
      <c r="B10" s="28"/>
      <c r="C10" s="736"/>
      <c r="D10" s="1012" t="s">
        <v>1185</v>
      </c>
      <c r="E10" s="219">
        <v>138934</v>
      </c>
      <c r="F10" s="219">
        <v>139247</v>
      </c>
      <c r="G10" s="219">
        <v>148418</v>
      </c>
      <c r="H10" s="219">
        <v>147894</v>
      </c>
      <c r="I10" s="219">
        <v>149964</v>
      </c>
      <c r="J10" s="219">
        <v>141655</v>
      </c>
      <c r="K10" s="219">
        <v>140391</v>
      </c>
      <c r="L10" s="219">
        <v>123394</v>
      </c>
      <c r="M10" s="219">
        <v>142410</v>
      </c>
      <c r="N10" s="219">
        <v>123255</v>
      </c>
    </row>
    <row r="11" spans="1:14">
      <c r="A11" s="1011"/>
      <c r="B11" s="28"/>
      <c r="C11" s="736"/>
      <c r="D11" s="1012" t="s">
        <v>1309</v>
      </c>
      <c r="E11" s="219">
        <v>362</v>
      </c>
      <c r="F11" s="219">
        <v>299</v>
      </c>
      <c r="G11" s="219">
        <v>340</v>
      </c>
      <c r="H11" s="219">
        <v>246</v>
      </c>
      <c r="I11" s="219">
        <v>381</v>
      </c>
      <c r="J11" s="219">
        <v>346</v>
      </c>
      <c r="K11" s="219">
        <v>312</v>
      </c>
      <c r="L11" s="219">
        <v>340</v>
      </c>
      <c r="M11" s="219">
        <v>343</v>
      </c>
      <c r="N11" s="219">
        <v>316</v>
      </c>
    </row>
    <row r="12" spans="1:14">
      <c r="A12" s="1011"/>
      <c r="B12" s="28"/>
      <c r="C12" s="736"/>
      <c r="D12" s="1012" t="s">
        <v>1227</v>
      </c>
      <c r="E12" s="219">
        <v>1324</v>
      </c>
      <c r="F12" s="219">
        <v>836</v>
      </c>
      <c r="G12" s="219">
        <v>1768</v>
      </c>
      <c r="H12" s="219">
        <v>1137</v>
      </c>
      <c r="I12" s="219">
        <v>1383</v>
      </c>
      <c r="J12" s="219">
        <v>957</v>
      </c>
      <c r="K12" s="219">
        <v>1225</v>
      </c>
      <c r="L12" s="219">
        <v>1339</v>
      </c>
      <c r="M12" s="219">
        <v>1676</v>
      </c>
      <c r="N12" s="219">
        <v>1145</v>
      </c>
    </row>
    <row r="13" spans="1:14">
      <c r="A13" s="1011"/>
      <c r="B13" s="28"/>
      <c r="C13" s="736"/>
      <c r="D13" s="1012" t="s">
        <v>1310</v>
      </c>
      <c r="E13" s="219">
        <v>581</v>
      </c>
      <c r="F13" s="219">
        <v>699</v>
      </c>
      <c r="G13" s="219">
        <v>568</v>
      </c>
      <c r="H13" s="219">
        <v>700</v>
      </c>
      <c r="I13" s="219">
        <v>605</v>
      </c>
      <c r="J13" s="219">
        <v>719</v>
      </c>
      <c r="K13" s="219">
        <v>1159</v>
      </c>
      <c r="L13" s="219">
        <v>640</v>
      </c>
      <c r="M13" s="219">
        <v>1120</v>
      </c>
      <c r="N13" s="219">
        <v>647</v>
      </c>
    </row>
    <row r="14" spans="1:14" ht="27" customHeight="1">
      <c r="A14" s="1011"/>
      <c r="B14" s="986" t="s">
        <v>1186</v>
      </c>
      <c r="C14" s="1580" t="s">
        <v>472</v>
      </c>
      <c r="D14" s="1581"/>
      <c r="E14" s="164">
        <f t="shared" ref="E14:J14" si="2">SUM(E15:E18)</f>
        <v>3981</v>
      </c>
      <c r="F14" s="164">
        <f t="shared" si="2"/>
        <v>4633</v>
      </c>
      <c r="G14" s="164">
        <f t="shared" si="2"/>
        <v>5207</v>
      </c>
      <c r="H14" s="164">
        <f t="shared" si="2"/>
        <v>6014</v>
      </c>
      <c r="I14" s="164">
        <f t="shared" si="2"/>
        <v>8755</v>
      </c>
      <c r="J14" s="164">
        <f t="shared" si="2"/>
        <v>8852</v>
      </c>
      <c r="K14" s="164">
        <f>SUM(K15:K18)</f>
        <v>9278</v>
      </c>
      <c r="L14" s="164">
        <f>SUM(L15:L18)</f>
        <v>10671</v>
      </c>
      <c r="M14" s="164">
        <f>SUM(M15:M18)</f>
        <v>11007</v>
      </c>
      <c r="N14" s="164">
        <f>SUM(N15:N18)</f>
        <v>12804</v>
      </c>
    </row>
    <row r="15" spans="1:14">
      <c r="A15" s="1011"/>
      <c r="B15" s="28"/>
      <c r="C15" s="736"/>
      <c r="D15" s="1012" t="s">
        <v>142</v>
      </c>
      <c r="E15" s="219">
        <v>3777</v>
      </c>
      <c r="F15" s="219">
        <v>4571</v>
      </c>
      <c r="G15" s="219">
        <v>5068</v>
      </c>
      <c r="H15" s="219">
        <v>5981</v>
      </c>
      <c r="I15" s="219">
        <v>8370</v>
      </c>
      <c r="J15" s="219">
        <v>8577</v>
      </c>
      <c r="K15" s="219">
        <v>8881</v>
      </c>
      <c r="L15" s="219">
        <v>10398</v>
      </c>
      <c r="M15" s="219">
        <v>10923</v>
      </c>
      <c r="N15" s="219">
        <v>12769</v>
      </c>
    </row>
    <row r="16" spans="1:14">
      <c r="A16" s="1011"/>
      <c r="B16" s="28"/>
      <c r="C16" s="736"/>
      <c r="D16" s="1012" t="s">
        <v>1610</v>
      </c>
      <c r="E16" s="219" t="s">
        <v>57</v>
      </c>
      <c r="F16" s="219" t="s">
        <v>57</v>
      </c>
      <c r="G16" s="219" t="s">
        <v>57</v>
      </c>
      <c r="H16" s="219" t="s">
        <v>57</v>
      </c>
      <c r="I16" s="219">
        <v>98</v>
      </c>
      <c r="J16" s="219">
        <v>155</v>
      </c>
      <c r="K16" s="219">
        <v>106</v>
      </c>
      <c r="L16" s="219">
        <v>143</v>
      </c>
      <c r="M16" s="219">
        <v>84</v>
      </c>
      <c r="N16" s="219">
        <v>35</v>
      </c>
    </row>
    <row r="17" spans="1:47">
      <c r="A17" s="1011"/>
      <c r="B17" s="28"/>
      <c r="C17" s="736"/>
      <c r="D17" s="1012" t="s">
        <v>1227</v>
      </c>
      <c r="E17" s="219">
        <v>204</v>
      </c>
      <c r="F17" s="219">
        <v>62</v>
      </c>
      <c r="G17" s="219">
        <v>139</v>
      </c>
      <c r="H17" s="219">
        <v>33</v>
      </c>
      <c r="I17" s="219">
        <v>287</v>
      </c>
      <c r="J17" s="219">
        <v>120</v>
      </c>
      <c r="K17" s="219">
        <v>291</v>
      </c>
      <c r="L17" s="219">
        <v>130</v>
      </c>
      <c r="M17" s="219" t="s">
        <v>57</v>
      </c>
      <c r="N17" s="219" t="s">
        <v>57</v>
      </c>
    </row>
    <row r="18" spans="1:47">
      <c r="A18" s="1011"/>
      <c r="B18" s="28"/>
      <c r="C18" s="736"/>
      <c r="D18" s="1012" t="s">
        <v>1310</v>
      </c>
      <c r="E18" s="219" t="s">
        <v>57</v>
      </c>
      <c r="F18" s="219" t="s">
        <v>57</v>
      </c>
      <c r="G18" s="219" t="s">
        <v>57</v>
      </c>
      <c r="H18" s="219" t="s">
        <v>57</v>
      </c>
      <c r="I18" s="219" t="s">
        <v>57</v>
      </c>
      <c r="J18" s="219" t="s">
        <v>57</v>
      </c>
      <c r="K18" s="219" t="s">
        <v>57</v>
      </c>
      <c r="L18" s="219" t="s">
        <v>57</v>
      </c>
      <c r="M18" s="219" t="s">
        <v>57</v>
      </c>
      <c r="N18" s="219" t="s">
        <v>57</v>
      </c>
    </row>
    <row r="19" spans="1:47" ht="27.75" customHeight="1">
      <c r="A19" s="1011"/>
      <c r="B19" s="986" t="s">
        <v>1187</v>
      </c>
      <c r="C19" s="1580" t="s">
        <v>470</v>
      </c>
      <c r="D19" s="1581"/>
      <c r="E19" s="164">
        <f t="shared" ref="E19:J19" si="3">SUM(E20:E23)</f>
        <v>52919</v>
      </c>
      <c r="F19" s="164">
        <f t="shared" si="3"/>
        <v>49578</v>
      </c>
      <c r="G19" s="164">
        <f t="shared" si="3"/>
        <v>42011</v>
      </c>
      <c r="H19" s="164">
        <f t="shared" si="3"/>
        <v>41463</v>
      </c>
      <c r="I19" s="164">
        <f t="shared" si="3"/>
        <v>48769</v>
      </c>
      <c r="J19" s="164">
        <f t="shared" si="3"/>
        <v>46116</v>
      </c>
      <c r="K19" s="164">
        <f>SUM(K20:K23)</f>
        <v>16292</v>
      </c>
      <c r="L19" s="164">
        <f>SUM(L20:L23)</f>
        <v>21115</v>
      </c>
      <c r="M19" s="164">
        <f>SUM(M20:M23)</f>
        <v>16098</v>
      </c>
      <c r="N19" s="164">
        <f>SUM(N20:N23)</f>
        <v>20332</v>
      </c>
    </row>
    <row r="20" spans="1:47">
      <c r="A20" s="1011"/>
      <c r="B20" s="28"/>
      <c r="C20" s="736"/>
      <c r="D20" s="1012" t="s">
        <v>142</v>
      </c>
      <c r="E20" s="219">
        <v>52043</v>
      </c>
      <c r="F20" s="219">
        <v>48791</v>
      </c>
      <c r="G20" s="219">
        <v>41266</v>
      </c>
      <c r="H20" s="219">
        <v>40790</v>
      </c>
      <c r="I20" s="219">
        <v>47955</v>
      </c>
      <c r="J20" s="219">
        <v>45409</v>
      </c>
      <c r="K20" s="219">
        <v>15849</v>
      </c>
      <c r="L20" s="219">
        <v>20738</v>
      </c>
      <c r="M20" s="219">
        <v>15266</v>
      </c>
      <c r="N20" s="219">
        <v>19702</v>
      </c>
    </row>
    <row r="21" spans="1:47">
      <c r="A21" s="1011"/>
      <c r="B21" s="28"/>
      <c r="C21" s="736"/>
      <c r="D21" s="1012" t="s">
        <v>1611</v>
      </c>
      <c r="E21" s="219">
        <v>634</v>
      </c>
      <c r="F21" s="219">
        <v>663</v>
      </c>
      <c r="G21" s="219">
        <v>483</v>
      </c>
      <c r="H21" s="219">
        <v>526</v>
      </c>
      <c r="I21" s="219">
        <v>478</v>
      </c>
      <c r="J21" s="219">
        <v>564</v>
      </c>
      <c r="K21" s="219">
        <v>173</v>
      </c>
      <c r="L21" s="219">
        <v>234</v>
      </c>
      <c r="M21" s="219">
        <v>201</v>
      </c>
      <c r="N21" s="219">
        <v>307</v>
      </c>
    </row>
    <row r="22" spans="1:47">
      <c r="A22" s="1011"/>
      <c r="B22" s="28"/>
      <c r="C22" s="736"/>
      <c r="D22" s="1012" t="s">
        <v>1227</v>
      </c>
      <c r="E22" s="219">
        <v>242</v>
      </c>
      <c r="F22" s="219">
        <v>124</v>
      </c>
      <c r="G22" s="219">
        <v>262</v>
      </c>
      <c r="H22" s="219">
        <v>147</v>
      </c>
      <c r="I22" s="219">
        <v>336</v>
      </c>
      <c r="J22" s="219">
        <v>143</v>
      </c>
      <c r="K22" s="219">
        <v>270</v>
      </c>
      <c r="L22" s="219">
        <v>143</v>
      </c>
      <c r="M22" s="219">
        <v>631</v>
      </c>
      <c r="N22" s="219">
        <v>323</v>
      </c>
    </row>
    <row r="23" spans="1:47">
      <c r="A23" s="1011"/>
      <c r="B23" s="28"/>
      <c r="C23" s="736"/>
      <c r="D23" s="1012" t="s">
        <v>1310</v>
      </c>
      <c r="E23" s="219" t="s">
        <v>57</v>
      </c>
      <c r="F23" s="219" t="s">
        <v>57</v>
      </c>
      <c r="G23" s="219" t="s">
        <v>57</v>
      </c>
      <c r="H23" s="219" t="s">
        <v>57</v>
      </c>
      <c r="I23" s="219" t="s">
        <v>57</v>
      </c>
      <c r="J23" s="219" t="s">
        <v>57</v>
      </c>
      <c r="K23" s="219" t="s">
        <v>57</v>
      </c>
      <c r="L23" s="219" t="s">
        <v>57</v>
      </c>
      <c r="M23" s="219" t="s">
        <v>57</v>
      </c>
      <c r="N23" s="219" t="s">
        <v>57</v>
      </c>
    </row>
    <row r="24" spans="1:47" ht="26.25" customHeight="1">
      <c r="A24" s="1011"/>
      <c r="B24" s="986" t="s">
        <v>1189</v>
      </c>
      <c r="C24" s="1580" t="s">
        <v>471</v>
      </c>
      <c r="D24" s="1581"/>
      <c r="E24" s="164">
        <f t="shared" ref="E24:J24" si="4">SUM(E25:E29)</f>
        <v>98909</v>
      </c>
      <c r="F24" s="164">
        <f t="shared" si="4"/>
        <v>68209</v>
      </c>
      <c r="G24" s="164">
        <f t="shared" si="4"/>
        <v>108180</v>
      </c>
      <c r="H24" s="164">
        <f t="shared" si="4"/>
        <v>77504</v>
      </c>
      <c r="I24" s="164">
        <f t="shared" si="4"/>
        <v>107341</v>
      </c>
      <c r="J24" s="164">
        <f t="shared" si="4"/>
        <v>85811</v>
      </c>
      <c r="K24" s="164">
        <f>SUM(K25:K29)</f>
        <v>146694</v>
      </c>
      <c r="L24" s="164">
        <f>SUM(L25:L29)</f>
        <v>126327</v>
      </c>
      <c r="M24" s="164">
        <f>SUM(M25:M29)</f>
        <v>151117</v>
      </c>
      <c r="N24" s="164">
        <f>SUM(N25:N29)</f>
        <v>130667</v>
      </c>
    </row>
    <row r="25" spans="1:47">
      <c r="A25" s="1011"/>
      <c r="B25" s="736"/>
      <c r="C25" s="736"/>
      <c r="D25" s="1012" t="s">
        <v>143</v>
      </c>
      <c r="E25" s="219">
        <v>94671</v>
      </c>
      <c r="F25" s="219">
        <v>65010</v>
      </c>
      <c r="G25" s="219">
        <v>103473</v>
      </c>
      <c r="H25" s="219">
        <v>74193</v>
      </c>
      <c r="I25" s="219">
        <v>101957</v>
      </c>
      <c r="J25" s="219">
        <v>82197</v>
      </c>
      <c r="K25" s="219">
        <v>140968</v>
      </c>
      <c r="L25" s="219">
        <v>121609</v>
      </c>
      <c r="M25" s="219">
        <v>144723</v>
      </c>
      <c r="N25" s="219">
        <v>126358</v>
      </c>
    </row>
    <row r="26" spans="1:47">
      <c r="A26" s="1011"/>
      <c r="B26" s="736"/>
      <c r="C26" s="736"/>
      <c r="D26" s="1012" t="s">
        <v>144</v>
      </c>
      <c r="E26" s="219">
        <v>52</v>
      </c>
      <c r="F26" s="219">
        <v>27</v>
      </c>
      <c r="G26" s="219">
        <v>137</v>
      </c>
      <c r="H26" s="219" t="s">
        <v>57</v>
      </c>
      <c r="I26" s="219">
        <v>152</v>
      </c>
      <c r="J26" s="219" t="s">
        <v>57</v>
      </c>
      <c r="K26" s="219">
        <v>155</v>
      </c>
      <c r="L26" s="219" t="s">
        <v>57</v>
      </c>
      <c r="M26" s="219">
        <v>152</v>
      </c>
      <c r="N26" s="219" t="s">
        <v>57</v>
      </c>
    </row>
    <row r="27" spans="1:47">
      <c r="A27" s="1011"/>
      <c r="B27" s="736"/>
      <c r="C27" s="736"/>
      <c r="D27" s="1012" t="s">
        <v>1227</v>
      </c>
      <c r="E27" s="219">
        <v>2215</v>
      </c>
      <c r="F27" s="219">
        <v>995</v>
      </c>
      <c r="G27" s="219">
        <v>2238</v>
      </c>
      <c r="H27" s="219">
        <v>1038</v>
      </c>
      <c r="I27" s="219">
        <v>2372</v>
      </c>
      <c r="J27" s="219">
        <v>1111</v>
      </c>
      <c r="K27" s="219">
        <v>2661</v>
      </c>
      <c r="L27" s="219">
        <v>2030</v>
      </c>
      <c r="M27" s="219">
        <v>2635</v>
      </c>
      <c r="N27" s="219">
        <v>1152</v>
      </c>
    </row>
    <row r="28" spans="1:47">
      <c r="A28" s="1011"/>
      <c r="B28" s="736"/>
      <c r="C28" s="736"/>
      <c r="D28" s="1012" t="s">
        <v>1310</v>
      </c>
      <c r="E28" s="219">
        <v>1351</v>
      </c>
      <c r="F28" s="219">
        <v>1447</v>
      </c>
      <c r="G28" s="219">
        <v>1358</v>
      </c>
      <c r="H28" s="219">
        <v>1345</v>
      </c>
      <c r="I28" s="219">
        <v>1290</v>
      </c>
      <c r="J28" s="219">
        <v>1350</v>
      </c>
      <c r="K28" s="219">
        <v>1265</v>
      </c>
      <c r="L28" s="219">
        <v>1155</v>
      </c>
      <c r="M28" s="219">
        <v>1266</v>
      </c>
      <c r="N28" s="219">
        <v>1297</v>
      </c>
    </row>
    <row r="29" spans="1:47">
      <c r="A29" s="1011"/>
      <c r="B29" s="736"/>
      <c r="C29" s="736"/>
      <c r="D29" s="1012" t="s">
        <v>1260</v>
      </c>
      <c r="E29" s="219">
        <v>620</v>
      </c>
      <c r="F29" s="219">
        <v>730</v>
      </c>
      <c r="G29" s="219">
        <v>974</v>
      </c>
      <c r="H29" s="219">
        <v>928</v>
      </c>
      <c r="I29" s="219">
        <v>1570</v>
      </c>
      <c r="J29" s="219">
        <v>1153</v>
      </c>
      <c r="K29" s="219">
        <v>1645</v>
      </c>
      <c r="L29" s="219">
        <v>1533</v>
      </c>
      <c r="M29" s="219">
        <v>2341</v>
      </c>
      <c r="N29" s="219">
        <v>1860</v>
      </c>
    </row>
    <row r="30" spans="1:47">
      <c r="A30" s="1013">
        <v>2</v>
      </c>
      <c r="B30" s="1014" t="s">
        <v>568</v>
      </c>
      <c r="C30" s="1014"/>
      <c r="D30" s="1015"/>
      <c r="E30" s="1016">
        <v>12025</v>
      </c>
      <c r="F30" s="1016">
        <v>5771</v>
      </c>
      <c r="G30" s="1016">
        <v>12960</v>
      </c>
      <c r="H30" s="1016">
        <v>6447</v>
      </c>
      <c r="I30" s="1016">
        <v>13410</v>
      </c>
      <c r="J30" s="1016">
        <v>7240</v>
      </c>
      <c r="K30" s="1016">
        <v>16005</v>
      </c>
      <c r="L30" s="1016">
        <v>9351</v>
      </c>
      <c r="M30" s="1016">
        <v>16559</v>
      </c>
      <c r="N30" s="1016">
        <v>10202</v>
      </c>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row>
    <row r="31" spans="1:47" ht="25.5" customHeight="1">
      <c r="A31" s="982">
        <v>3</v>
      </c>
      <c r="B31" s="1580" t="s">
        <v>1224</v>
      </c>
      <c r="C31" s="1571"/>
      <c r="D31" s="1572"/>
      <c r="E31" s="164" t="s">
        <v>57</v>
      </c>
      <c r="F31" s="164" t="s">
        <v>57</v>
      </c>
      <c r="G31" s="164" t="s">
        <v>57</v>
      </c>
      <c r="H31" s="164" t="s">
        <v>57</v>
      </c>
      <c r="I31" s="164">
        <v>281</v>
      </c>
      <c r="J31" s="164">
        <v>175</v>
      </c>
      <c r="K31" s="164">
        <v>499</v>
      </c>
      <c r="L31" s="164">
        <v>396</v>
      </c>
      <c r="M31" s="164">
        <v>917</v>
      </c>
      <c r="N31" s="164">
        <v>565</v>
      </c>
    </row>
    <row r="32" spans="1:47">
      <c r="A32" s="1017">
        <v>4</v>
      </c>
      <c r="B32" s="1576" t="s">
        <v>145</v>
      </c>
      <c r="C32" s="1576"/>
      <c r="D32" s="1577"/>
      <c r="E32" s="1018">
        <v>799</v>
      </c>
      <c r="F32" s="1018">
        <v>339</v>
      </c>
      <c r="G32" s="1018">
        <v>1587</v>
      </c>
      <c r="H32" s="1018">
        <v>740</v>
      </c>
      <c r="I32" s="1018">
        <v>449</v>
      </c>
      <c r="J32" s="1018">
        <v>58</v>
      </c>
      <c r="K32" s="1018">
        <v>482</v>
      </c>
      <c r="L32" s="1018">
        <v>219</v>
      </c>
      <c r="M32" s="1018">
        <v>581</v>
      </c>
      <c r="N32" s="1018">
        <v>374</v>
      </c>
    </row>
    <row r="33" spans="1:14">
      <c r="A33" s="926"/>
      <c r="B33" s="926"/>
      <c r="C33" s="926"/>
      <c r="D33" s="926"/>
      <c r="E33" s="926"/>
      <c r="F33" s="926"/>
      <c r="G33" s="553" t="s">
        <v>1169</v>
      </c>
      <c r="H33" s="553" t="s">
        <v>1222</v>
      </c>
      <c r="I33" s="553"/>
      <c r="J33" s="113"/>
      <c r="K33" s="113"/>
      <c r="L33" s="113"/>
      <c r="M33" s="113"/>
      <c r="N33" s="113"/>
    </row>
    <row r="34" spans="1:14">
      <c r="A34" s="926"/>
      <c r="B34" s="926"/>
      <c r="C34" s="926"/>
      <c r="D34" s="926"/>
      <c r="E34" s="926"/>
      <c r="F34" s="926"/>
      <c r="G34" s="553"/>
      <c r="H34" s="553" t="s">
        <v>1223</v>
      </c>
      <c r="I34" s="553"/>
      <c r="J34" s="113"/>
      <c r="K34" s="113"/>
      <c r="L34" s="113"/>
      <c r="M34" s="113"/>
      <c r="N34" s="113"/>
    </row>
    <row r="35" spans="1:14">
      <c r="A35" s="926"/>
      <c r="B35" s="926"/>
      <c r="C35" s="926"/>
      <c r="D35" s="926"/>
      <c r="E35" s="926"/>
      <c r="F35" s="926"/>
      <c r="G35" s="553"/>
      <c r="H35" s="1019" t="s">
        <v>101</v>
      </c>
      <c r="I35" s="1019"/>
      <c r="J35" s="1020"/>
      <c r="K35" s="1020"/>
      <c r="L35" s="1020"/>
      <c r="M35" s="1020"/>
      <c r="N35" s="1020"/>
    </row>
    <row r="36" spans="1:14">
      <c r="A36" s="926"/>
      <c r="B36" s="926"/>
      <c r="C36" s="926"/>
      <c r="D36" s="926"/>
      <c r="E36" s="926"/>
      <c r="F36" s="926"/>
      <c r="G36" s="553"/>
      <c r="H36" s="1019" t="s">
        <v>1226</v>
      </c>
      <c r="I36" s="1019"/>
      <c r="J36" s="1020"/>
      <c r="K36" s="1020"/>
      <c r="L36" s="1020"/>
      <c r="M36" s="1020"/>
      <c r="N36" s="1020"/>
    </row>
    <row r="37" spans="1:14">
      <c r="A37" s="926"/>
      <c r="B37" s="926"/>
      <c r="C37" s="926"/>
      <c r="D37" s="926"/>
      <c r="E37" s="926"/>
      <c r="F37" s="926"/>
      <c r="G37" s="553"/>
      <c r="H37" s="553" t="s">
        <v>1239</v>
      </c>
      <c r="I37" s="553"/>
      <c r="J37" s="113"/>
      <c r="K37" s="113"/>
      <c r="L37" s="113"/>
      <c r="M37" s="113"/>
      <c r="N37" s="113"/>
    </row>
    <row r="38" spans="1:14">
      <c r="A38" s="926"/>
      <c r="B38" s="926"/>
      <c r="C38" s="926"/>
      <c r="D38" s="926"/>
      <c r="E38" s="926"/>
      <c r="F38" s="926"/>
      <c r="G38" s="553"/>
      <c r="H38" s="553" t="s">
        <v>1240</v>
      </c>
      <c r="I38" s="553"/>
      <c r="J38" s="113"/>
      <c r="K38" s="113"/>
      <c r="L38" s="113"/>
      <c r="M38" s="113"/>
      <c r="N38" s="113"/>
    </row>
    <row r="39" spans="1:14">
      <c r="A39" s="926"/>
      <c r="B39" s="926"/>
      <c r="C39" s="926"/>
      <c r="D39" s="926"/>
      <c r="E39" s="926"/>
      <c r="F39" s="926"/>
      <c r="G39" s="553"/>
      <c r="H39" s="553" t="s">
        <v>1131</v>
      </c>
      <c r="I39" s="553"/>
      <c r="J39" s="113"/>
      <c r="K39" s="113"/>
      <c r="L39" s="113"/>
      <c r="M39" s="113"/>
      <c r="N39" s="113"/>
    </row>
    <row r="40" spans="1:14">
      <c r="A40" s="926"/>
      <c r="B40" s="926"/>
      <c r="C40" s="926"/>
      <c r="D40" s="926"/>
      <c r="E40" s="926"/>
      <c r="F40" s="926"/>
      <c r="G40" s="37"/>
      <c r="H40" s="37"/>
      <c r="I40" s="37"/>
      <c r="J40" s="37"/>
      <c r="K40" s="37"/>
      <c r="L40" s="37"/>
      <c r="M40" s="37"/>
      <c r="N40" s="37"/>
    </row>
    <row r="41" spans="1:14">
      <c r="A41" s="926"/>
      <c r="B41" s="926"/>
      <c r="C41" s="926"/>
      <c r="D41" s="926"/>
      <c r="E41" s="926"/>
      <c r="F41" s="926"/>
      <c r="G41" s="926"/>
      <c r="H41" s="926"/>
      <c r="I41" s="926"/>
      <c r="J41" s="926"/>
      <c r="K41" s="926"/>
      <c r="L41" s="926"/>
      <c r="M41" s="926"/>
      <c r="N41" s="926"/>
    </row>
    <row r="42" spans="1:14">
      <c r="A42" s="926"/>
      <c r="B42" s="926"/>
      <c r="C42" s="926"/>
      <c r="D42" s="926"/>
      <c r="E42" s="926"/>
      <c r="F42" s="926"/>
      <c r="G42" s="926"/>
      <c r="H42" s="926"/>
      <c r="I42" s="926"/>
      <c r="J42" s="926"/>
      <c r="K42" s="926"/>
      <c r="L42" s="926"/>
      <c r="M42" s="926"/>
      <c r="N42" s="926"/>
    </row>
    <row r="43" spans="1:14">
      <c r="A43" s="926"/>
      <c r="B43" s="926"/>
      <c r="C43" s="926"/>
      <c r="D43" s="926"/>
      <c r="E43" s="926"/>
      <c r="F43" s="926"/>
      <c r="G43" s="926"/>
      <c r="H43" s="926"/>
      <c r="I43" s="926"/>
      <c r="J43" s="926"/>
      <c r="K43" s="926"/>
      <c r="L43" s="926"/>
      <c r="M43" s="926"/>
      <c r="N43" s="926"/>
    </row>
    <row r="44" spans="1:14">
      <c r="A44" s="926"/>
      <c r="B44" s="926"/>
      <c r="C44" s="926"/>
      <c r="D44" s="926"/>
      <c r="E44" s="926"/>
      <c r="F44" s="926"/>
      <c r="G44" s="926"/>
      <c r="H44" s="926"/>
      <c r="I44" s="926"/>
      <c r="J44" s="926"/>
      <c r="K44" s="926"/>
      <c r="L44" s="926"/>
      <c r="M44" s="926"/>
      <c r="N44" s="926"/>
    </row>
    <row r="45" spans="1:14">
      <c r="A45" s="926"/>
      <c r="B45" s="926"/>
      <c r="C45" s="926"/>
      <c r="D45" s="926"/>
      <c r="E45" s="926"/>
      <c r="F45" s="926"/>
      <c r="G45" s="926"/>
      <c r="H45" s="926"/>
      <c r="I45" s="926"/>
      <c r="J45" s="926"/>
      <c r="K45" s="926"/>
      <c r="L45" s="926"/>
      <c r="M45" s="926"/>
      <c r="N45" s="926"/>
    </row>
  </sheetData>
  <mergeCells count="18">
    <mergeCell ref="A7:D7"/>
    <mergeCell ref="B32:D32"/>
    <mergeCell ref="B8:D8"/>
    <mergeCell ref="C9:D9"/>
    <mergeCell ref="C14:D14"/>
    <mergeCell ref="C19:D19"/>
    <mergeCell ref="C24:D24"/>
    <mergeCell ref="B31:D31"/>
    <mergeCell ref="A1:N1"/>
    <mergeCell ref="A4:D6"/>
    <mergeCell ref="K5:L5"/>
    <mergeCell ref="A2:N2"/>
    <mergeCell ref="E4:N4"/>
    <mergeCell ref="M5:N5"/>
    <mergeCell ref="E5:F5"/>
    <mergeCell ref="G5:H5"/>
    <mergeCell ref="I5:J5"/>
    <mergeCell ref="A3:M3"/>
  </mergeCells>
  <phoneticPr fontId="0" type="noConversion"/>
  <printOptions horizontalCentered="1" verticalCentered="1"/>
  <pageMargins left="0.1" right="0.1" top="0.34" bottom="0.1" header="0.35" footer="0.1"/>
  <pageSetup paperSize="9" orientation="landscape" blackAndWhite="1" r:id="rId1"/>
  <headerFooter alignWithMargins="0"/>
</worksheet>
</file>

<file path=xl/worksheets/sheet31.xml><?xml version="1.0" encoding="utf-8"?>
<worksheet xmlns="http://schemas.openxmlformats.org/spreadsheetml/2006/main" xmlns:r="http://schemas.openxmlformats.org/officeDocument/2006/relationships">
  <sheetPr codeName="Sheet30"/>
  <dimension ref="A1:X43"/>
  <sheetViews>
    <sheetView workbookViewId="0">
      <selection activeCell="F14" sqref="F14"/>
    </sheetView>
  </sheetViews>
  <sheetFormatPr defaultRowHeight="12.75"/>
  <cols>
    <col min="1" max="1" width="2.5703125" style="723" customWidth="1"/>
    <col min="2" max="2" width="3.140625" style="723" customWidth="1"/>
    <col min="3" max="3" width="1.7109375" style="723" customWidth="1"/>
    <col min="4" max="4" width="43.140625" style="723" customWidth="1"/>
    <col min="5" max="14" width="8.7109375" style="723" customWidth="1"/>
    <col min="15" max="16384" width="9.140625" style="723"/>
  </cols>
  <sheetData>
    <row r="1" spans="1:14" ht="12.75" customHeight="1">
      <c r="A1" s="1582" t="s">
        <v>652</v>
      </c>
      <c r="B1" s="1582"/>
      <c r="C1" s="1582"/>
      <c r="D1" s="1582"/>
      <c r="E1" s="1582"/>
      <c r="F1" s="1582"/>
      <c r="G1" s="1582"/>
      <c r="H1" s="1582"/>
      <c r="I1" s="1582"/>
      <c r="J1" s="1582"/>
      <c r="K1" s="1582"/>
      <c r="L1" s="1582"/>
      <c r="M1" s="1582"/>
      <c r="N1" s="1582"/>
    </row>
    <row r="2" spans="1:14" ht="16.5">
      <c r="A2" s="1413" t="str">
        <f>CONCATENATE("Students by sex in different type of Professional &amp; Technical Educational Institutions in the district of ",District!A1)</f>
        <v>Students by sex in different type of Professional &amp; Technical Educational Institutions in the district of Purulia</v>
      </c>
      <c r="B2" s="1413"/>
      <c r="C2" s="1413"/>
      <c r="D2" s="1413"/>
      <c r="E2" s="1413"/>
      <c r="F2" s="1413"/>
      <c r="G2" s="1413"/>
      <c r="H2" s="1413"/>
      <c r="I2" s="1413"/>
      <c r="J2" s="1413"/>
      <c r="K2" s="1413"/>
      <c r="L2" s="1413"/>
      <c r="M2" s="1413"/>
      <c r="N2" s="1413"/>
    </row>
    <row r="3" spans="1:14">
      <c r="A3" s="1565"/>
      <c r="B3" s="1565"/>
      <c r="C3" s="1565"/>
      <c r="D3" s="1565"/>
      <c r="E3" s="1565"/>
      <c r="F3" s="1565"/>
      <c r="G3" s="1565"/>
      <c r="H3" s="1565"/>
      <c r="I3" s="1565"/>
      <c r="J3" s="1565"/>
      <c r="K3" s="1565"/>
      <c r="L3" s="1565"/>
      <c r="M3" s="1565"/>
      <c r="N3" s="778" t="s">
        <v>1058</v>
      </c>
    </row>
    <row r="4" spans="1:14">
      <c r="A4" s="1403" t="s">
        <v>800</v>
      </c>
      <c r="B4" s="1513"/>
      <c r="C4" s="1513"/>
      <c r="D4" s="1404"/>
      <c r="E4" s="1407" t="s">
        <v>951</v>
      </c>
      <c r="F4" s="1400"/>
      <c r="G4" s="1400"/>
      <c r="H4" s="1400"/>
      <c r="I4" s="1400"/>
      <c r="J4" s="1400"/>
      <c r="K4" s="1400"/>
      <c r="L4" s="1400"/>
      <c r="M4" s="1400"/>
      <c r="N4" s="1401"/>
    </row>
    <row r="5" spans="1:14">
      <c r="A5" s="1390"/>
      <c r="B5" s="1487"/>
      <c r="C5" s="1487"/>
      <c r="D5" s="1391"/>
      <c r="E5" s="1407" t="s">
        <v>1526</v>
      </c>
      <c r="F5" s="1401"/>
      <c r="G5" s="1407" t="s">
        <v>1525</v>
      </c>
      <c r="H5" s="1401"/>
      <c r="I5" s="1407" t="s">
        <v>1051</v>
      </c>
      <c r="J5" s="1401"/>
      <c r="K5" s="1407" t="s">
        <v>1250</v>
      </c>
      <c r="L5" s="1573"/>
      <c r="M5" s="1407" t="s">
        <v>527</v>
      </c>
      <c r="N5" s="1573"/>
    </row>
    <row r="6" spans="1:14">
      <c r="A6" s="1405"/>
      <c r="B6" s="1486"/>
      <c r="C6" s="1486"/>
      <c r="D6" s="1406"/>
      <c r="E6" s="750" t="s">
        <v>1070</v>
      </c>
      <c r="F6" s="1005" t="s">
        <v>1071</v>
      </c>
      <c r="G6" s="751" t="s">
        <v>1070</v>
      </c>
      <c r="H6" s="1005" t="s">
        <v>1071</v>
      </c>
      <c r="I6" s="750" t="s">
        <v>1070</v>
      </c>
      <c r="J6" s="1005" t="s">
        <v>1071</v>
      </c>
      <c r="K6" s="751" t="s">
        <v>1070</v>
      </c>
      <c r="L6" s="1005" t="s">
        <v>1071</v>
      </c>
      <c r="M6" s="750" t="s">
        <v>1070</v>
      </c>
      <c r="N6" s="1005" t="s">
        <v>1071</v>
      </c>
    </row>
    <row r="7" spans="1:14">
      <c r="A7" s="1574" t="s">
        <v>1008</v>
      </c>
      <c r="B7" s="1575"/>
      <c r="C7" s="1575"/>
      <c r="D7" s="1575"/>
      <c r="E7" s="1006" t="s">
        <v>1009</v>
      </c>
      <c r="F7" s="1008" t="s">
        <v>1010</v>
      </c>
      <c r="G7" s="1021" t="s">
        <v>1011</v>
      </c>
      <c r="H7" s="1022" t="s">
        <v>1015</v>
      </c>
      <c r="I7" s="1023" t="s">
        <v>1016</v>
      </c>
      <c r="J7" s="1024" t="s">
        <v>1017</v>
      </c>
      <c r="K7" s="1025" t="s">
        <v>1039</v>
      </c>
      <c r="L7" s="1024" t="s">
        <v>1040</v>
      </c>
      <c r="M7" s="1023" t="s">
        <v>1041</v>
      </c>
      <c r="N7" s="1024" t="s">
        <v>1042</v>
      </c>
    </row>
    <row r="8" spans="1:14">
      <c r="A8" s="1010">
        <v>1</v>
      </c>
      <c r="B8" s="1578" t="s">
        <v>299</v>
      </c>
      <c r="C8" s="1578"/>
      <c r="D8" s="1579"/>
      <c r="E8" s="1026">
        <f t="shared" ref="E8:J8" si="0">SUM(E9,E14)</f>
        <v>610</v>
      </c>
      <c r="F8" s="524">
        <f t="shared" si="0"/>
        <v>294</v>
      </c>
      <c r="G8" s="1026">
        <f t="shared" si="0"/>
        <v>588</v>
      </c>
      <c r="H8" s="524">
        <f t="shared" si="0"/>
        <v>229</v>
      </c>
      <c r="I8" s="1026">
        <f t="shared" si="0"/>
        <v>577</v>
      </c>
      <c r="J8" s="524">
        <f t="shared" si="0"/>
        <v>288</v>
      </c>
      <c r="K8" s="1026">
        <f>SUM(K9,K14)</f>
        <v>754</v>
      </c>
      <c r="L8" s="524">
        <f>SUM(L9,L14)</f>
        <v>381</v>
      </c>
      <c r="M8" s="1026">
        <f>SUM(M9,M14)</f>
        <v>900</v>
      </c>
      <c r="N8" s="524">
        <f>SUM(N9,N14)</f>
        <v>465</v>
      </c>
    </row>
    <row r="9" spans="1:14">
      <c r="A9" s="1011"/>
      <c r="B9" s="28" t="s">
        <v>1188</v>
      </c>
      <c r="C9" s="1027" t="s">
        <v>1311</v>
      </c>
      <c r="D9" s="1012"/>
      <c r="E9" s="23">
        <f t="shared" ref="E9:J9" si="1">SUM(E10:E13)</f>
        <v>544</v>
      </c>
      <c r="F9" s="164">
        <f t="shared" si="1"/>
        <v>48</v>
      </c>
      <c r="G9" s="23">
        <f t="shared" si="1"/>
        <v>492</v>
      </c>
      <c r="H9" s="164">
        <f t="shared" si="1"/>
        <v>39</v>
      </c>
      <c r="I9" s="23">
        <f t="shared" si="1"/>
        <v>418</v>
      </c>
      <c r="J9" s="164">
        <f t="shared" si="1"/>
        <v>40</v>
      </c>
      <c r="K9" s="23">
        <f>SUM(K10:K13)</f>
        <v>483</v>
      </c>
      <c r="L9" s="164">
        <f>SUM(L10:L13)</f>
        <v>48</v>
      </c>
      <c r="M9" s="23">
        <f>SUM(M10:M13)</f>
        <v>472</v>
      </c>
      <c r="N9" s="164">
        <f>SUM(N10:N13)</f>
        <v>50</v>
      </c>
    </row>
    <row r="10" spans="1:14">
      <c r="A10" s="1011"/>
      <c r="B10" s="736"/>
      <c r="C10" s="736"/>
      <c r="D10" s="1012" t="s">
        <v>1261</v>
      </c>
      <c r="E10" s="1028" t="s">
        <v>57</v>
      </c>
      <c r="F10" s="994" t="s">
        <v>57</v>
      </c>
      <c r="G10" s="1028" t="s">
        <v>57</v>
      </c>
      <c r="H10" s="994" t="s">
        <v>57</v>
      </c>
      <c r="I10" s="1028" t="s">
        <v>57</v>
      </c>
      <c r="J10" s="994" t="s">
        <v>57</v>
      </c>
      <c r="K10" s="1028" t="s">
        <v>57</v>
      </c>
      <c r="L10" s="994" t="s">
        <v>57</v>
      </c>
      <c r="M10" s="1028" t="s">
        <v>57</v>
      </c>
      <c r="N10" s="994" t="s">
        <v>57</v>
      </c>
    </row>
    <row r="11" spans="1:14">
      <c r="A11" s="1011"/>
      <c r="B11" s="736"/>
      <c r="C11" s="736"/>
      <c r="D11" s="1012" t="s">
        <v>686</v>
      </c>
      <c r="E11" s="1028" t="s">
        <v>57</v>
      </c>
      <c r="F11" s="994" t="s">
        <v>57</v>
      </c>
      <c r="G11" s="1028" t="s">
        <v>57</v>
      </c>
      <c r="H11" s="994" t="s">
        <v>57</v>
      </c>
      <c r="I11" s="1028" t="s">
        <v>57</v>
      </c>
      <c r="J11" s="994" t="s">
        <v>57</v>
      </c>
      <c r="K11" s="1028" t="s">
        <v>57</v>
      </c>
      <c r="L11" s="994" t="s">
        <v>57</v>
      </c>
      <c r="M11" s="1028" t="s">
        <v>57</v>
      </c>
      <c r="N11" s="994" t="s">
        <v>57</v>
      </c>
    </row>
    <row r="12" spans="1:14">
      <c r="A12" s="1011"/>
      <c r="B12" s="736"/>
      <c r="C12" s="736"/>
      <c r="D12" s="1012" t="s">
        <v>1312</v>
      </c>
      <c r="E12" s="1028">
        <v>489</v>
      </c>
      <c r="F12" s="994">
        <v>45</v>
      </c>
      <c r="G12" s="1028">
        <v>435</v>
      </c>
      <c r="H12" s="994">
        <v>38</v>
      </c>
      <c r="I12" s="1028">
        <v>361</v>
      </c>
      <c r="J12" s="994">
        <v>39</v>
      </c>
      <c r="K12" s="1028">
        <v>430</v>
      </c>
      <c r="L12" s="994">
        <v>44</v>
      </c>
      <c r="M12" s="1028">
        <v>428</v>
      </c>
      <c r="N12" s="994">
        <v>46</v>
      </c>
    </row>
    <row r="13" spans="1:14">
      <c r="A13" s="1011"/>
      <c r="B13" s="736"/>
      <c r="C13" s="736"/>
      <c r="D13" s="1012" t="s">
        <v>1313</v>
      </c>
      <c r="E13" s="1028">
        <v>55</v>
      </c>
      <c r="F13" s="994">
        <v>3</v>
      </c>
      <c r="G13" s="1028">
        <v>57</v>
      </c>
      <c r="H13" s="994">
        <v>1</v>
      </c>
      <c r="I13" s="1028">
        <v>57</v>
      </c>
      <c r="J13" s="994">
        <v>1</v>
      </c>
      <c r="K13" s="1028">
        <v>53</v>
      </c>
      <c r="L13" s="994">
        <v>4</v>
      </c>
      <c r="M13" s="1028">
        <v>44</v>
      </c>
      <c r="N13" s="994">
        <v>4</v>
      </c>
    </row>
    <row r="14" spans="1:14">
      <c r="A14" s="1011"/>
      <c r="B14" s="28" t="s">
        <v>1186</v>
      </c>
      <c r="C14" s="1027" t="s">
        <v>1262</v>
      </c>
      <c r="D14" s="1029"/>
      <c r="E14" s="23">
        <f>SUM(E15:E16)</f>
        <v>66</v>
      </c>
      <c r="F14" s="164">
        <f>SUM(F15:F16)</f>
        <v>246</v>
      </c>
      <c r="G14" s="23">
        <f>IF(SUM(G15:G16)=0,"-",SUM(G15:G16))</f>
        <v>96</v>
      </c>
      <c r="H14" s="164">
        <f>SUM(H15:H16)</f>
        <v>190</v>
      </c>
      <c r="I14" s="23">
        <f>IF(SUM(I15:I16)=0,"-",SUM(I15:I16))</f>
        <v>159</v>
      </c>
      <c r="J14" s="164">
        <f>SUM(J15:J16)</f>
        <v>248</v>
      </c>
      <c r="K14" s="23">
        <f>IF(SUM(K15:K16)=0,"-",SUM(K15:K16))</f>
        <v>271</v>
      </c>
      <c r="L14" s="164">
        <f>SUM(L15:L16)</f>
        <v>333</v>
      </c>
      <c r="M14" s="23">
        <f>IF(SUM(M15:M16)=0,"-",SUM(M15:M16))</f>
        <v>428</v>
      </c>
      <c r="N14" s="164">
        <f>SUM(N15:N16)</f>
        <v>415</v>
      </c>
    </row>
    <row r="15" spans="1:14" ht="25.5" customHeight="1">
      <c r="A15" s="1011"/>
      <c r="B15" s="736"/>
      <c r="C15" s="736"/>
      <c r="D15" s="1030" t="s">
        <v>687</v>
      </c>
      <c r="E15" s="795">
        <v>66</v>
      </c>
      <c r="F15" s="744">
        <v>34</v>
      </c>
      <c r="G15" s="795">
        <v>96</v>
      </c>
      <c r="H15" s="744">
        <v>48</v>
      </c>
      <c r="I15" s="795">
        <v>159</v>
      </c>
      <c r="J15" s="744">
        <v>90</v>
      </c>
      <c r="K15" s="795">
        <v>271</v>
      </c>
      <c r="L15" s="744">
        <v>173</v>
      </c>
      <c r="M15" s="795">
        <v>428</v>
      </c>
      <c r="N15" s="744">
        <v>253</v>
      </c>
    </row>
    <row r="16" spans="1:14">
      <c r="A16" s="1011"/>
      <c r="B16" s="736"/>
      <c r="C16" s="736"/>
      <c r="D16" s="1012" t="s">
        <v>1265</v>
      </c>
      <c r="E16" s="1028" t="s">
        <v>57</v>
      </c>
      <c r="F16" s="994">
        <v>212</v>
      </c>
      <c r="G16" s="1028" t="s">
        <v>57</v>
      </c>
      <c r="H16" s="994">
        <v>142</v>
      </c>
      <c r="I16" s="1028" t="s">
        <v>57</v>
      </c>
      <c r="J16" s="994">
        <v>158</v>
      </c>
      <c r="K16" s="1028" t="s">
        <v>57</v>
      </c>
      <c r="L16" s="994">
        <v>160</v>
      </c>
      <c r="M16" s="1028" t="s">
        <v>57</v>
      </c>
      <c r="N16" s="994">
        <v>162</v>
      </c>
    </row>
    <row r="17" spans="1:24" ht="40.5" customHeight="1">
      <c r="A17" s="1011"/>
      <c r="B17" s="986" t="s">
        <v>1187</v>
      </c>
      <c r="C17" s="1580" t="s">
        <v>273</v>
      </c>
      <c r="D17" s="1581"/>
      <c r="E17" s="795" t="s">
        <v>57</v>
      </c>
      <c r="F17" s="744" t="s">
        <v>57</v>
      </c>
      <c r="G17" s="795" t="s">
        <v>57</v>
      </c>
      <c r="H17" s="744" t="s">
        <v>57</v>
      </c>
      <c r="I17" s="795" t="s">
        <v>57</v>
      </c>
      <c r="J17" s="744" t="s">
        <v>57</v>
      </c>
      <c r="K17" s="795" t="s">
        <v>57</v>
      </c>
      <c r="L17" s="744" t="s">
        <v>57</v>
      </c>
      <c r="M17" s="795" t="s">
        <v>57</v>
      </c>
      <c r="N17" s="744" t="s">
        <v>57</v>
      </c>
    </row>
    <row r="18" spans="1:24">
      <c r="A18" s="1013">
        <v>2</v>
      </c>
      <c r="B18" s="1583" t="s">
        <v>300</v>
      </c>
      <c r="C18" s="1583"/>
      <c r="D18" s="1584"/>
      <c r="E18" s="23">
        <f t="shared" ref="E18:J18" si="2">SUM(E19,E26)</f>
        <v>1076</v>
      </c>
      <c r="F18" s="164">
        <f t="shared" si="2"/>
        <v>261</v>
      </c>
      <c r="G18" s="23">
        <f t="shared" si="2"/>
        <v>1250</v>
      </c>
      <c r="H18" s="164">
        <f t="shared" si="2"/>
        <v>252</v>
      </c>
      <c r="I18" s="23">
        <f t="shared" si="2"/>
        <v>1271</v>
      </c>
      <c r="J18" s="164">
        <f t="shared" si="2"/>
        <v>289</v>
      </c>
      <c r="K18" s="23">
        <f>SUM(K19,K26)</f>
        <v>1295</v>
      </c>
      <c r="L18" s="164">
        <f>SUM(L19,L26)</f>
        <v>288</v>
      </c>
      <c r="M18" s="164">
        <f>SUM(M19,M26,M29)</f>
        <v>1383</v>
      </c>
      <c r="N18" s="164">
        <f>SUM(N19,N26,N29)</f>
        <v>261</v>
      </c>
    </row>
    <row r="19" spans="1:24">
      <c r="A19" s="1011"/>
      <c r="B19" s="28" t="s">
        <v>1188</v>
      </c>
      <c r="C19" s="1027" t="s">
        <v>1317</v>
      </c>
      <c r="D19" s="1029"/>
      <c r="E19" s="23">
        <f t="shared" ref="E19:J19" si="3">SUM(E20:E25)</f>
        <v>855</v>
      </c>
      <c r="F19" s="164">
        <f t="shared" si="3"/>
        <v>135</v>
      </c>
      <c r="G19" s="23">
        <f t="shared" si="3"/>
        <v>968</v>
      </c>
      <c r="H19" s="164">
        <f t="shared" si="3"/>
        <v>141</v>
      </c>
      <c r="I19" s="23">
        <f t="shared" si="3"/>
        <v>998</v>
      </c>
      <c r="J19" s="164">
        <f t="shared" si="3"/>
        <v>164</v>
      </c>
      <c r="K19" s="23">
        <f>SUM(K20:K25)</f>
        <v>1064</v>
      </c>
      <c r="L19" s="164">
        <f>SUM(L20:L25)</f>
        <v>126</v>
      </c>
      <c r="M19" s="23">
        <f>SUM(M20:M25)</f>
        <v>1094</v>
      </c>
      <c r="N19" s="164">
        <f>SUM(N20:N25)</f>
        <v>105</v>
      </c>
    </row>
    <row r="20" spans="1:24" ht="25.5">
      <c r="A20" s="1011"/>
      <c r="B20" s="736"/>
      <c r="C20" s="736"/>
      <c r="D20" s="1030" t="s">
        <v>708</v>
      </c>
      <c r="E20" s="795">
        <v>38</v>
      </c>
      <c r="F20" s="744">
        <v>8</v>
      </c>
      <c r="G20" s="795">
        <v>36</v>
      </c>
      <c r="H20" s="744">
        <v>8</v>
      </c>
      <c r="I20" s="795">
        <v>9</v>
      </c>
      <c r="J20" s="744">
        <v>3</v>
      </c>
      <c r="K20" s="795">
        <v>11</v>
      </c>
      <c r="L20" s="744">
        <v>1</v>
      </c>
      <c r="M20" s="795">
        <v>10</v>
      </c>
      <c r="N20" s="744">
        <v>2</v>
      </c>
      <c r="P20" s="1256"/>
    </row>
    <row r="21" spans="1:24">
      <c r="A21" s="1011"/>
      <c r="B21" s="736"/>
      <c r="C21" s="736"/>
      <c r="D21" s="1012" t="s">
        <v>1231</v>
      </c>
      <c r="E21" s="1028" t="s">
        <v>57</v>
      </c>
      <c r="F21" s="994" t="s">
        <v>57</v>
      </c>
      <c r="G21" s="1028" t="s">
        <v>57</v>
      </c>
      <c r="H21" s="994" t="s">
        <v>57</v>
      </c>
      <c r="I21" s="1028" t="s">
        <v>57</v>
      </c>
      <c r="J21" s="994" t="s">
        <v>57</v>
      </c>
      <c r="K21" s="1028" t="s">
        <v>57</v>
      </c>
      <c r="L21" s="994" t="s">
        <v>57</v>
      </c>
      <c r="M21" s="1028" t="s">
        <v>57</v>
      </c>
      <c r="N21" s="994" t="s">
        <v>57</v>
      </c>
    </row>
    <row r="22" spans="1:24">
      <c r="A22" s="1011"/>
      <c r="B22" s="736"/>
      <c r="C22" s="736"/>
      <c r="D22" s="1012" t="s">
        <v>1232</v>
      </c>
      <c r="E22" s="1028">
        <v>235</v>
      </c>
      <c r="F22" s="994">
        <v>34</v>
      </c>
      <c r="G22" s="1028">
        <v>221</v>
      </c>
      <c r="H22" s="994">
        <v>33</v>
      </c>
      <c r="I22" s="1028">
        <v>219</v>
      </c>
      <c r="J22" s="994">
        <v>30</v>
      </c>
      <c r="K22" s="1028">
        <v>266</v>
      </c>
      <c r="L22" s="994">
        <v>32</v>
      </c>
      <c r="M22" s="1028">
        <v>209</v>
      </c>
      <c r="N22" s="994">
        <v>36</v>
      </c>
    </row>
    <row r="23" spans="1:24">
      <c r="A23" s="1011"/>
      <c r="B23" s="736"/>
      <c r="C23" s="736"/>
      <c r="D23" s="1012" t="s">
        <v>1233</v>
      </c>
      <c r="E23" s="1028">
        <v>582</v>
      </c>
      <c r="F23" s="994">
        <v>93</v>
      </c>
      <c r="G23" s="1028">
        <v>711</v>
      </c>
      <c r="H23" s="994">
        <v>100</v>
      </c>
      <c r="I23" s="1028">
        <v>770</v>
      </c>
      <c r="J23" s="994">
        <v>131</v>
      </c>
      <c r="K23" s="1028">
        <v>787</v>
      </c>
      <c r="L23" s="994">
        <v>93</v>
      </c>
      <c r="M23" s="1028">
        <v>875</v>
      </c>
      <c r="N23" s="994">
        <v>67</v>
      </c>
    </row>
    <row r="24" spans="1:24">
      <c r="A24" s="1011"/>
      <c r="B24" s="736"/>
      <c r="C24" s="736"/>
      <c r="D24" s="1012" t="s">
        <v>1314</v>
      </c>
      <c r="E24" s="1028" t="s">
        <v>57</v>
      </c>
      <c r="F24" s="994" t="s">
        <v>57</v>
      </c>
      <c r="G24" s="1028" t="s">
        <v>57</v>
      </c>
      <c r="H24" s="994" t="s">
        <v>57</v>
      </c>
      <c r="I24" s="1028" t="s">
        <v>57</v>
      </c>
      <c r="J24" s="994" t="s">
        <v>57</v>
      </c>
      <c r="K24" s="1028" t="s">
        <v>57</v>
      </c>
      <c r="L24" s="994" t="s">
        <v>57</v>
      </c>
      <c r="M24" s="1028" t="s">
        <v>57</v>
      </c>
      <c r="N24" s="994" t="s">
        <v>57</v>
      </c>
      <c r="P24" s="736"/>
    </row>
    <row r="25" spans="1:24" ht="39.75" customHeight="1">
      <c r="A25" s="1011"/>
      <c r="B25" s="736"/>
      <c r="C25" s="736"/>
      <c r="D25" s="1030" t="s">
        <v>1316</v>
      </c>
      <c r="E25" s="795" t="s">
        <v>57</v>
      </c>
      <c r="F25" s="744" t="s">
        <v>57</v>
      </c>
      <c r="G25" s="795" t="s">
        <v>57</v>
      </c>
      <c r="H25" s="744" t="s">
        <v>57</v>
      </c>
      <c r="I25" s="795" t="s">
        <v>57</v>
      </c>
      <c r="J25" s="744" t="s">
        <v>57</v>
      </c>
      <c r="K25" s="795" t="s">
        <v>57</v>
      </c>
      <c r="L25" s="744" t="s">
        <v>57</v>
      </c>
      <c r="M25" s="795" t="s">
        <v>57</v>
      </c>
      <c r="N25" s="744" t="s">
        <v>57</v>
      </c>
      <c r="O25" s="805"/>
      <c r="P25" s="805"/>
      <c r="Q25" s="805"/>
      <c r="R25" s="805"/>
      <c r="S25" s="805"/>
      <c r="T25" s="805"/>
      <c r="U25" s="805"/>
      <c r="V25" s="805"/>
      <c r="W25" s="805"/>
      <c r="X25" s="805"/>
    </row>
    <row r="26" spans="1:24">
      <c r="A26" s="1011"/>
      <c r="B26" s="28" t="s">
        <v>1186</v>
      </c>
      <c r="C26" s="1027" t="s">
        <v>1275</v>
      </c>
      <c r="D26" s="1012"/>
      <c r="E26" s="23">
        <f t="shared" ref="E26:J26" si="4">SUM(E27:E28)</f>
        <v>221</v>
      </c>
      <c r="F26" s="164">
        <f t="shared" si="4"/>
        <v>126</v>
      </c>
      <c r="G26" s="164">
        <f t="shared" si="4"/>
        <v>282</v>
      </c>
      <c r="H26" s="164">
        <f t="shared" si="4"/>
        <v>111</v>
      </c>
      <c r="I26" s="164">
        <f t="shared" si="4"/>
        <v>273</v>
      </c>
      <c r="J26" s="164">
        <f t="shared" si="4"/>
        <v>125</v>
      </c>
      <c r="K26" s="164">
        <f>SUM(K27:K35)</f>
        <v>231</v>
      </c>
      <c r="L26" s="164">
        <f>SUM(L27:L35)</f>
        <v>162</v>
      </c>
      <c r="M26" s="164">
        <f>SUM(M27:M35)</f>
        <v>289</v>
      </c>
      <c r="N26" s="164">
        <f>SUM(N27:N35)</f>
        <v>156</v>
      </c>
      <c r="O26" s="805"/>
      <c r="P26" s="805"/>
      <c r="Q26" s="805"/>
      <c r="R26" s="805"/>
      <c r="S26" s="805"/>
      <c r="T26" s="805"/>
      <c r="U26" s="805"/>
      <c r="V26" s="805"/>
      <c r="W26" s="805"/>
      <c r="X26" s="805"/>
    </row>
    <row r="27" spans="1:24">
      <c r="A27" s="1011"/>
      <c r="B27" s="736"/>
      <c r="C27" s="736"/>
      <c r="D27" s="1012" t="s">
        <v>138</v>
      </c>
      <c r="E27" s="1028">
        <v>221</v>
      </c>
      <c r="F27" s="994">
        <v>126</v>
      </c>
      <c r="G27" s="1028">
        <v>282</v>
      </c>
      <c r="H27" s="994">
        <v>111</v>
      </c>
      <c r="I27" s="1028">
        <v>273</v>
      </c>
      <c r="J27" s="994">
        <v>125</v>
      </c>
      <c r="K27" s="1028">
        <v>231</v>
      </c>
      <c r="L27" s="994">
        <v>162</v>
      </c>
      <c r="M27" s="1028">
        <v>289</v>
      </c>
      <c r="N27" s="994">
        <v>156</v>
      </c>
    </row>
    <row r="28" spans="1:24">
      <c r="A28" s="1011"/>
      <c r="B28" s="736"/>
      <c r="C28" s="736"/>
      <c r="D28" s="1012" t="s">
        <v>1234</v>
      </c>
      <c r="E28" s="1028" t="s">
        <v>57</v>
      </c>
      <c r="F28" s="994" t="s">
        <v>57</v>
      </c>
      <c r="G28" s="1028" t="s">
        <v>57</v>
      </c>
      <c r="H28" s="994" t="s">
        <v>57</v>
      </c>
      <c r="I28" s="1028" t="s">
        <v>57</v>
      </c>
      <c r="J28" s="994" t="s">
        <v>57</v>
      </c>
      <c r="K28" s="1028" t="s">
        <v>57</v>
      </c>
      <c r="L28" s="994" t="s">
        <v>57</v>
      </c>
      <c r="M28" s="1028" t="s">
        <v>57</v>
      </c>
      <c r="N28" s="994" t="s">
        <v>57</v>
      </c>
    </row>
    <row r="29" spans="1:24">
      <c r="A29" s="1011"/>
      <c r="B29" s="28" t="s">
        <v>1187</v>
      </c>
      <c r="C29" s="1027" t="s">
        <v>1235</v>
      </c>
      <c r="D29" s="1012"/>
      <c r="E29" s="805" t="str">
        <f>IF(SUM(E30:E34)=0,"-",SUM(E30:E34))</f>
        <v>-</v>
      </c>
      <c r="F29" s="804" t="str">
        <f>IF(SUM(F30:F34)=0,"-",SUM(F30:F34))</f>
        <v>-</v>
      </c>
      <c r="G29" s="805" t="s">
        <v>57</v>
      </c>
      <c r="H29" s="804" t="s">
        <v>57</v>
      </c>
      <c r="I29" s="805" t="s">
        <v>57</v>
      </c>
      <c r="J29" s="804" t="s">
        <v>57</v>
      </c>
      <c r="K29" s="805" t="s">
        <v>57</v>
      </c>
      <c r="L29" s="804" t="s">
        <v>57</v>
      </c>
      <c r="M29" s="308" t="s">
        <v>57</v>
      </c>
      <c r="N29" s="229" t="s">
        <v>57</v>
      </c>
    </row>
    <row r="30" spans="1:24">
      <c r="A30" s="1011"/>
      <c r="B30" s="736"/>
      <c r="C30" s="736"/>
      <c r="D30" s="1012" t="s">
        <v>1277</v>
      </c>
      <c r="E30" s="1028" t="s">
        <v>57</v>
      </c>
      <c r="F30" s="994" t="s">
        <v>57</v>
      </c>
      <c r="G30" s="1028" t="s">
        <v>57</v>
      </c>
      <c r="H30" s="994" t="s">
        <v>57</v>
      </c>
      <c r="I30" s="1028" t="s">
        <v>57</v>
      </c>
      <c r="J30" s="994" t="s">
        <v>57</v>
      </c>
      <c r="K30" s="1028" t="s">
        <v>57</v>
      </c>
      <c r="L30" s="994" t="s">
        <v>57</v>
      </c>
      <c r="M30" s="1028" t="s">
        <v>57</v>
      </c>
      <c r="N30" s="994" t="s">
        <v>57</v>
      </c>
    </row>
    <row r="31" spans="1:24">
      <c r="A31" s="1011"/>
      <c r="B31" s="736"/>
      <c r="C31" s="736"/>
      <c r="D31" s="1012" t="s">
        <v>1278</v>
      </c>
      <c r="E31" s="1028" t="s">
        <v>57</v>
      </c>
      <c r="F31" s="994" t="s">
        <v>57</v>
      </c>
      <c r="G31" s="1028" t="s">
        <v>57</v>
      </c>
      <c r="H31" s="994" t="s">
        <v>57</v>
      </c>
      <c r="I31" s="1028" t="s">
        <v>57</v>
      </c>
      <c r="J31" s="994" t="s">
        <v>57</v>
      </c>
      <c r="K31" s="1028" t="s">
        <v>57</v>
      </c>
      <c r="L31" s="994" t="s">
        <v>57</v>
      </c>
      <c r="M31" s="1028" t="s">
        <v>57</v>
      </c>
      <c r="N31" s="994" t="s">
        <v>57</v>
      </c>
    </row>
    <row r="32" spans="1:24">
      <c r="A32" s="1011"/>
      <c r="B32" s="736"/>
      <c r="C32" s="736"/>
      <c r="D32" s="1012" t="s">
        <v>1281</v>
      </c>
      <c r="E32" s="1028" t="s">
        <v>57</v>
      </c>
      <c r="F32" s="994" t="s">
        <v>57</v>
      </c>
      <c r="G32" s="1028" t="s">
        <v>57</v>
      </c>
      <c r="H32" s="994" t="s">
        <v>57</v>
      </c>
      <c r="I32" s="1028" t="s">
        <v>57</v>
      </c>
      <c r="J32" s="994" t="s">
        <v>57</v>
      </c>
      <c r="K32" s="1028" t="s">
        <v>57</v>
      </c>
      <c r="L32" s="994" t="s">
        <v>57</v>
      </c>
      <c r="M32" s="1028" t="s">
        <v>57</v>
      </c>
      <c r="N32" s="994" t="s">
        <v>57</v>
      </c>
    </row>
    <row r="33" spans="1:14">
      <c r="A33" s="1011"/>
      <c r="B33" s="736"/>
      <c r="C33" s="736"/>
      <c r="D33" s="1012" t="s">
        <v>1279</v>
      </c>
      <c r="E33" s="1028" t="s">
        <v>57</v>
      </c>
      <c r="F33" s="994" t="s">
        <v>57</v>
      </c>
      <c r="G33" s="1028" t="s">
        <v>57</v>
      </c>
      <c r="H33" s="994" t="s">
        <v>57</v>
      </c>
      <c r="I33" s="1028" t="s">
        <v>57</v>
      </c>
      <c r="J33" s="994" t="s">
        <v>57</v>
      </c>
      <c r="K33" s="1028" t="s">
        <v>57</v>
      </c>
      <c r="L33" s="994" t="s">
        <v>57</v>
      </c>
      <c r="M33" s="1028" t="s">
        <v>57</v>
      </c>
      <c r="N33" s="994" t="s">
        <v>57</v>
      </c>
    </row>
    <row r="34" spans="1:14" ht="26.25" customHeight="1">
      <c r="A34" s="1011"/>
      <c r="B34" s="736"/>
      <c r="C34" s="736"/>
      <c r="D34" s="1030" t="s">
        <v>1280</v>
      </c>
      <c r="E34" s="795" t="s">
        <v>57</v>
      </c>
      <c r="F34" s="744" t="s">
        <v>57</v>
      </c>
      <c r="G34" s="795" t="s">
        <v>57</v>
      </c>
      <c r="H34" s="744" t="s">
        <v>57</v>
      </c>
      <c r="I34" s="795" t="s">
        <v>57</v>
      </c>
      <c r="J34" s="744" t="s">
        <v>57</v>
      </c>
      <c r="K34" s="795" t="s">
        <v>57</v>
      </c>
      <c r="L34" s="744" t="s">
        <v>57</v>
      </c>
      <c r="M34" s="795" t="s">
        <v>57</v>
      </c>
      <c r="N34" s="744" t="s">
        <v>57</v>
      </c>
    </row>
    <row r="35" spans="1:14">
      <c r="A35" s="1017">
        <v>3</v>
      </c>
      <c r="B35" s="1576" t="s">
        <v>301</v>
      </c>
      <c r="C35" s="1576"/>
      <c r="D35" s="1577"/>
      <c r="E35" s="493" t="s">
        <v>57</v>
      </c>
      <c r="F35" s="997" t="s">
        <v>57</v>
      </c>
      <c r="G35" s="493" t="s">
        <v>57</v>
      </c>
      <c r="H35" s="997" t="s">
        <v>57</v>
      </c>
      <c r="I35" s="493" t="s">
        <v>57</v>
      </c>
      <c r="J35" s="997" t="s">
        <v>57</v>
      </c>
      <c r="K35" s="493" t="s">
        <v>57</v>
      </c>
      <c r="L35" s="997" t="s">
        <v>57</v>
      </c>
      <c r="M35" s="493" t="s">
        <v>57</v>
      </c>
      <c r="N35" s="997" t="s">
        <v>57</v>
      </c>
    </row>
    <row r="36" spans="1:14">
      <c r="A36" s="1031"/>
      <c r="B36" s="1032" t="s">
        <v>1035</v>
      </c>
      <c r="C36" s="1033"/>
      <c r="D36" s="1034"/>
      <c r="E36" s="735">
        <f>SUM(E8,E18)</f>
        <v>1686</v>
      </c>
      <c r="F36" s="735">
        <f>SUM(F8,F18)</f>
        <v>555</v>
      </c>
      <c r="G36" s="735">
        <f t="shared" ref="G36:L36" si="5">SUM(G8,G18)</f>
        <v>1838</v>
      </c>
      <c r="H36" s="735">
        <f t="shared" si="5"/>
        <v>481</v>
      </c>
      <c r="I36" s="735">
        <f t="shared" si="5"/>
        <v>1848</v>
      </c>
      <c r="J36" s="735">
        <f t="shared" si="5"/>
        <v>577</v>
      </c>
      <c r="K36" s="735">
        <f t="shared" si="5"/>
        <v>2049</v>
      </c>
      <c r="L36" s="735">
        <f t="shared" si="5"/>
        <v>669</v>
      </c>
      <c r="M36" s="735">
        <f>SUM(M8,M18)</f>
        <v>2283</v>
      </c>
      <c r="N36" s="735">
        <f>SUM(N8,N18)</f>
        <v>726</v>
      </c>
    </row>
    <row r="37" spans="1:14" ht="12.75" customHeight="1">
      <c r="A37" s="926"/>
      <c r="B37" s="926"/>
      <c r="C37" s="926"/>
      <c r="D37" s="926"/>
      <c r="E37" s="926"/>
      <c r="F37" s="926"/>
      <c r="G37" s="37"/>
      <c r="H37" s="1532" t="s">
        <v>522</v>
      </c>
      <c r="I37" s="1474"/>
      <c r="J37" s="1474"/>
      <c r="K37" s="1474"/>
      <c r="L37" s="1474"/>
      <c r="M37" s="1474"/>
      <c r="N37" s="1474"/>
    </row>
    <row r="38" spans="1:14">
      <c r="A38" s="926"/>
      <c r="B38" s="926"/>
      <c r="C38" s="926"/>
      <c r="D38" s="926"/>
      <c r="E38" s="926"/>
      <c r="F38" s="926"/>
      <c r="G38" s="926"/>
      <c r="H38" s="926"/>
      <c r="I38" s="926"/>
      <c r="J38" s="37"/>
      <c r="K38" s="1035"/>
      <c r="L38" s="1035"/>
      <c r="M38" s="1035"/>
      <c r="N38" s="1035"/>
    </row>
    <row r="39" spans="1:14">
      <c r="A39" s="926"/>
      <c r="B39" s="926"/>
      <c r="C39" s="926"/>
      <c r="D39" s="926"/>
      <c r="E39" s="926"/>
      <c r="F39" s="926"/>
      <c r="G39" s="926"/>
      <c r="H39" s="926"/>
      <c r="I39" s="926"/>
      <c r="J39" s="37"/>
      <c r="K39" s="1035"/>
      <c r="L39" s="1035"/>
      <c r="M39" s="1035"/>
      <c r="N39" s="1035"/>
    </row>
    <row r="40" spans="1:14">
      <c r="A40" s="926"/>
      <c r="B40" s="926"/>
      <c r="C40" s="926"/>
      <c r="D40" s="926"/>
      <c r="E40" s="926"/>
      <c r="F40" s="926"/>
      <c r="G40" s="926"/>
      <c r="H40" s="926"/>
      <c r="I40" s="926"/>
      <c r="J40" s="926"/>
      <c r="K40" s="926"/>
      <c r="L40" s="926"/>
      <c r="M40" s="926"/>
      <c r="N40" s="926"/>
    </row>
    <row r="41" spans="1:14">
      <c r="A41" s="926"/>
      <c r="B41" s="926"/>
      <c r="C41" s="926"/>
      <c r="D41" s="926"/>
      <c r="E41" s="926"/>
      <c r="F41" s="926"/>
      <c r="G41" s="926"/>
      <c r="H41" s="926"/>
      <c r="I41" s="926"/>
      <c r="J41" s="926"/>
      <c r="K41" s="926"/>
      <c r="L41" s="926"/>
      <c r="M41" s="926"/>
      <c r="N41" s="926"/>
    </row>
    <row r="42" spans="1:14">
      <c r="A42" s="926"/>
      <c r="B42" s="926"/>
      <c r="C42" s="926"/>
      <c r="D42" s="926"/>
      <c r="E42" s="926"/>
      <c r="F42" s="926"/>
      <c r="G42" s="926"/>
      <c r="H42" s="926"/>
      <c r="I42" s="926"/>
      <c r="J42" s="926"/>
      <c r="K42" s="926"/>
      <c r="L42" s="926"/>
      <c r="M42" s="926"/>
      <c r="N42" s="926"/>
    </row>
    <row r="43" spans="1:14">
      <c r="A43" s="926"/>
      <c r="B43" s="926"/>
      <c r="C43" s="926"/>
      <c r="D43" s="926"/>
      <c r="E43" s="926"/>
      <c r="F43" s="926"/>
      <c r="G43" s="926"/>
      <c r="H43" s="926"/>
      <c r="I43" s="926"/>
      <c r="J43" s="926"/>
      <c r="K43" s="926"/>
      <c r="L43" s="926"/>
      <c r="M43" s="926"/>
      <c r="N43" s="926"/>
    </row>
  </sheetData>
  <mergeCells count="16">
    <mergeCell ref="A1:N1"/>
    <mergeCell ref="B8:D8"/>
    <mergeCell ref="C17:D17"/>
    <mergeCell ref="H37:N37"/>
    <mergeCell ref="E5:F5"/>
    <mergeCell ref="G5:H5"/>
    <mergeCell ref="I5:J5"/>
    <mergeCell ref="K5:L5"/>
    <mergeCell ref="M5:N5"/>
    <mergeCell ref="B18:D18"/>
    <mergeCell ref="B35:D35"/>
    <mergeCell ref="A2:N2"/>
    <mergeCell ref="A7:D7"/>
    <mergeCell ref="E4:N4"/>
    <mergeCell ref="A4:D6"/>
    <mergeCell ref="A3:M3"/>
  </mergeCells>
  <phoneticPr fontId="0" type="noConversion"/>
  <printOptions horizontalCentered="1" verticalCentered="1"/>
  <pageMargins left="0.1" right="0.1" top="0.28999999999999998" bottom="0.14000000000000001" header="0.28999999999999998" footer="0.14000000000000001"/>
  <pageSetup paperSize="9" orientation="landscape" blackAndWhite="1" r:id="rId1"/>
  <headerFooter alignWithMargins="0"/>
</worksheet>
</file>

<file path=xl/worksheets/sheet32.xml><?xml version="1.0" encoding="utf-8"?>
<worksheet xmlns="http://schemas.openxmlformats.org/spreadsheetml/2006/main" xmlns:r="http://schemas.openxmlformats.org/officeDocument/2006/relationships">
  <sheetPr codeName="Sheet31"/>
  <dimension ref="A1:Y37"/>
  <sheetViews>
    <sheetView topLeftCell="A4" workbookViewId="0">
      <selection activeCell="F14" sqref="F14"/>
    </sheetView>
  </sheetViews>
  <sheetFormatPr defaultRowHeight="12.75"/>
  <cols>
    <col min="1" max="1" width="3.42578125" style="723" customWidth="1"/>
    <col min="2" max="3" width="9.140625" style="723"/>
    <col min="4" max="4" width="23.140625" style="723" customWidth="1"/>
    <col min="5" max="14" width="8.7109375" style="723" customWidth="1"/>
    <col min="15" max="16384" width="9.140625" style="723"/>
  </cols>
  <sheetData>
    <row r="1" spans="1:25" ht="15.75" customHeight="1">
      <c r="A1" s="1558" t="s">
        <v>653</v>
      </c>
      <c r="B1" s="1558"/>
      <c r="C1" s="1558"/>
      <c r="D1" s="1558"/>
      <c r="E1" s="1558"/>
      <c r="F1" s="1558"/>
      <c r="G1" s="1558"/>
      <c r="H1" s="1558"/>
      <c r="I1" s="1558"/>
      <c r="J1" s="1558"/>
      <c r="K1" s="1558"/>
      <c r="L1" s="1558"/>
      <c r="M1" s="1558"/>
      <c r="N1" s="1558"/>
    </row>
    <row r="2" spans="1:25" ht="16.5" customHeight="1">
      <c r="A2" s="1413" t="str">
        <f>CONCATENATE(" Students by sex in different type of Special and Non-formal Educational Institutions in the district of ",District!A1)</f>
        <v xml:space="preserve"> Students by sex in different type of Special and Non-formal Educational Institutions in the district of Purulia</v>
      </c>
      <c r="B2" s="1413"/>
      <c r="C2" s="1413"/>
      <c r="D2" s="1413"/>
      <c r="E2" s="1413"/>
      <c r="F2" s="1413"/>
      <c r="G2" s="1413"/>
      <c r="H2" s="1413"/>
      <c r="I2" s="1413"/>
      <c r="J2" s="1413"/>
      <c r="K2" s="1413"/>
      <c r="L2" s="1413"/>
      <c r="M2" s="1413"/>
      <c r="N2" s="1413"/>
    </row>
    <row r="3" spans="1:25" ht="11.25" customHeight="1">
      <c r="A3" s="1565"/>
      <c r="B3" s="1565"/>
      <c r="C3" s="1565"/>
      <c r="D3" s="1565"/>
      <c r="E3" s="1565"/>
      <c r="F3" s="1565"/>
      <c r="G3" s="1565"/>
      <c r="H3" s="1565"/>
      <c r="I3" s="1565"/>
      <c r="J3" s="1565"/>
      <c r="K3" s="1565"/>
      <c r="L3" s="1565"/>
      <c r="M3" s="1565"/>
      <c r="N3" s="778" t="s">
        <v>1058</v>
      </c>
    </row>
    <row r="4" spans="1:25" ht="15.95" customHeight="1">
      <c r="A4" s="1403" t="s">
        <v>800</v>
      </c>
      <c r="B4" s="1513"/>
      <c r="C4" s="1513"/>
      <c r="D4" s="1404"/>
      <c r="E4" s="1400" t="s">
        <v>951</v>
      </c>
      <c r="F4" s="1400"/>
      <c r="G4" s="1400"/>
      <c r="H4" s="1400"/>
      <c r="I4" s="1400"/>
      <c r="J4" s="1400"/>
      <c r="K4" s="1400"/>
      <c r="L4" s="1400"/>
      <c r="M4" s="1400"/>
      <c r="N4" s="1401"/>
    </row>
    <row r="5" spans="1:25" ht="15.95" customHeight="1">
      <c r="A5" s="1390"/>
      <c r="B5" s="1487"/>
      <c r="C5" s="1487"/>
      <c r="D5" s="1391"/>
      <c r="E5" s="1407" t="s">
        <v>1526</v>
      </c>
      <c r="F5" s="1401"/>
      <c r="G5" s="1407" t="s">
        <v>1525</v>
      </c>
      <c r="H5" s="1401"/>
      <c r="I5" s="1407" t="s">
        <v>1051</v>
      </c>
      <c r="J5" s="1401"/>
      <c r="K5" s="1407" t="s">
        <v>1250</v>
      </c>
      <c r="L5" s="1573"/>
      <c r="M5" s="1407" t="s">
        <v>527</v>
      </c>
      <c r="N5" s="1573"/>
    </row>
    <row r="6" spans="1:25" ht="15.95" customHeight="1">
      <c r="A6" s="1405"/>
      <c r="B6" s="1486"/>
      <c r="C6" s="1486"/>
      <c r="D6" s="1406"/>
      <c r="E6" s="725" t="s">
        <v>1070</v>
      </c>
      <c r="F6" s="728" t="s">
        <v>1071</v>
      </c>
      <c r="G6" s="725" t="s">
        <v>1070</v>
      </c>
      <c r="H6" s="728" t="s">
        <v>1071</v>
      </c>
      <c r="I6" s="727" t="s">
        <v>1070</v>
      </c>
      <c r="J6" s="728" t="s">
        <v>1071</v>
      </c>
      <c r="K6" s="725" t="s">
        <v>1070</v>
      </c>
      <c r="L6" s="728" t="s">
        <v>1071</v>
      </c>
      <c r="M6" s="727" t="s">
        <v>1070</v>
      </c>
      <c r="N6" s="728" t="s">
        <v>1071</v>
      </c>
    </row>
    <row r="7" spans="1:25" ht="15.95" customHeight="1">
      <c r="A7" s="1395" t="s">
        <v>1008</v>
      </c>
      <c r="B7" s="1485"/>
      <c r="C7" s="1485"/>
      <c r="D7" s="1396"/>
      <c r="E7" s="790" t="s">
        <v>1009</v>
      </c>
      <c r="F7" s="729" t="s">
        <v>1010</v>
      </c>
      <c r="G7" s="790" t="s">
        <v>1011</v>
      </c>
      <c r="H7" s="729" t="s">
        <v>1015</v>
      </c>
      <c r="I7" s="741" t="s">
        <v>1016</v>
      </c>
      <c r="J7" s="729" t="s">
        <v>1017</v>
      </c>
      <c r="K7" s="790" t="s">
        <v>1039</v>
      </c>
      <c r="L7" s="729" t="s">
        <v>1040</v>
      </c>
      <c r="M7" s="741" t="s">
        <v>1041</v>
      </c>
      <c r="N7" s="729" t="s">
        <v>1042</v>
      </c>
    </row>
    <row r="8" spans="1:25" ht="18" customHeight="1">
      <c r="A8" s="491">
        <v>1</v>
      </c>
      <c r="B8" s="1563" t="s">
        <v>1285</v>
      </c>
      <c r="C8" s="1563"/>
      <c r="D8" s="1564"/>
      <c r="E8" s="804">
        <v>10379</v>
      </c>
      <c r="F8" s="804">
        <v>11137</v>
      </c>
      <c r="G8" s="804">
        <v>10319</v>
      </c>
      <c r="H8" s="804">
        <v>11054</v>
      </c>
      <c r="I8" s="804">
        <v>10439</v>
      </c>
      <c r="J8" s="804">
        <v>11232</v>
      </c>
      <c r="K8" s="804">
        <v>10267</v>
      </c>
      <c r="L8" s="804">
        <v>10804</v>
      </c>
      <c r="M8" s="804">
        <v>8521</v>
      </c>
      <c r="N8" s="804">
        <v>8934</v>
      </c>
    </row>
    <row r="9" spans="1:25" ht="18" customHeight="1">
      <c r="A9" s="126">
        <v>2</v>
      </c>
      <c r="B9" s="1454" t="s">
        <v>524</v>
      </c>
      <c r="C9" s="1561"/>
      <c r="D9" s="1461"/>
      <c r="E9" s="804">
        <v>9891</v>
      </c>
      <c r="F9" s="804">
        <v>9351</v>
      </c>
      <c r="G9" s="804">
        <v>9834</v>
      </c>
      <c r="H9" s="804">
        <v>9836</v>
      </c>
      <c r="I9" s="804">
        <v>9642</v>
      </c>
      <c r="J9" s="804">
        <v>10192</v>
      </c>
      <c r="K9" s="804">
        <v>8450</v>
      </c>
      <c r="L9" s="804">
        <v>9430</v>
      </c>
      <c r="M9" s="804">
        <v>7793</v>
      </c>
      <c r="N9" s="804">
        <v>8670</v>
      </c>
      <c r="R9" s="875"/>
      <c r="S9" s="875"/>
      <c r="T9" s="875"/>
      <c r="U9" s="875"/>
      <c r="V9" s="875"/>
      <c r="W9" s="875"/>
      <c r="X9" s="875"/>
      <c r="Y9" s="875"/>
    </row>
    <row r="10" spans="1:25" ht="18" customHeight="1">
      <c r="A10" s="126">
        <v>3</v>
      </c>
      <c r="B10" s="1561" t="s">
        <v>1286</v>
      </c>
      <c r="C10" s="1561"/>
      <c r="D10" s="1461"/>
      <c r="E10" s="804" t="s">
        <v>57</v>
      </c>
      <c r="F10" s="804" t="s">
        <v>57</v>
      </c>
      <c r="G10" s="804" t="s">
        <v>57</v>
      </c>
      <c r="H10" s="804" t="s">
        <v>57</v>
      </c>
      <c r="I10" s="804" t="s">
        <v>57</v>
      </c>
      <c r="J10" s="804" t="s">
        <v>57</v>
      </c>
      <c r="K10" s="804" t="s">
        <v>57</v>
      </c>
      <c r="L10" s="804" t="s">
        <v>57</v>
      </c>
      <c r="M10" s="229" t="s">
        <v>57</v>
      </c>
      <c r="N10" s="229" t="s">
        <v>57</v>
      </c>
    </row>
    <row r="11" spans="1:25" ht="18" customHeight="1">
      <c r="A11" s="126">
        <v>4</v>
      </c>
      <c r="B11" s="1561" t="s">
        <v>536</v>
      </c>
      <c r="C11" s="1561"/>
      <c r="D11" s="1461"/>
      <c r="E11" s="804">
        <v>706</v>
      </c>
      <c r="F11" s="804">
        <v>542</v>
      </c>
      <c r="G11" s="804">
        <v>691</v>
      </c>
      <c r="H11" s="804">
        <v>593</v>
      </c>
      <c r="I11" s="804">
        <v>534</v>
      </c>
      <c r="J11" s="804">
        <v>446</v>
      </c>
      <c r="K11" s="804">
        <v>465</v>
      </c>
      <c r="L11" s="804">
        <v>398</v>
      </c>
      <c r="M11" s="804">
        <v>460</v>
      </c>
      <c r="N11" s="804">
        <v>410</v>
      </c>
    </row>
    <row r="12" spans="1:25" ht="18" customHeight="1">
      <c r="A12" s="126">
        <v>5</v>
      </c>
      <c r="B12" s="1561" t="s">
        <v>146</v>
      </c>
      <c r="C12" s="1561"/>
      <c r="D12" s="1461"/>
      <c r="E12" s="804">
        <v>49</v>
      </c>
      <c r="F12" s="804">
        <v>18</v>
      </c>
      <c r="G12" s="804">
        <v>41</v>
      </c>
      <c r="H12" s="804">
        <v>14</v>
      </c>
      <c r="I12" s="804">
        <v>49</v>
      </c>
      <c r="J12" s="804">
        <v>20</v>
      </c>
      <c r="K12" s="804">
        <v>59</v>
      </c>
      <c r="L12" s="804">
        <v>18</v>
      </c>
      <c r="M12" s="804">
        <v>54</v>
      </c>
      <c r="N12" s="804">
        <v>24</v>
      </c>
    </row>
    <row r="13" spans="1:25" ht="18" customHeight="1">
      <c r="A13" s="126">
        <v>6</v>
      </c>
      <c r="B13" s="1561" t="s">
        <v>1296</v>
      </c>
      <c r="C13" s="1561"/>
      <c r="D13" s="1461"/>
      <c r="E13" s="804">
        <v>210</v>
      </c>
      <c r="F13" s="804">
        <v>210</v>
      </c>
      <c r="G13" s="804">
        <v>204</v>
      </c>
      <c r="H13" s="804">
        <v>213</v>
      </c>
      <c r="I13" s="804">
        <v>181</v>
      </c>
      <c r="J13" s="804">
        <v>196</v>
      </c>
      <c r="K13" s="804">
        <v>179</v>
      </c>
      <c r="L13" s="804">
        <v>182</v>
      </c>
      <c r="M13" s="804">
        <v>170</v>
      </c>
      <c r="N13" s="804">
        <v>170</v>
      </c>
    </row>
    <row r="14" spans="1:25" ht="26.25" customHeight="1">
      <c r="A14" s="126">
        <v>7</v>
      </c>
      <c r="B14" s="1552" t="s">
        <v>544</v>
      </c>
      <c r="C14" s="1552"/>
      <c r="D14" s="1553"/>
      <c r="E14" s="804">
        <v>156</v>
      </c>
      <c r="F14" s="804">
        <v>78</v>
      </c>
      <c r="G14" s="804">
        <v>147</v>
      </c>
      <c r="H14" s="804">
        <v>66</v>
      </c>
      <c r="I14" s="804">
        <v>151</v>
      </c>
      <c r="J14" s="804">
        <v>79</v>
      </c>
      <c r="K14" s="804">
        <v>142</v>
      </c>
      <c r="L14" s="804">
        <v>77</v>
      </c>
      <c r="M14" s="804">
        <v>150</v>
      </c>
      <c r="N14" s="804">
        <v>82</v>
      </c>
    </row>
    <row r="15" spans="1:25" ht="18" customHeight="1">
      <c r="A15" s="126">
        <v>8</v>
      </c>
      <c r="B15" s="1561" t="s">
        <v>1339</v>
      </c>
      <c r="C15" s="1561"/>
      <c r="D15" s="1461"/>
      <c r="E15" s="804">
        <v>449</v>
      </c>
      <c r="F15" s="804">
        <v>396</v>
      </c>
      <c r="G15" s="804">
        <v>645</v>
      </c>
      <c r="H15" s="804">
        <v>514</v>
      </c>
      <c r="I15" s="804">
        <v>478</v>
      </c>
      <c r="J15" s="804">
        <v>271</v>
      </c>
      <c r="K15" s="804">
        <v>443</v>
      </c>
      <c r="L15" s="804">
        <v>246</v>
      </c>
      <c r="M15" s="804">
        <v>384</v>
      </c>
      <c r="N15" s="804">
        <v>307</v>
      </c>
    </row>
    <row r="16" spans="1:25" ht="18" customHeight="1">
      <c r="A16" s="126">
        <v>9</v>
      </c>
      <c r="B16" s="1561" t="s">
        <v>1340</v>
      </c>
      <c r="C16" s="1561"/>
      <c r="D16" s="1461"/>
      <c r="E16" s="804">
        <v>56828</v>
      </c>
      <c r="F16" s="804">
        <v>55883</v>
      </c>
      <c r="G16" s="804">
        <v>61578</v>
      </c>
      <c r="H16" s="804">
        <v>59962</v>
      </c>
      <c r="I16" s="804">
        <v>75227</v>
      </c>
      <c r="J16" s="804">
        <v>71549</v>
      </c>
      <c r="K16" s="804">
        <v>60019</v>
      </c>
      <c r="L16" s="804">
        <v>57707</v>
      </c>
      <c r="M16" s="804">
        <v>67494</v>
      </c>
      <c r="N16" s="804">
        <v>65391</v>
      </c>
    </row>
    <row r="17" spans="1:14" ht="18" customHeight="1">
      <c r="A17" s="126">
        <v>10</v>
      </c>
      <c r="B17" s="1561" t="s">
        <v>428</v>
      </c>
      <c r="C17" s="1561"/>
      <c r="D17" s="1461"/>
      <c r="E17" s="804" t="s">
        <v>57</v>
      </c>
      <c r="F17" s="804" t="s">
        <v>57</v>
      </c>
      <c r="G17" s="804" t="s">
        <v>57</v>
      </c>
      <c r="H17" s="804" t="s">
        <v>57</v>
      </c>
      <c r="I17" s="804" t="s">
        <v>57</v>
      </c>
      <c r="J17" s="804" t="s">
        <v>57</v>
      </c>
      <c r="K17" s="804" t="s">
        <v>57</v>
      </c>
      <c r="L17" s="804" t="s">
        <v>57</v>
      </c>
      <c r="M17" s="229" t="s">
        <v>57</v>
      </c>
      <c r="N17" s="229" t="s">
        <v>57</v>
      </c>
    </row>
    <row r="18" spans="1:14" ht="50.25" customHeight="1">
      <c r="A18" s="1036">
        <v>11</v>
      </c>
      <c r="B18" s="1552" t="s">
        <v>537</v>
      </c>
      <c r="C18" s="1552"/>
      <c r="D18" s="1553"/>
      <c r="E18" s="804" t="s">
        <v>57</v>
      </c>
      <c r="F18" s="804">
        <v>9</v>
      </c>
      <c r="G18" s="804" t="s">
        <v>57</v>
      </c>
      <c r="H18" s="804">
        <v>9</v>
      </c>
      <c r="I18" s="804" t="s">
        <v>57</v>
      </c>
      <c r="J18" s="804">
        <v>8</v>
      </c>
      <c r="K18" s="804" t="s">
        <v>57</v>
      </c>
      <c r="L18" s="804">
        <v>8</v>
      </c>
      <c r="M18" s="229" t="s">
        <v>57</v>
      </c>
      <c r="N18" s="804">
        <v>7</v>
      </c>
    </row>
    <row r="19" spans="1:14" ht="18" customHeight="1">
      <c r="A19" s="126">
        <v>12</v>
      </c>
      <c r="B19" s="1561" t="s">
        <v>996</v>
      </c>
      <c r="C19" s="1561"/>
      <c r="D19" s="1461"/>
      <c r="E19" s="804">
        <v>1158</v>
      </c>
      <c r="F19" s="804">
        <v>1654</v>
      </c>
      <c r="G19" s="804">
        <v>841</v>
      </c>
      <c r="H19" s="804">
        <v>1385</v>
      </c>
      <c r="I19" s="804">
        <v>832</v>
      </c>
      <c r="J19" s="804">
        <v>1456</v>
      </c>
      <c r="K19" s="804">
        <v>479</v>
      </c>
      <c r="L19" s="804">
        <v>1293</v>
      </c>
      <c r="M19" s="804">
        <v>483</v>
      </c>
      <c r="N19" s="804">
        <v>1240</v>
      </c>
    </row>
    <row r="20" spans="1:14" ht="18" customHeight="1">
      <c r="A20" s="1004"/>
      <c r="B20" s="999" t="s">
        <v>1035</v>
      </c>
      <c r="C20" s="1000"/>
      <c r="D20" s="1037"/>
      <c r="E20" s="735">
        <f t="shared" ref="E20:N20" si="0">SUM(E8:E19)</f>
        <v>79826</v>
      </c>
      <c r="F20" s="735">
        <f t="shared" si="0"/>
        <v>79278</v>
      </c>
      <c r="G20" s="735">
        <f t="shared" si="0"/>
        <v>84300</v>
      </c>
      <c r="H20" s="735">
        <f t="shared" si="0"/>
        <v>83646</v>
      </c>
      <c r="I20" s="735">
        <f t="shared" si="0"/>
        <v>97533</v>
      </c>
      <c r="J20" s="735">
        <f t="shared" si="0"/>
        <v>95449</v>
      </c>
      <c r="K20" s="735">
        <f t="shared" si="0"/>
        <v>80503</v>
      </c>
      <c r="L20" s="735">
        <f t="shared" si="0"/>
        <v>80163</v>
      </c>
      <c r="M20" s="735">
        <f t="shared" si="0"/>
        <v>85509</v>
      </c>
      <c r="N20" s="735">
        <f t="shared" si="0"/>
        <v>85235</v>
      </c>
    </row>
    <row r="21" spans="1:14">
      <c r="A21" s="926"/>
      <c r="B21" s="926"/>
      <c r="C21" s="926"/>
      <c r="D21" s="926"/>
      <c r="E21" s="926"/>
      <c r="F21" s="926"/>
      <c r="H21" s="5"/>
      <c r="I21" s="549" t="s">
        <v>1344</v>
      </c>
      <c r="J21" s="553" t="s">
        <v>1349</v>
      </c>
      <c r="K21" s="553"/>
      <c r="L21" s="113"/>
      <c r="M21" s="113"/>
      <c r="N21" s="113"/>
    </row>
    <row r="22" spans="1:14">
      <c r="A22" s="926"/>
      <c r="B22" s="926"/>
      <c r="C22" s="926"/>
      <c r="D22" s="926"/>
      <c r="E22" s="926"/>
      <c r="F22" s="926"/>
      <c r="H22" s="5"/>
      <c r="I22" s="553"/>
      <c r="J22" s="553" t="s">
        <v>1346</v>
      </c>
      <c r="K22" s="553"/>
      <c r="L22" s="113"/>
      <c r="M22" s="113"/>
      <c r="N22" s="113"/>
    </row>
    <row r="23" spans="1:14">
      <c r="A23" s="926"/>
      <c r="B23" s="926"/>
      <c r="C23" s="926"/>
      <c r="D23" s="926"/>
      <c r="E23" s="926"/>
      <c r="F23" s="926"/>
      <c r="H23" s="5"/>
      <c r="I23" s="553"/>
      <c r="J23" s="553" t="s">
        <v>546</v>
      </c>
      <c r="K23" s="553"/>
      <c r="L23" s="113"/>
      <c r="M23" s="113"/>
      <c r="N23" s="113"/>
    </row>
    <row r="24" spans="1:14">
      <c r="A24" s="926"/>
      <c r="B24" s="926"/>
      <c r="C24" s="926"/>
      <c r="D24" s="926"/>
      <c r="E24" s="926"/>
      <c r="F24" s="926"/>
      <c r="H24" s="5"/>
      <c r="I24" s="553"/>
      <c r="J24" s="553" t="s">
        <v>1347</v>
      </c>
      <c r="K24" s="553"/>
      <c r="L24" s="113"/>
      <c r="M24" s="113"/>
      <c r="N24" s="113"/>
    </row>
    <row r="25" spans="1:14">
      <c r="A25" s="926"/>
      <c r="B25" s="926"/>
      <c r="C25" s="926"/>
      <c r="D25" s="926"/>
      <c r="E25" s="926"/>
      <c r="F25" s="926"/>
      <c r="H25" s="5"/>
      <c r="I25" s="553"/>
      <c r="J25" s="553" t="s">
        <v>1350</v>
      </c>
      <c r="K25" s="553"/>
      <c r="L25" s="113"/>
      <c r="M25" s="113"/>
      <c r="N25" s="113"/>
    </row>
    <row r="26" spans="1:14">
      <c r="A26" s="926"/>
      <c r="B26" s="926"/>
      <c r="C26" s="926"/>
      <c r="D26" s="926"/>
      <c r="E26" s="926"/>
      <c r="F26" s="926"/>
      <c r="H26" s="5"/>
      <c r="I26" s="553"/>
      <c r="J26" s="553" t="s">
        <v>1348</v>
      </c>
      <c r="K26" s="553"/>
      <c r="L26" s="113"/>
      <c r="M26" s="113"/>
      <c r="N26" s="113"/>
    </row>
    <row r="27" spans="1:14">
      <c r="A27" s="926"/>
      <c r="B27" s="926"/>
      <c r="C27" s="926"/>
      <c r="D27" s="926"/>
      <c r="E27" s="926"/>
      <c r="F27" s="926"/>
      <c r="H27" s="5"/>
      <c r="I27" s="553"/>
      <c r="J27" s="553" t="s">
        <v>1013</v>
      </c>
      <c r="K27" s="553"/>
      <c r="L27" s="113"/>
      <c r="M27" s="113"/>
      <c r="N27" s="113"/>
    </row>
    <row r="28" spans="1:14">
      <c r="A28" s="926"/>
      <c r="B28" s="926"/>
      <c r="C28" s="926"/>
      <c r="D28" s="926"/>
      <c r="E28" s="926"/>
      <c r="F28" s="926"/>
      <c r="H28" s="5"/>
      <c r="I28" s="553"/>
      <c r="J28" s="553" t="s">
        <v>1351</v>
      </c>
      <c r="K28" s="553"/>
      <c r="L28" s="113"/>
      <c r="M28" s="113"/>
      <c r="N28" s="113"/>
    </row>
    <row r="29" spans="1:14">
      <c r="A29" s="926"/>
      <c r="B29" s="926"/>
      <c r="C29" s="926"/>
      <c r="D29" s="926"/>
      <c r="E29" s="926"/>
      <c r="F29" s="926"/>
      <c r="H29" s="5"/>
      <c r="I29" s="553"/>
      <c r="J29" s="553" t="s">
        <v>1132</v>
      </c>
      <c r="K29" s="553"/>
      <c r="L29" s="113"/>
      <c r="M29" s="113"/>
      <c r="N29" s="113"/>
    </row>
    <row r="30" spans="1:14">
      <c r="A30" s="926"/>
      <c r="B30" s="926"/>
      <c r="C30" s="926"/>
      <c r="D30" s="926"/>
      <c r="E30" s="926"/>
      <c r="F30" s="926"/>
      <c r="H30" s="5"/>
      <c r="I30" s="37"/>
      <c r="J30" s="37"/>
      <c r="K30" s="37"/>
      <c r="L30" s="37"/>
      <c r="M30" s="37"/>
      <c r="N30" s="37"/>
    </row>
    <row r="31" spans="1:14">
      <c r="A31" s="926"/>
      <c r="B31" s="926"/>
      <c r="C31" s="926"/>
      <c r="D31" s="926"/>
      <c r="E31" s="926"/>
      <c r="F31" s="926"/>
      <c r="G31" s="926"/>
      <c r="H31" s="37"/>
      <c r="I31" s="37"/>
      <c r="J31" s="37"/>
      <c r="K31" s="37"/>
      <c r="L31" s="37"/>
      <c r="M31" s="37"/>
      <c r="N31" s="37"/>
    </row>
    <row r="32" spans="1:14">
      <c r="A32" s="926"/>
      <c r="B32" s="926"/>
      <c r="C32" s="926"/>
      <c r="D32" s="926"/>
      <c r="E32" s="926"/>
      <c r="F32" s="926"/>
      <c r="G32" s="926"/>
      <c r="H32" s="926"/>
      <c r="I32" s="926"/>
      <c r="J32" s="926"/>
      <c r="K32" s="926"/>
      <c r="L32" s="926"/>
      <c r="M32" s="926"/>
      <c r="N32" s="926"/>
    </row>
    <row r="33" spans="1:14">
      <c r="A33" s="926"/>
      <c r="B33" s="926"/>
      <c r="C33" s="926"/>
      <c r="D33" s="926"/>
      <c r="E33" s="926"/>
      <c r="F33" s="926"/>
      <c r="G33" s="926"/>
      <c r="H33" s="926"/>
      <c r="I33" s="926"/>
      <c r="J33" s="926"/>
      <c r="K33" s="926"/>
      <c r="L33" s="926"/>
      <c r="M33" s="926"/>
      <c r="N33" s="926"/>
    </row>
    <row r="34" spans="1:14">
      <c r="E34" s="926"/>
      <c r="F34" s="926"/>
      <c r="G34" s="926"/>
      <c r="H34" s="926"/>
      <c r="I34" s="926"/>
      <c r="J34" s="926"/>
    </row>
    <row r="35" spans="1:14">
      <c r="E35" s="926"/>
      <c r="F35" s="37"/>
      <c r="G35" s="926"/>
      <c r="H35" s="926"/>
      <c r="I35" s="926"/>
      <c r="J35" s="926"/>
    </row>
    <row r="36" spans="1:14">
      <c r="E36" s="926"/>
      <c r="F36" s="926"/>
      <c r="G36" s="926"/>
      <c r="H36" s="926"/>
      <c r="I36" s="926"/>
      <c r="J36" s="926"/>
    </row>
    <row r="37" spans="1:14">
      <c r="E37" s="926"/>
      <c r="F37" s="926"/>
      <c r="G37" s="926"/>
      <c r="H37" s="926"/>
      <c r="I37" s="926"/>
      <c r="J37" s="926"/>
    </row>
  </sheetData>
  <mergeCells count="23">
    <mergeCell ref="B13:D13"/>
    <mergeCell ref="B14:D14"/>
    <mergeCell ref="B19:D19"/>
    <mergeCell ref="B15:D15"/>
    <mergeCell ref="B16:D16"/>
    <mergeCell ref="B17:D17"/>
    <mergeCell ref="B18:D18"/>
    <mergeCell ref="B12:D12"/>
    <mergeCell ref="B10:D10"/>
    <mergeCell ref="B11:D11"/>
    <mergeCell ref="A1:N1"/>
    <mergeCell ref="A2:N2"/>
    <mergeCell ref="A7:D7"/>
    <mergeCell ref="B8:D8"/>
    <mergeCell ref="E5:F5"/>
    <mergeCell ref="G5:H5"/>
    <mergeCell ref="E4:N4"/>
    <mergeCell ref="A3:M3"/>
    <mergeCell ref="B9:D9"/>
    <mergeCell ref="M5:N5"/>
    <mergeCell ref="I5:J5"/>
    <mergeCell ref="K5:L5"/>
    <mergeCell ref="A4:D6"/>
  </mergeCells>
  <phoneticPr fontId="0" type="noConversion"/>
  <printOptions horizontalCentered="1" verticalCentered="1"/>
  <pageMargins left="0.35" right="0.35" top="0.2" bottom="0.1" header="0.15" footer="0.1"/>
  <pageSetup paperSize="9" orientation="landscape" blackAndWhite="1" r:id="rId1"/>
  <headerFooter alignWithMargins="0"/>
</worksheet>
</file>

<file path=xl/worksheets/sheet33.xml><?xml version="1.0" encoding="utf-8"?>
<worksheet xmlns="http://schemas.openxmlformats.org/spreadsheetml/2006/main" xmlns:r="http://schemas.openxmlformats.org/officeDocument/2006/relationships">
  <sheetPr codeName="Sheet32"/>
  <dimension ref="A1:I42"/>
  <sheetViews>
    <sheetView topLeftCell="A10" workbookViewId="0">
      <selection activeCell="F14" sqref="F14"/>
    </sheetView>
  </sheetViews>
  <sheetFormatPr defaultRowHeight="12.75"/>
  <cols>
    <col min="1" max="2" width="2.85546875" style="723" customWidth="1"/>
    <col min="3" max="3" width="2.28515625" style="723" customWidth="1"/>
    <col min="4" max="4" width="47.5703125" style="723" customWidth="1"/>
    <col min="5" max="9" width="13.7109375" style="723" customWidth="1"/>
    <col min="10" max="16384" width="9.140625" style="723"/>
  </cols>
  <sheetData>
    <row r="1" spans="1:9" ht="13.5" customHeight="1">
      <c r="A1" s="1399" t="s">
        <v>654</v>
      </c>
      <c r="B1" s="1399"/>
      <c r="C1" s="1399"/>
      <c r="D1" s="1399"/>
      <c r="E1" s="1399"/>
      <c r="F1" s="1399"/>
      <c r="G1" s="1399"/>
      <c r="H1" s="1399"/>
      <c r="I1" s="1399"/>
    </row>
    <row r="2" spans="1:9" ht="17.25" customHeight="1">
      <c r="A2" s="1413" t="str">
        <f>CONCATENATE("Teachers in different type of General Educational Institutions in the district of ",District!A1)</f>
        <v>Teachers in different type of General Educational Institutions in the district of Purulia</v>
      </c>
      <c r="B2" s="1413"/>
      <c r="C2" s="1413"/>
      <c r="D2" s="1413"/>
      <c r="E2" s="1413"/>
      <c r="F2" s="1413"/>
      <c r="G2" s="1413"/>
      <c r="H2" s="1413"/>
      <c r="I2" s="1413"/>
    </row>
    <row r="3" spans="1:9" ht="11.25" customHeight="1">
      <c r="A3" s="1565"/>
      <c r="B3" s="1565"/>
      <c r="C3" s="1565"/>
      <c r="D3" s="1565"/>
      <c r="E3" s="1565"/>
      <c r="F3" s="1565"/>
      <c r="G3" s="1565"/>
      <c r="H3" s="1565"/>
      <c r="I3" s="738" t="s">
        <v>1058</v>
      </c>
    </row>
    <row r="4" spans="1:9" ht="14.25" customHeight="1">
      <c r="A4" s="1403" t="s">
        <v>800</v>
      </c>
      <c r="B4" s="1513"/>
      <c r="C4" s="1513"/>
      <c r="D4" s="1404"/>
      <c r="E4" s="1407" t="s">
        <v>951</v>
      </c>
      <c r="F4" s="1400"/>
      <c r="G4" s="1400"/>
      <c r="H4" s="1400"/>
      <c r="I4" s="1401"/>
    </row>
    <row r="5" spans="1:9" ht="14.25" customHeight="1">
      <c r="A5" s="1405"/>
      <c r="B5" s="1486"/>
      <c r="C5" s="1486"/>
      <c r="D5" s="1406"/>
      <c r="E5" s="124" t="s">
        <v>1526</v>
      </c>
      <c r="F5" s="124" t="s">
        <v>1525</v>
      </c>
      <c r="G5" s="124" t="s">
        <v>1051</v>
      </c>
      <c r="H5" s="728" t="s">
        <v>1250</v>
      </c>
      <c r="I5" s="728" t="s">
        <v>527</v>
      </c>
    </row>
    <row r="6" spans="1:9" ht="14.25" customHeight="1">
      <c r="A6" s="1395" t="s">
        <v>1008</v>
      </c>
      <c r="B6" s="1485"/>
      <c r="C6" s="1485"/>
      <c r="D6" s="1485"/>
      <c r="E6" s="741" t="s">
        <v>1009</v>
      </c>
      <c r="F6" s="729" t="s">
        <v>1010</v>
      </c>
      <c r="G6" s="790" t="s">
        <v>1011</v>
      </c>
      <c r="H6" s="729" t="s">
        <v>1015</v>
      </c>
      <c r="I6" s="742" t="s">
        <v>1016</v>
      </c>
    </row>
    <row r="7" spans="1:9" ht="13.5" customHeight="1">
      <c r="A7" s="867">
        <v>1</v>
      </c>
      <c r="B7" s="1587" t="s">
        <v>567</v>
      </c>
      <c r="C7" s="1559"/>
      <c r="D7" s="1588"/>
      <c r="E7" s="765">
        <f>SUM(E8,E13,E18,E23)</f>
        <v>12472</v>
      </c>
      <c r="F7" s="765">
        <f>SUM(F8,F13,F18,F23)</f>
        <v>13750</v>
      </c>
      <c r="G7" s="765">
        <f>SUM(G8,G13,G18,G23)</f>
        <v>14197</v>
      </c>
      <c r="H7" s="765">
        <f>SUM(H8,H13,H18,H23)</f>
        <v>14427</v>
      </c>
      <c r="I7" s="765">
        <f>SUM(I8,I13,I18,I23)</f>
        <v>14802</v>
      </c>
    </row>
    <row r="8" spans="1:9" ht="26.25" customHeight="1">
      <c r="A8" s="776"/>
      <c r="B8" s="1038" t="s">
        <v>1188</v>
      </c>
      <c r="C8" s="1550" t="s">
        <v>468</v>
      </c>
      <c r="D8" s="1551"/>
      <c r="E8" s="440">
        <f>SUM(E9:E12)</f>
        <v>6933</v>
      </c>
      <c r="F8" s="440">
        <f>SUM(F9:F12)</f>
        <v>7817</v>
      </c>
      <c r="G8" s="440">
        <f>SUM(G9:G12)</f>
        <v>7487</v>
      </c>
      <c r="H8" s="440">
        <f>SUM(H9:H12)</f>
        <v>7328</v>
      </c>
      <c r="I8" s="440">
        <f>SUM(I9:I12)</f>
        <v>7181</v>
      </c>
    </row>
    <row r="9" spans="1:9" ht="13.5" customHeight="1">
      <c r="A9" s="776"/>
      <c r="B9" s="590"/>
      <c r="C9" s="902"/>
      <c r="D9" s="591" t="s">
        <v>1185</v>
      </c>
      <c r="E9" s="140">
        <v>6765</v>
      </c>
      <c r="F9" s="140">
        <v>7646</v>
      </c>
      <c r="G9" s="140">
        <v>7317</v>
      </c>
      <c r="H9" s="140">
        <v>7197</v>
      </c>
      <c r="I9" s="140">
        <v>7026</v>
      </c>
    </row>
    <row r="10" spans="1:9" ht="13.5" customHeight="1">
      <c r="A10" s="776"/>
      <c r="B10" s="590"/>
      <c r="C10" s="902"/>
      <c r="D10" s="591" t="s">
        <v>1309</v>
      </c>
      <c r="E10" s="140">
        <v>7</v>
      </c>
      <c r="F10" s="140">
        <v>7</v>
      </c>
      <c r="G10" s="140">
        <v>9</v>
      </c>
      <c r="H10" s="140">
        <v>11</v>
      </c>
      <c r="I10" s="140">
        <v>20</v>
      </c>
    </row>
    <row r="11" spans="1:9" ht="13.5" customHeight="1">
      <c r="A11" s="776"/>
      <c r="B11" s="590"/>
      <c r="C11" s="902"/>
      <c r="D11" s="591" t="s">
        <v>1227</v>
      </c>
      <c r="E11" s="140">
        <v>125</v>
      </c>
      <c r="F11" s="140">
        <v>130</v>
      </c>
      <c r="G11" s="140">
        <v>130</v>
      </c>
      <c r="H11" s="140">
        <v>88</v>
      </c>
      <c r="I11" s="140">
        <v>102</v>
      </c>
    </row>
    <row r="12" spans="1:9" ht="13.5" customHeight="1">
      <c r="A12" s="1039"/>
      <c r="B12" s="590"/>
      <c r="C12" s="902"/>
      <c r="D12" s="591" t="s">
        <v>1310</v>
      </c>
      <c r="E12" s="140">
        <v>36</v>
      </c>
      <c r="F12" s="140">
        <v>34</v>
      </c>
      <c r="G12" s="140">
        <v>31</v>
      </c>
      <c r="H12" s="140">
        <v>32</v>
      </c>
      <c r="I12" s="140">
        <v>33</v>
      </c>
    </row>
    <row r="13" spans="1:9" ht="26.25" customHeight="1">
      <c r="A13" s="776"/>
      <c r="B13" s="1038" t="s">
        <v>1186</v>
      </c>
      <c r="C13" s="1550" t="s">
        <v>472</v>
      </c>
      <c r="D13" s="1551"/>
      <c r="E13" s="440">
        <f>SUM(E14:E17)</f>
        <v>263</v>
      </c>
      <c r="F13" s="440">
        <f>SUM(F14:F17)</f>
        <v>621</v>
      </c>
      <c r="G13" s="440">
        <f>SUM(G14:G17)</f>
        <v>728</v>
      </c>
      <c r="H13" s="440">
        <f>SUM(H14:H17)</f>
        <v>1118</v>
      </c>
      <c r="I13" s="440">
        <f>SUM(I14:I17)</f>
        <v>1181</v>
      </c>
    </row>
    <row r="14" spans="1:9" ht="13.5" customHeight="1">
      <c r="A14" s="776"/>
      <c r="B14" s="590"/>
      <c r="C14" s="225"/>
      <c r="D14" s="591" t="s">
        <v>142</v>
      </c>
      <c r="E14" s="140">
        <v>242</v>
      </c>
      <c r="F14" s="140">
        <v>610</v>
      </c>
      <c r="G14" s="140">
        <v>701</v>
      </c>
      <c r="H14" s="140">
        <v>1086</v>
      </c>
      <c r="I14" s="140">
        <v>1175</v>
      </c>
    </row>
    <row r="15" spans="1:9" ht="13.5" customHeight="1">
      <c r="A15" s="776"/>
      <c r="B15" s="590"/>
      <c r="C15" s="225"/>
      <c r="D15" s="591" t="s">
        <v>1610</v>
      </c>
      <c r="E15" s="140" t="s">
        <v>57</v>
      </c>
      <c r="F15" s="140" t="s">
        <v>57</v>
      </c>
      <c r="G15" s="140">
        <v>3</v>
      </c>
      <c r="H15" s="140">
        <v>2</v>
      </c>
      <c r="I15" s="140">
        <v>6</v>
      </c>
    </row>
    <row r="16" spans="1:9" ht="13.5" customHeight="1">
      <c r="A16" s="1039"/>
      <c r="B16" s="590"/>
      <c r="C16" s="225"/>
      <c r="D16" s="591" t="s">
        <v>1227</v>
      </c>
      <c r="E16" s="140">
        <v>21</v>
      </c>
      <c r="F16" s="140">
        <v>11</v>
      </c>
      <c r="G16" s="140">
        <v>24</v>
      </c>
      <c r="H16" s="140">
        <v>30</v>
      </c>
      <c r="I16" s="140" t="s">
        <v>57</v>
      </c>
    </row>
    <row r="17" spans="1:9" ht="13.5" customHeight="1">
      <c r="A17" s="776"/>
      <c r="B17" s="590"/>
      <c r="C17" s="225"/>
      <c r="D17" s="591" t="s">
        <v>1310</v>
      </c>
      <c r="E17" s="140" t="s">
        <v>57</v>
      </c>
      <c r="F17" s="140" t="s">
        <v>57</v>
      </c>
      <c r="G17" s="140" t="s">
        <v>57</v>
      </c>
      <c r="H17" s="140" t="s">
        <v>57</v>
      </c>
      <c r="I17" s="140" t="s">
        <v>57</v>
      </c>
    </row>
    <row r="18" spans="1:9" ht="27.75" customHeight="1">
      <c r="A18" s="776"/>
      <c r="B18" s="1038" t="s">
        <v>1187</v>
      </c>
      <c r="C18" s="1550" t="s">
        <v>473</v>
      </c>
      <c r="D18" s="1551"/>
      <c r="E18" s="440">
        <f>SUM(E19:E22)</f>
        <v>2038</v>
      </c>
      <c r="F18" s="440">
        <f>SUM(F19:F22)</f>
        <v>1809</v>
      </c>
      <c r="G18" s="440">
        <f>SUM(G19:G22)</f>
        <v>2113</v>
      </c>
      <c r="H18" s="440">
        <f>SUM(H19:H22)</f>
        <v>1071</v>
      </c>
      <c r="I18" s="440">
        <f>SUM(I19:I22)</f>
        <v>936</v>
      </c>
    </row>
    <row r="19" spans="1:9" ht="13.5" customHeight="1">
      <c r="A19" s="1040"/>
      <c r="B19" s="1041"/>
      <c r="C19" s="736"/>
      <c r="D19" s="1012" t="s">
        <v>142</v>
      </c>
      <c r="E19" s="140">
        <v>1970</v>
      </c>
      <c r="F19" s="140">
        <v>1746</v>
      </c>
      <c r="G19" s="140">
        <v>2053</v>
      </c>
      <c r="H19" s="140">
        <v>1016</v>
      </c>
      <c r="I19" s="140">
        <v>859</v>
      </c>
    </row>
    <row r="20" spans="1:9" ht="13.5" customHeight="1">
      <c r="A20" s="1040"/>
      <c r="B20" s="1041"/>
      <c r="C20" s="736"/>
      <c r="D20" s="1012" t="s">
        <v>1611</v>
      </c>
      <c r="E20" s="140">
        <v>47</v>
      </c>
      <c r="F20" s="140">
        <v>42</v>
      </c>
      <c r="G20" s="140">
        <v>40</v>
      </c>
      <c r="H20" s="140">
        <v>15</v>
      </c>
      <c r="I20" s="140">
        <v>15</v>
      </c>
    </row>
    <row r="21" spans="1:9" ht="13.5" customHeight="1">
      <c r="A21" s="1040"/>
      <c r="B21" s="1041"/>
      <c r="C21" s="736"/>
      <c r="D21" s="1012" t="s">
        <v>1227</v>
      </c>
      <c r="E21" s="140">
        <v>21</v>
      </c>
      <c r="F21" s="140">
        <v>21</v>
      </c>
      <c r="G21" s="140">
        <v>20</v>
      </c>
      <c r="H21" s="140">
        <v>40</v>
      </c>
      <c r="I21" s="140">
        <v>62</v>
      </c>
    </row>
    <row r="22" spans="1:9" ht="13.5" customHeight="1">
      <c r="A22" s="1040"/>
      <c r="B22" s="1041"/>
      <c r="C22" s="736"/>
      <c r="D22" s="1012" t="s">
        <v>1310</v>
      </c>
      <c r="E22" s="140" t="s">
        <v>57</v>
      </c>
      <c r="F22" s="140" t="s">
        <v>57</v>
      </c>
      <c r="G22" s="140" t="s">
        <v>57</v>
      </c>
      <c r="H22" s="140" t="s">
        <v>57</v>
      </c>
      <c r="I22" s="140" t="s">
        <v>57</v>
      </c>
    </row>
    <row r="23" spans="1:9" ht="25.5" customHeight="1">
      <c r="A23" s="1040"/>
      <c r="B23" s="1038" t="s">
        <v>1189</v>
      </c>
      <c r="C23" s="1580" t="s">
        <v>474</v>
      </c>
      <c r="D23" s="1581"/>
      <c r="E23" s="440">
        <f>SUM(E24:E28)</f>
        <v>3238</v>
      </c>
      <c r="F23" s="440">
        <f>SUM(F24:F28)</f>
        <v>3503</v>
      </c>
      <c r="G23" s="440">
        <f>SUM(G24:G28)</f>
        <v>3869</v>
      </c>
      <c r="H23" s="440">
        <f>SUM(H24:H28)</f>
        <v>4910</v>
      </c>
      <c r="I23" s="440">
        <f>SUM(I24:I28)</f>
        <v>5504</v>
      </c>
    </row>
    <row r="24" spans="1:9" ht="13.5" customHeight="1">
      <c r="A24" s="1040"/>
      <c r="B24" s="1011"/>
      <c r="C24" s="736"/>
      <c r="D24" s="1012" t="s">
        <v>143</v>
      </c>
      <c r="E24" s="140">
        <v>3010</v>
      </c>
      <c r="F24" s="140">
        <v>3197</v>
      </c>
      <c r="G24" s="140">
        <v>3558</v>
      </c>
      <c r="H24" s="140">
        <v>4556</v>
      </c>
      <c r="I24" s="140">
        <v>5154</v>
      </c>
    </row>
    <row r="25" spans="1:9" ht="13.5" customHeight="1">
      <c r="A25" s="1040"/>
      <c r="B25" s="1011"/>
      <c r="C25" s="736"/>
      <c r="D25" s="1012" t="s">
        <v>144</v>
      </c>
      <c r="E25" s="140">
        <v>6</v>
      </c>
      <c r="F25" s="140">
        <v>8</v>
      </c>
      <c r="G25" s="140">
        <v>9</v>
      </c>
      <c r="H25" s="140">
        <v>9</v>
      </c>
      <c r="I25" s="140">
        <v>5</v>
      </c>
    </row>
    <row r="26" spans="1:9" ht="13.5" customHeight="1">
      <c r="A26" s="1040"/>
      <c r="B26" s="1011"/>
      <c r="C26" s="736"/>
      <c r="D26" s="1012" t="s">
        <v>1227</v>
      </c>
      <c r="E26" s="140">
        <v>115</v>
      </c>
      <c r="F26" s="140">
        <v>164</v>
      </c>
      <c r="G26" s="140">
        <v>162</v>
      </c>
      <c r="H26" s="140">
        <v>197</v>
      </c>
      <c r="I26" s="140">
        <v>190</v>
      </c>
    </row>
    <row r="27" spans="1:9" ht="13.5" customHeight="1">
      <c r="A27" s="1040"/>
      <c r="B27" s="1011"/>
      <c r="C27" s="736"/>
      <c r="D27" s="1012" t="s">
        <v>1310</v>
      </c>
      <c r="E27" s="140">
        <v>82</v>
      </c>
      <c r="F27" s="140">
        <v>79</v>
      </c>
      <c r="G27" s="140">
        <v>79</v>
      </c>
      <c r="H27" s="140">
        <v>76</v>
      </c>
      <c r="I27" s="140">
        <v>84</v>
      </c>
    </row>
    <row r="28" spans="1:9" ht="13.5" customHeight="1">
      <c r="A28" s="1040"/>
      <c r="B28" s="1011"/>
      <c r="C28" s="736"/>
      <c r="D28" s="1012" t="s">
        <v>1260</v>
      </c>
      <c r="E28" s="140">
        <v>25</v>
      </c>
      <c r="F28" s="140">
        <v>55</v>
      </c>
      <c r="G28" s="140">
        <v>61</v>
      </c>
      <c r="H28" s="140">
        <v>72</v>
      </c>
      <c r="I28" s="140">
        <v>71</v>
      </c>
    </row>
    <row r="29" spans="1:9" ht="13.5" customHeight="1">
      <c r="A29" s="1042">
        <v>2</v>
      </c>
      <c r="B29" s="1013" t="s">
        <v>568</v>
      </c>
      <c r="C29" s="1014"/>
      <c r="D29" s="1015"/>
      <c r="E29" s="1043">
        <v>443</v>
      </c>
      <c r="F29" s="1043">
        <v>448</v>
      </c>
      <c r="G29" s="1043">
        <v>437</v>
      </c>
      <c r="H29" s="1043">
        <v>413</v>
      </c>
      <c r="I29" s="1043">
        <v>419</v>
      </c>
    </row>
    <row r="30" spans="1:9" ht="25.5" customHeight="1">
      <c r="A30" s="1044">
        <v>3</v>
      </c>
      <c r="B30" s="1586" t="s">
        <v>1224</v>
      </c>
      <c r="C30" s="1571"/>
      <c r="D30" s="1572"/>
      <c r="E30" s="140" t="s">
        <v>57</v>
      </c>
      <c r="F30" s="140" t="s">
        <v>57</v>
      </c>
      <c r="G30" s="140" t="s">
        <v>73</v>
      </c>
      <c r="H30" s="509">
        <v>52</v>
      </c>
      <c r="I30" s="509">
        <v>52</v>
      </c>
    </row>
    <row r="31" spans="1:9" ht="13.5" customHeight="1">
      <c r="A31" s="1045">
        <v>4</v>
      </c>
      <c r="B31" s="1585" t="s">
        <v>145</v>
      </c>
      <c r="C31" s="1576"/>
      <c r="D31" s="1577"/>
      <c r="E31" s="1046">
        <v>106</v>
      </c>
      <c r="F31" s="1046">
        <v>136</v>
      </c>
      <c r="G31" s="1046">
        <v>106</v>
      </c>
      <c r="H31" s="1046">
        <v>91</v>
      </c>
      <c r="I31" s="1046">
        <v>92</v>
      </c>
    </row>
    <row r="32" spans="1:9" ht="12" customHeight="1">
      <c r="A32" s="540" t="s">
        <v>1398</v>
      </c>
      <c r="B32" s="540"/>
      <c r="C32" s="553"/>
      <c r="D32" s="553"/>
      <c r="E32" s="1047" t="s">
        <v>1469</v>
      </c>
      <c r="F32" s="1048" t="s">
        <v>1222</v>
      </c>
      <c r="G32" s="1049"/>
      <c r="H32" s="1049"/>
      <c r="I32" s="1049"/>
    </row>
    <row r="33" spans="3:9" ht="12" customHeight="1">
      <c r="C33" s="926"/>
      <c r="D33" s="926"/>
      <c r="E33" s="1048"/>
      <c r="F33" s="1048" t="s">
        <v>1223</v>
      </c>
      <c r="G33" s="1049"/>
      <c r="H33" s="1049"/>
      <c r="I33" s="1049"/>
    </row>
    <row r="34" spans="3:9" ht="12" customHeight="1">
      <c r="C34" s="926"/>
      <c r="D34" s="926"/>
      <c r="E34" s="1048"/>
      <c r="F34" s="1050" t="s">
        <v>101</v>
      </c>
      <c r="G34" s="1051"/>
      <c r="H34" s="1051"/>
      <c r="I34" s="1051"/>
    </row>
    <row r="35" spans="3:9" ht="12" customHeight="1">
      <c r="C35" s="926"/>
      <c r="D35" s="926"/>
      <c r="E35" s="1048"/>
      <c r="F35" s="1050" t="s">
        <v>1226</v>
      </c>
      <c r="G35" s="1051"/>
      <c r="H35" s="1051"/>
      <c r="I35" s="1051"/>
    </row>
    <row r="36" spans="3:9" ht="12" customHeight="1">
      <c r="C36" s="926"/>
      <c r="D36" s="926"/>
      <c r="E36" s="1048"/>
      <c r="F36" s="1048" t="s">
        <v>1239</v>
      </c>
      <c r="G36" s="1049"/>
      <c r="H36" s="1049"/>
      <c r="I36" s="1049"/>
    </row>
    <row r="37" spans="3:9" ht="12" customHeight="1">
      <c r="C37" s="926"/>
      <c r="D37" s="926"/>
      <c r="E37" s="1048"/>
      <c r="F37" s="1048" t="s">
        <v>1240</v>
      </c>
      <c r="G37" s="1049"/>
      <c r="H37" s="1049"/>
      <c r="I37" s="1049"/>
    </row>
    <row r="38" spans="3:9" ht="12" customHeight="1">
      <c r="C38" s="926"/>
      <c r="D38" s="926"/>
      <c r="E38" s="1048"/>
      <c r="F38" s="1048" t="s">
        <v>1131</v>
      </c>
      <c r="G38" s="1049"/>
      <c r="H38" s="1049"/>
      <c r="I38" s="1049"/>
    </row>
    <row r="39" spans="3:9">
      <c r="C39" s="926"/>
      <c r="D39" s="926"/>
      <c r="E39" s="37"/>
      <c r="F39" s="37"/>
      <c r="G39" s="37"/>
      <c r="H39" s="37"/>
      <c r="I39" s="37"/>
    </row>
    <row r="40" spans="3:9">
      <c r="C40" s="926"/>
      <c r="D40" s="926"/>
      <c r="E40" s="926"/>
      <c r="F40" s="926"/>
      <c r="G40" s="926"/>
      <c r="H40" s="926"/>
      <c r="I40" s="926"/>
    </row>
    <row r="41" spans="3:9">
      <c r="C41" s="926"/>
      <c r="D41" s="926"/>
      <c r="E41" s="926"/>
      <c r="F41" s="926"/>
      <c r="G41" s="926"/>
      <c r="H41" s="926"/>
      <c r="I41" s="926"/>
    </row>
    <row r="42" spans="3:9">
      <c r="C42" s="926"/>
      <c r="D42" s="926"/>
      <c r="E42" s="926"/>
      <c r="F42" s="926"/>
      <c r="G42" s="926"/>
      <c r="H42" s="926"/>
      <c r="I42" s="926"/>
    </row>
  </sheetData>
  <mergeCells count="13">
    <mergeCell ref="A1:I1"/>
    <mergeCell ref="B7:D7"/>
    <mergeCell ref="A6:D6"/>
    <mergeCell ref="C8:D8"/>
    <mergeCell ref="C23:D23"/>
    <mergeCell ref="B31:D31"/>
    <mergeCell ref="B30:D30"/>
    <mergeCell ref="A2:I2"/>
    <mergeCell ref="E4:I4"/>
    <mergeCell ref="A4:D5"/>
    <mergeCell ref="C13:D13"/>
    <mergeCell ref="C18:D18"/>
    <mergeCell ref="A3:H3"/>
  </mergeCells>
  <phoneticPr fontId="0" type="noConversion"/>
  <printOptions horizontalCentered="1" verticalCentered="1"/>
  <pageMargins left="0.25" right="0.25" top="0.4" bottom="0.14000000000000001" header="0.15" footer="0.14000000000000001"/>
  <pageSetup paperSize="9" orientation="landscape" blackAndWhite="1" r:id="rId1"/>
  <headerFooter alignWithMargins="0"/>
</worksheet>
</file>

<file path=xl/worksheets/sheet34.xml><?xml version="1.0" encoding="utf-8"?>
<worksheet xmlns="http://schemas.openxmlformats.org/spreadsheetml/2006/main" xmlns:r="http://schemas.openxmlformats.org/officeDocument/2006/relationships">
  <sheetPr codeName="Sheet33"/>
  <dimension ref="A1:J45"/>
  <sheetViews>
    <sheetView topLeftCell="A10" workbookViewId="0">
      <selection activeCell="F14" sqref="F14"/>
    </sheetView>
  </sheetViews>
  <sheetFormatPr defaultRowHeight="12.75"/>
  <cols>
    <col min="1" max="1" width="3" style="723" customWidth="1"/>
    <col min="2" max="2" width="3.140625" style="723" customWidth="1"/>
    <col min="3" max="3" width="1.85546875" style="723" customWidth="1"/>
    <col min="4" max="4" width="48.85546875" style="723" customWidth="1"/>
    <col min="5" max="9" width="12.7109375" style="723" customWidth="1"/>
    <col min="10" max="16384" width="9.140625" style="723"/>
  </cols>
  <sheetData>
    <row r="1" spans="1:9" ht="13.5" customHeight="1">
      <c r="A1" s="1558" t="s">
        <v>655</v>
      </c>
      <c r="B1" s="1558"/>
      <c r="C1" s="1558"/>
      <c r="D1" s="1558"/>
      <c r="E1" s="1558"/>
      <c r="F1" s="1558"/>
      <c r="G1" s="1558"/>
      <c r="H1" s="1558"/>
      <c r="I1" s="1558"/>
    </row>
    <row r="2" spans="1:9" ht="30" customHeight="1">
      <c r="A2" s="1467" t="str">
        <f>CONCATENATE("Teachers in different type of Professional &amp; Technical Educational Institutions
 in the district of ",District!A1)</f>
        <v>Teachers in different type of Professional &amp; Technical Educational Institutions
 in the district of Purulia</v>
      </c>
      <c r="B2" s="1467"/>
      <c r="C2" s="1467"/>
      <c r="D2" s="1467"/>
      <c r="E2" s="1467"/>
      <c r="F2" s="1467"/>
      <c r="G2" s="1467"/>
      <c r="H2" s="1467"/>
      <c r="I2" s="1467"/>
    </row>
    <row r="3" spans="1:9" ht="13.5" customHeight="1">
      <c r="A3" s="1565"/>
      <c r="B3" s="1565"/>
      <c r="C3" s="1565"/>
      <c r="D3" s="1565"/>
      <c r="E3" s="1565"/>
      <c r="F3" s="1565"/>
      <c r="G3" s="1565"/>
      <c r="H3" s="1565"/>
      <c r="I3" s="778" t="s">
        <v>1058</v>
      </c>
    </row>
    <row r="4" spans="1:9" ht="12.75" customHeight="1">
      <c r="A4" s="1403" t="s">
        <v>800</v>
      </c>
      <c r="B4" s="1513"/>
      <c r="C4" s="1513"/>
      <c r="D4" s="1404"/>
      <c r="E4" s="1407" t="s">
        <v>951</v>
      </c>
      <c r="F4" s="1400"/>
      <c r="G4" s="1400"/>
      <c r="H4" s="1400"/>
      <c r="I4" s="1401"/>
    </row>
    <row r="5" spans="1:9" ht="13.5" customHeight="1">
      <c r="A5" s="1405"/>
      <c r="B5" s="1486"/>
      <c r="C5" s="1486"/>
      <c r="D5" s="1406"/>
      <c r="E5" s="124" t="s">
        <v>1526</v>
      </c>
      <c r="F5" s="124" t="s">
        <v>1525</v>
      </c>
      <c r="G5" s="124" t="s">
        <v>1051</v>
      </c>
      <c r="H5" s="728" t="s">
        <v>1250</v>
      </c>
      <c r="I5" s="728" t="s">
        <v>527</v>
      </c>
    </row>
    <row r="6" spans="1:9" ht="12.75" customHeight="1">
      <c r="A6" s="1395" t="s">
        <v>1008</v>
      </c>
      <c r="B6" s="1485"/>
      <c r="C6" s="1485"/>
      <c r="D6" s="1485"/>
      <c r="E6" s="729" t="s">
        <v>1009</v>
      </c>
      <c r="F6" s="729" t="s">
        <v>1010</v>
      </c>
      <c r="G6" s="729" t="s">
        <v>1011</v>
      </c>
      <c r="H6" s="742" t="s">
        <v>1015</v>
      </c>
      <c r="I6" s="742" t="s">
        <v>1016</v>
      </c>
    </row>
    <row r="7" spans="1:9" s="5" customFormat="1" ht="12.75" customHeight="1">
      <c r="A7" s="993">
        <v>1</v>
      </c>
      <c r="B7" s="1587" t="s">
        <v>299</v>
      </c>
      <c r="C7" s="1559"/>
      <c r="D7" s="1588"/>
      <c r="E7" s="524">
        <f>SUM(E8,E13)</f>
        <v>77</v>
      </c>
      <c r="F7" s="524">
        <f>SUM(F8,F13)</f>
        <v>91</v>
      </c>
      <c r="G7" s="524">
        <f>SUM(G8,G13)</f>
        <v>106</v>
      </c>
      <c r="H7" s="524">
        <f>SUM(H8,H13)</f>
        <v>99</v>
      </c>
      <c r="I7" s="524">
        <f>SUM(I8,I13)</f>
        <v>115</v>
      </c>
    </row>
    <row r="8" spans="1:9" ht="12.75" customHeight="1">
      <c r="A8" s="985"/>
      <c r="B8" s="590" t="s">
        <v>1188</v>
      </c>
      <c r="C8" s="876" t="s">
        <v>1311</v>
      </c>
      <c r="D8" s="591"/>
      <c r="E8" s="164">
        <f>SUM(E9:E12)</f>
        <v>48</v>
      </c>
      <c r="F8" s="164">
        <f>SUM(F9:F12)</f>
        <v>50</v>
      </c>
      <c r="G8" s="164">
        <f>SUM(G9:G12)</f>
        <v>55</v>
      </c>
      <c r="H8" s="164">
        <f>SUM(H9:H12)</f>
        <v>51</v>
      </c>
      <c r="I8" s="164">
        <v>41</v>
      </c>
    </row>
    <row r="9" spans="1:9" ht="12.75" customHeight="1">
      <c r="A9" s="985"/>
      <c r="B9" s="590"/>
      <c r="C9" s="225"/>
      <c r="D9" s="591" t="s">
        <v>1261</v>
      </c>
      <c r="E9" s="804" t="s">
        <v>57</v>
      </c>
      <c r="F9" s="804" t="s">
        <v>57</v>
      </c>
      <c r="G9" s="804" t="s">
        <v>57</v>
      </c>
      <c r="H9" s="804" t="s">
        <v>57</v>
      </c>
      <c r="I9" s="229" t="s">
        <v>57</v>
      </c>
    </row>
    <row r="10" spans="1:9" ht="12.75" customHeight="1">
      <c r="A10" s="985"/>
      <c r="B10" s="590"/>
      <c r="C10" s="225"/>
      <c r="D10" s="591" t="s">
        <v>686</v>
      </c>
      <c r="E10" s="804" t="s">
        <v>57</v>
      </c>
      <c r="F10" s="804" t="s">
        <v>57</v>
      </c>
      <c r="G10" s="804" t="s">
        <v>57</v>
      </c>
      <c r="H10" s="804" t="s">
        <v>57</v>
      </c>
      <c r="I10" s="229" t="s">
        <v>57</v>
      </c>
    </row>
    <row r="11" spans="1:9" ht="12.75" customHeight="1">
      <c r="A11" s="985"/>
      <c r="B11" s="590"/>
      <c r="C11" s="225"/>
      <c r="D11" s="591" t="s">
        <v>1312</v>
      </c>
      <c r="E11" s="804">
        <v>43</v>
      </c>
      <c r="F11" s="804">
        <v>45</v>
      </c>
      <c r="G11" s="804">
        <v>48</v>
      </c>
      <c r="H11" s="804">
        <v>47</v>
      </c>
      <c r="I11" s="804">
        <v>36</v>
      </c>
    </row>
    <row r="12" spans="1:9" ht="12.75" customHeight="1">
      <c r="A12" s="985"/>
      <c r="B12" s="590"/>
      <c r="C12" s="225"/>
      <c r="D12" s="591" t="s">
        <v>1313</v>
      </c>
      <c r="E12" s="804">
        <v>5</v>
      </c>
      <c r="F12" s="804">
        <v>5</v>
      </c>
      <c r="G12" s="804">
        <v>7</v>
      </c>
      <c r="H12" s="804">
        <v>4</v>
      </c>
      <c r="I12" s="804">
        <v>5</v>
      </c>
    </row>
    <row r="13" spans="1:9">
      <c r="A13" s="1052"/>
      <c r="B13" s="590" t="s">
        <v>1186</v>
      </c>
      <c r="C13" s="876" t="s">
        <v>1262</v>
      </c>
      <c r="D13" s="591"/>
      <c r="E13" s="164">
        <f>SUM(E14:E15)</f>
        <v>29</v>
      </c>
      <c r="F13" s="164">
        <f>SUM(F14:F15)</f>
        <v>41</v>
      </c>
      <c r="G13" s="164">
        <f>SUM(G14:G15)</f>
        <v>51</v>
      </c>
      <c r="H13" s="164">
        <f>SUM(H14:H15)</f>
        <v>48</v>
      </c>
      <c r="I13" s="164">
        <f>SUM(I14:I15)</f>
        <v>74</v>
      </c>
    </row>
    <row r="14" spans="1:9" ht="25.5" customHeight="1">
      <c r="A14" s="985"/>
      <c r="B14" s="590"/>
      <c r="C14" s="902"/>
      <c r="D14" s="1053" t="s">
        <v>1264</v>
      </c>
      <c r="E14" s="804">
        <v>19</v>
      </c>
      <c r="F14" s="804">
        <v>32</v>
      </c>
      <c r="G14" s="804">
        <v>31</v>
      </c>
      <c r="H14" s="804">
        <v>41</v>
      </c>
      <c r="I14" s="804">
        <v>67</v>
      </c>
    </row>
    <row r="15" spans="1:9" ht="12.75" customHeight="1">
      <c r="A15" s="985"/>
      <c r="B15" s="590"/>
      <c r="C15" s="902"/>
      <c r="D15" s="591" t="s">
        <v>1265</v>
      </c>
      <c r="E15" s="804">
        <v>10</v>
      </c>
      <c r="F15" s="804">
        <v>9</v>
      </c>
      <c r="G15" s="804">
        <v>20</v>
      </c>
      <c r="H15" s="804">
        <v>7</v>
      </c>
      <c r="I15" s="804">
        <v>7</v>
      </c>
    </row>
    <row r="16" spans="1:9" ht="26.25" customHeight="1">
      <c r="A16" s="985"/>
      <c r="B16" s="1038" t="s">
        <v>1187</v>
      </c>
      <c r="C16" s="1550" t="s">
        <v>523</v>
      </c>
      <c r="D16" s="1551"/>
      <c r="E16" s="804" t="s">
        <v>57</v>
      </c>
      <c r="F16" s="804" t="s">
        <v>57</v>
      </c>
      <c r="G16" s="804" t="s">
        <v>57</v>
      </c>
      <c r="H16" s="804" t="s">
        <v>57</v>
      </c>
      <c r="I16" s="229" t="s">
        <v>57</v>
      </c>
    </row>
    <row r="17" spans="1:10">
      <c r="A17" s="982">
        <v>2</v>
      </c>
      <c r="B17" s="1460" t="s">
        <v>300</v>
      </c>
      <c r="C17" s="1556"/>
      <c r="D17" s="1557"/>
      <c r="E17" s="164">
        <f>SUM(E18,E25)</f>
        <v>121</v>
      </c>
      <c r="F17" s="164">
        <f>SUM(F18,F25)</f>
        <v>142</v>
      </c>
      <c r="G17" s="164">
        <f>SUM(G18,G25)</f>
        <v>109</v>
      </c>
      <c r="H17" s="164">
        <f>SUM(H18,H25)</f>
        <v>114</v>
      </c>
      <c r="I17" s="164">
        <f>SUM(I18,I25)</f>
        <v>115</v>
      </c>
    </row>
    <row r="18" spans="1:10" ht="12.75" customHeight="1">
      <c r="A18" s="985"/>
      <c r="B18" s="590" t="s">
        <v>1188</v>
      </c>
      <c r="C18" s="876" t="s">
        <v>1317</v>
      </c>
      <c r="D18" s="591"/>
      <c r="E18" s="164">
        <f>SUM(E19:E24)</f>
        <v>88</v>
      </c>
      <c r="F18" s="164">
        <f>SUM(F19:F24)</f>
        <v>101</v>
      </c>
      <c r="G18" s="164">
        <f>SUM(G19:G24)</f>
        <v>74</v>
      </c>
      <c r="H18" s="164">
        <f>SUM(H19:H24)</f>
        <v>74</v>
      </c>
      <c r="I18" s="164">
        <f>SUM(I19:I24)</f>
        <v>72</v>
      </c>
    </row>
    <row r="19" spans="1:10" ht="25.5" customHeight="1">
      <c r="A19" s="985"/>
      <c r="B19" s="590"/>
      <c r="C19" s="902"/>
      <c r="D19" s="1053" t="s">
        <v>708</v>
      </c>
      <c r="E19" s="804">
        <v>34</v>
      </c>
      <c r="F19" s="804">
        <v>35</v>
      </c>
      <c r="G19" s="804">
        <v>8</v>
      </c>
      <c r="H19" s="804">
        <v>7</v>
      </c>
      <c r="I19" s="804">
        <v>7</v>
      </c>
    </row>
    <row r="20" spans="1:10">
      <c r="A20" s="1011"/>
      <c r="B20" s="1041"/>
      <c r="C20" s="736"/>
      <c r="D20" s="1012" t="s">
        <v>1231</v>
      </c>
      <c r="E20" s="804" t="s">
        <v>57</v>
      </c>
      <c r="F20" s="804" t="s">
        <v>57</v>
      </c>
      <c r="G20" s="804" t="s">
        <v>57</v>
      </c>
      <c r="H20" s="804" t="s">
        <v>57</v>
      </c>
      <c r="I20" s="229" t="s">
        <v>57</v>
      </c>
    </row>
    <row r="21" spans="1:10">
      <c r="A21" s="1011"/>
      <c r="B21" s="1041"/>
      <c r="C21" s="736"/>
      <c r="D21" s="1012" t="s">
        <v>1232</v>
      </c>
      <c r="E21" s="804">
        <v>14</v>
      </c>
      <c r="F21" s="804">
        <v>12</v>
      </c>
      <c r="G21" s="804">
        <v>12</v>
      </c>
      <c r="H21" s="804">
        <v>11</v>
      </c>
      <c r="I21" s="804">
        <v>10</v>
      </c>
    </row>
    <row r="22" spans="1:10">
      <c r="A22" s="1011"/>
      <c r="B22" s="1041"/>
      <c r="C22" s="736"/>
      <c r="D22" s="1012" t="s">
        <v>1233</v>
      </c>
      <c r="E22" s="804">
        <v>40</v>
      </c>
      <c r="F22" s="804">
        <v>54</v>
      </c>
      <c r="G22" s="804">
        <v>54</v>
      </c>
      <c r="H22" s="804">
        <v>56</v>
      </c>
      <c r="I22" s="804">
        <v>55</v>
      </c>
    </row>
    <row r="23" spans="1:10">
      <c r="A23" s="1011"/>
      <c r="B23" s="1041"/>
      <c r="C23" s="736"/>
      <c r="D23" s="1012" t="s">
        <v>1314</v>
      </c>
      <c r="E23" s="804" t="s">
        <v>57</v>
      </c>
      <c r="F23" s="804" t="s">
        <v>57</v>
      </c>
      <c r="G23" s="804" t="s">
        <v>57</v>
      </c>
      <c r="H23" s="804" t="s">
        <v>57</v>
      </c>
      <c r="I23" s="229" t="s">
        <v>57</v>
      </c>
    </row>
    <row r="24" spans="1:10" ht="38.25">
      <c r="A24" s="1011"/>
      <c r="B24" s="1041"/>
      <c r="C24" s="736"/>
      <c r="D24" s="1054" t="s">
        <v>1316</v>
      </c>
      <c r="E24" s="804" t="s">
        <v>57</v>
      </c>
      <c r="F24" s="804" t="s">
        <v>57</v>
      </c>
      <c r="G24" s="804" t="s">
        <v>57</v>
      </c>
      <c r="H24" s="804" t="s">
        <v>57</v>
      </c>
      <c r="I24" s="229" t="s">
        <v>57</v>
      </c>
      <c r="J24" s="1055"/>
    </row>
    <row r="25" spans="1:10">
      <c r="A25" s="1011"/>
      <c r="B25" s="1041" t="s">
        <v>1186</v>
      </c>
      <c r="C25" s="1027" t="s">
        <v>1275</v>
      </c>
      <c r="D25" s="1012"/>
      <c r="E25" s="988">
        <f>SUM(E26:E27)</f>
        <v>33</v>
      </c>
      <c r="F25" s="988">
        <f>SUM(F26:F27)</f>
        <v>41</v>
      </c>
      <c r="G25" s="988">
        <f>SUM(G26:G27)</f>
        <v>35</v>
      </c>
      <c r="H25" s="988">
        <f>SUM(H26:H27)</f>
        <v>40</v>
      </c>
      <c r="I25" s="988">
        <f>SUM(I26:I27)</f>
        <v>43</v>
      </c>
    </row>
    <row r="26" spans="1:10">
      <c r="A26" s="1011"/>
      <c r="B26" s="1041"/>
      <c r="C26" s="736"/>
      <c r="D26" s="1012" t="s">
        <v>138</v>
      </c>
      <c r="E26" s="1056">
        <v>33</v>
      </c>
      <c r="F26" s="1056">
        <v>41</v>
      </c>
      <c r="G26" s="1056">
        <v>35</v>
      </c>
      <c r="H26" s="1056">
        <v>40</v>
      </c>
      <c r="I26" s="1056">
        <v>43</v>
      </c>
    </row>
    <row r="27" spans="1:10">
      <c r="A27" s="1011"/>
      <c r="B27" s="1041"/>
      <c r="C27" s="736"/>
      <c r="D27" s="1012" t="s">
        <v>1234</v>
      </c>
      <c r="E27" s="1056" t="s">
        <v>57</v>
      </c>
      <c r="F27" s="1056" t="s">
        <v>57</v>
      </c>
      <c r="G27" s="1056" t="s">
        <v>57</v>
      </c>
      <c r="H27" s="1056" t="s">
        <v>57</v>
      </c>
      <c r="I27" s="1257" t="s">
        <v>57</v>
      </c>
    </row>
    <row r="28" spans="1:10">
      <c r="A28" s="1011"/>
      <c r="B28" s="1041" t="s">
        <v>1187</v>
      </c>
      <c r="C28" s="1027" t="s">
        <v>1318</v>
      </c>
      <c r="D28" s="1012"/>
      <c r="E28" s="1016" t="s">
        <v>57</v>
      </c>
      <c r="F28" s="1016" t="s">
        <v>57</v>
      </c>
      <c r="G28" s="1016" t="s">
        <v>57</v>
      </c>
      <c r="H28" s="1016" t="s">
        <v>57</v>
      </c>
      <c r="I28" s="1257" t="s">
        <v>57</v>
      </c>
    </row>
    <row r="29" spans="1:10">
      <c r="A29" s="1011"/>
      <c r="B29" s="1041"/>
      <c r="C29" s="736"/>
      <c r="D29" s="1012" t="s">
        <v>1277</v>
      </c>
      <c r="E29" s="1056" t="s">
        <v>57</v>
      </c>
      <c r="F29" s="1056" t="s">
        <v>57</v>
      </c>
      <c r="G29" s="1056" t="s">
        <v>57</v>
      </c>
      <c r="H29" s="1056" t="s">
        <v>57</v>
      </c>
      <c r="I29" s="1257" t="s">
        <v>57</v>
      </c>
    </row>
    <row r="30" spans="1:10">
      <c r="A30" s="1011"/>
      <c r="B30" s="1041"/>
      <c r="C30" s="736"/>
      <c r="D30" s="1012" t="s">
        <v>1278</v>
      </c>
      <c r="E30" s="1056" t="s">
        <v>57</v>
      </c>
      <c r="F30" s="1056" t="s">
        <v>57</v>
      </c>
      <c r="G30" s="1056" t="s">
        <v>57</v>
      </c>
      <c r="H30" s="1056" t="s">
        <v>57</v>
      </c>
      <c r="I30" s="1257" t="s">
        <v>57</v>
      </c>
    </row>
    <row r="31" spans="1:10">
      <c r="A31" s="1011"/>
      <c r="B31" s="1041"/>
      <c r="C31" s="736"/>
      <c r="D31" s="1012" t="s">
        <v>1281</v>
      </c>
      <c r="E31" s="1056" t="s">
        <v>57</v>
      </c>
      <c r="F31" s="1056" t="s">
        <v>57</v>
      </c>
      <c r="G31" s="1056" t="s">
        <v>57</v>
      </c>
      <c r="H31" s="1056" t="s">
        <v>57</v>
      </c>
      <c r="I31" s="1257" t="s">
        <v>57</v>
      </c>
    </row>
    <row r="32" spans="1:10">
      <c r="A32" s="1011"/>
      <c r="B32" s="1011"/>
      <c r="C32" s="736"/>
      <c r="D32" s="1012" t="s">
        <v>1279</v>
      </c>
      <c r="E32" s="1056" t="s">
        <v>57</v>
      </c>
      <c r="F32" s="1056" t="s">
        <v>57</v>
      </c>
      <c r="G32" s="1056" t="s">
        <v>57</v>
      </c>
      <c r="H32" s="1056" t="s">
        <v>57</v>
      </c>
      <c r="I32" s="1257" t="s">
        <v>57</v>
      </c>
    </row>
    <row r="33" spans="1:9">
      <c r="A33" s="1011"/>
      <c r="B33" s="1011"/>
      <c r="C33" s="736"/>
      <c r="D33" s="1057" t="s">
        <v>1280</v>
      </c>
      <c r="E33" s="1056" t="s">
        <v>57</v>
      </c>
      <c r="F33" s="1056" t="s">
        <v>57</v>
      </c>
      <c r="G33" s="1056" t="s">
        <v>57</v>
      </c>
      <c r="H33" s="1056" t="s">
        <v>57</v>
      </c>
      <c r="I33" s="1257" t="s">
        <v>57</v>
      </c>
    </row>
    <row r="34" spans="1:9">
      <c r="A34" s="1013">
        <v>3</v>
      </c>
      <c r="B34" s="1585" t="s">
        <v>301</v>
      </c>
      <c r="C34" s="1576"/>
      <c r="D34" s="1577"/>
      <c r="E34" s="1058" t="s">
        <v>57</v>
      </c>
      <c r="F34" s="1058" t="s">
        <v>57</v>
      </c>
      <c r="G34" s="1058" t="s">
        <v>57</v>
      </c>
      <c r="H34" s="1058" t="s">
        <v>57</v>
      </c>
      <c r="I34" s="1058" t="s">
        <v>57</v>
      </c>
    </row>
    <row r="35" spans="1:9" s="5" customFormat="1">
      <c r="A35" s="1059"/>
      <c r="B35" s="1032" t="s">
        <v>1035</v>
      </c>
      <c r="C35" s="1033"/>
      <c r="D35" s="1060"/>
      <c r="E35" s="752">
        <f>SUM(E7,E17,E34)</f>
        <v>198</v>
      </c>
      <c r="F35" s="752">
        <f>SUM(F7,F17,F34)</f>
        <v>233</v>
      </c>
      <c r="G35" s="752">
        <f>SUM(G7,G17,G34)</f>
        <v>215</v>
      </c>
      <c r="H35" s="752">
        <f>SUM(H7,H17,H34)</f>
        <v>213</v>
      </c>
      <c r="I35" s="752">
        <f>SUM(I7,I17,I34)</f>
        <v>230</v>
      </c>
    </row>
    <row r="36" spans="1:9">
      <c r="A36" s="926"/>
      <c r="B36" s="926"/>
      <c r="C36" s="926"/>
      <c r="D36" s="926"/>
      <c r="E36" s="1532" t="s">
        <v>522</v>
      </c>
      <c r="F36" s="1533"/>
      <c r="G36" s="1533"/>
      <c r="H36" s="1533"/>
      <c r="I36" s="1533"/>
    </row>
    <row r="37" spans="1:9">
      <c r="A37" s="926"/>
      <c r="B37" s="926"/>
      <c r="C37" s="926"/>
      <c r="D37" s="926"/>
      <c r="E37" s="926"/>
      <c r="F37" s="37"/>
      <c r="G37" s="1035"/>
      <c r="H37" s="1035"/>
      <c r="I37" s="1035"/>
    </row>
    <row r="38" spans="1:9">
      <c r="A38" s="926"/>
      <c r="B38" s="926"/>
      <c r="C38" s="926"/>
      <c r="D38" s="926"/>
      <c r="E38" s="926"/>
      <c r="F38" s="926"/>
      <c r="G38" s="926"/>
      <c r="H38" s="926"/>
      <c r="I38" s="926"/>
    </row>
    <row r="39" spans="1:9">
      <c r="A39" s="926"/>
      <c r="B39" s="926"/>
      <c r="C39" s="926"/>
      <c r="D39" s="926"/>
      <c r="E39" s="926"/>
      <c r="F39" s="926"/>
      <c r="G39" s="926"/>
      <c r="H39" s="926"/>
      <c r="I39" s="926"/>
    </row>
    <row r="40" spans="1:9">
      <c r="A40" s="926"/>
      <c r="B40" s="926"/>
      <c r="C40" s="926"/>
      <c r="D40" s="926"/>
      <c r="E40" s="926"/>
      <c r="F40" s="926"/>
      <c r="G40" s="926"/>
      <c r="H40" s="926"/>
      <c r="I40" s="926"/>
    </row>
    <row r="41" spans="1:9">
      <c r="A41" s="926"/>
      <c r="B41" s="926"/>
      <c r="C41" s="926"/>
      <c r="D41" s="926"/>
      <c r="E41" s="926"/>
      <c r="F41" s="926"/>
      <c r="G41" s="926"/>
      <c r="H41" s="926"/>
      <c r="I41" s="926"/>
    </row>
    <row r="42" spans="1:9">
      <c r="A42" s="926"/>
      <c r="B42" s="926"/>
      <c r="C42" s="926"/>
      <c r="D42" s="926"/>
      <c r="E42" s="926"/>
      <c r="F42" s="926"/>
      <c r="G42" s="926"/>
      <c r="H42" s="926"/>
      <c r="I42" s="926"/>
    </row>
    <row r="43" spans="1:9">
      <c r="A43" s="926"/>
      <c r="B43" s="926"/>
      <c r="C43" s="926"/>
      <c r="D43" s="926"/>
      <c r="E43" s="926"/>
      <c r="F43" s="926"/>
      <c r="G43" s="926"/>
      <c r="H43" s="926"/>
      <c r="I43" s="926"/>
    </row>
    <row r="44" spans="1:9">
      <c r="A44" s="926"/>
      <c r="B44" s="926"/>
      <c r="C44" s="926"/>
      <c r="D44" s="926"/>
      <c r="E44" s="926"/>
      <c r="F44" s="926"/>
      <c r="G44" s="926"/>
      <c r="H44" s="926"/>
      <c r="I44" s="926"/>
    </row>
    <row r="45" spans="1:9">
      <c r="A45" s="926"/>
      <c r="B45" s="926"/>
      <c r="C45" s="926"/>
      <c r="D45" s="926"/>
      <c r="E45" s="926"/>
      <c r="F45" s="926"/>
      <c r="G45" s="926"/>
      <c r="H45" s="926"/>
      <c r="I45" s="926"/>
    </row>
  </sheetData>
  <mergeCells count="11">
    <mergeCell ref="E36:I36"/>
    <mergeCell ref="B17:D17"/>
    <mergeCell ref="B34:D34"/>
    <mergeCell ref="A1:I1"/>
    <mergeCell ref="C16:D16"/>
    <mergeCell ref="A2:I2"/>
    <mergeCell ref="A6:D6"/>
    <mergeCell ref="B7:D7"/>
    <mergeCell ref="A3:H3"/>
    <mergeCell ref="E4:I4"/>
    <mergeCell ref="A4:D5"/>
  </mergeCells>
  <phoneticPr fontId="0" type="noConversion"/>
  <printOptions horizontalCentered="1" verticalCentered="1"/>
  <pageMargins left="0.25" right="0.25" top="0.28000000000000003" bottom="0.14000000000000001" header="0.17" footer="0.14000000000000001"/>
  <pageSetup paperSize="9" orientation="landscape" blackAndWhite="1" r:id="rId1"/>
  <headerFooter alignWithMargins="0"/>
</worksheet>
</file>

<file path=xl/worksheets/sheet35.xml><?xml version="1.0" encoding="utf-8"?>
<worksheet xmlns="http://schemas.openxmlformats.org/spreadsheetml/2006/main" xmlns:r="http://schemas.openxmlformats.org/officeDocument/2006/relationships">
  <sheetPr codeName="Sheet34"/>
  <dimension ref="A1:J29"/>
  <sheetViews>
    <sheetView workbookViewId="0">
      <selection activeCell="F14" sqref="F14"/>
    </sheetView>
  </sheetViews>
  <sheetFormatPr defaultRowHeight="12.75"/>
  <cols>
    <col min="1" max="1" width="3.140625" style="723" customWidth="1"/>
    <col min="2" max="3" width="9.140625" style="723"/>
    <col min="4" max="4" width="26.28515625" style="723" customWidth="1"/>
    <col min="5" max="5" width="13.7109375" style="723" customWidth="1"/>
    <col min="6" max="6" width="14.28515625" style="723" customWidth="1"/>
    <col min="7" max="8" width="13.7109375" style="723" customWidth="1"/>
    <col min="9" max="9" width="14.7109375" style="723" customWidth="1"/>
    <col min="10" max="16384" width="9.140625" style="723"/>
  </cols>
  <sheetData>
    <row r="1" spans="1:10" ht="18.75" customHeight="1">
      <c r="A1" s="1558" t="s">
        <v>656</v>
      </c>
      <c r="B1" s="1558"/>
      <c r="C1" s="1558"/>
      <c r="D1" s="1558"/>
      <c r="E1" s="1558"/>
      <c r="F1" s="1558"/>
      <c r="G1" s="1558"/>
      <c r="H1" s="1558"/>
      <c r="I1" s="1558"/>
    </row>
    <row r="2" spans="1:10" ht="29.25" customHeight="1">
      <c r="A2" s="1467" t="str">
        <f>CONCATENATE(" Teachers in different type of Special and Non-formal Educational Institutions
 in the district of ",District!A1)</f>
        <v xml:space="preserve"> Teachers in different type of Special and Non-formal Educational Institutions
 in the district of Purulia</v>
      </c>
      <c r="B2" s="1467"/>
      <c r="C2" s="1467"/>
      <c r="D2" s="1467"/>
      <c r="E2" s="1467"/>
      <c r="F2" s="1467"/>
      <c r="G2" s="1467"/>
      <c r="H2" s="1467"/>
      <c r="I2" s="1467"/>
    </row>
    <row r="3" spans="1:10" ht="12" customHeight="1">
      <c r="A3" s="1565"/>
      <c r="B3" s="1565"/>
      <c r="C3" s="1565"/>
      <c r="D3" s="1565"/>
      <c r="E3" s="1565"/>
      <c r="F3" s="1565"/>
      <c r="G3" s="1565"/>
      <c r="H3" s="1565"/>
      <c r="I3" s="778" t="s">
        <v>1058</v>
      </c>
    </row>
    <row r="4" spans="1:10" ht="15" customHeight="1">
      <c r="A4" s="1403" t="s">
        <v>800</v>
      </c>
      <c r="B4" s="1513"/>
      <c r="C4" s="1513"/>
      <c r="D4" s="1404"/>
      <c r="E4" s="1400" t="s">
        <v>951</v>
      </c>
      <c r="F4" s="1400"/>
      <c r="G4" s="1400"/>
      <c r="H4" s="1400"/>
      <c r="I4" s="1401"/>
    </row>
    <row r="5" spans="1:10" ht="15" customHeight="1">
      <c r="A5" s="1405"/>
      <c r="B5" s="1486"/>
      <c r="C5" s="1486"/>
      <c r="D5" s="1406"/>
      <c r="E5" s="124" t="s">
        <v>1526</v>
      </c>
      <c r="F5" s="124" t="s">
        <v>1525</v>
      </c>
      <c r="G5" s="124" t="s">
        <v>1051</v>
      </c>
      <c r="H5" s="728" t="s">
        <v>1250</v>
      </c>
      <c r="I5" s="728" t="s">
        <v>527</v>
      </c>
    </row>
    <row r="6" spans="1:10" ht="15" customHeight="1">
      <c r="A6" s="1395" t="s">
        <v>1008</v>
      </c>
      <c r="B6" s="1485"/>
      <c r="C6" s="1485"/>
      <c r="D6" s="1396"/>
      <c r="E6" s="790" t="s">
        <v>1009</v>
      </c>
      <c r="F6" s="729" t="s">
        <v>1010</v>
      </c>
      <c r="G6" s="790" t="s">
        <v>1011</v>
      </c>
      <c r="H6" s="729" t="s">
        <v>1015</v>
      </c>
      <c r="I6" s="1061" t="s">
        <v>1016</v>
      </c>
    </row>
    <row r="7" spans="1:10" ht="18" customHeight="1">
      <c r="A7" s="491">
        <v>1</v>
      </c>
      <c r="B7" s="1563" t="s">
        <v>1285</v>
      </c>
      <c r="C7" s="1563"/>
      <c r="D7" s="1564"/>
      <c r="E7" s="927">
        <v>791</v>
      </c>
      <c r="F7" s="927">
        <v>794</v>
      </c>
      <c r="G7" s="927">
        <v>790</v>
      </c>
      <c r="H7" s="927">
        <v>787</v>
      </c>
      <c r="I7" s="927">
        <v>779</v>
      </c>
      <c r="J7" s="736"/>
    </row>
    <row r="8" spans="1:10" ht="18" customHeight="1">
      <c r="A8" s="126">
        <v>2</v>
      </c>
      <c r="B8" s="1454" t="s">
        <v>524</v>
      </c>
      <c r="C8" s="1561"/>
      <c r="D8" s="1461"/>
      <c r="E8" s="804">
        <v>732</v>
      </c>
      <c r="F8" s="804">
        <v>703</v>
      </c>
      <c r="G8" s="804">
        <v>694</v>
      </c>
      <c r="H8" s="804">
        <v>685</v>
      </c>
      <c r="I8" s="804">
        <v>672</v>
      </c>
      <c r="J8" s="736"/>
    </row>
    <row r="9" spans="1:10" ht="18" customHeight="1">
      <c r="A9" s="126">
        <v>3</v>
      </c>
      <c r="B9" s="1561" t="s">
        <v>1286</v>
      </c>
      <c r="C9" s="1561"/>
      <c r="D9" s="1461"/>
      <c r="E9" s="804" t="s">
        <v>57</v>
      </c>
      <c r="F9" s="804" t="s">
        <v>57</v>
      </c>
      <c r="G9" s="804" t="s">
        <v>57</v>
      </c>
      <c r="H9" s="804" t="s">
        <v>57</v>
      </c>
      <c r="I9" s="229" t="s">
        <v>57</v>
      </c>
    </row>
    <row r="10" spans="1:10" ht="18" customHeight="1">
      <c r="A10" s="126">
        <v>4</v>
      </c>
      <c r="B10" s="1561" t="s">
        <v>536</v>
      </c>
      <c r="C10" s="1561"/>
      <c r="D10" s="1461"/>
      <c r="E10" s="804">
        <v>20</v>
      </c>
      <c r="F10" s="804">
        <v>26</v>
      </c>
      <c r="G10" s="804">
        <v>28</v>
      </c>
      <c r="H10" s="804">
        <v>24</v>
      </c>
      <c r="I10" s="804">
        <v>22</v>
      </c>
    </row>
    <row r="11" spans="1:10" ht="18" customHeight="1">
      <c r="A11" s="126">
        <v>5</v>
      </c>
      <c r="B11" s="1561" t="s">
        <v>146</v>
      </c>
      <c r="C11" s="1561"/>
      <c r="D11" s="1461"/>
      <c r="E11" s="804">
        <v>3</v>
      </c>
      <c r="F11" s="804">
        <v>3</v>
      </c>
      <c r="G11" s="804">
        <v>3</v>
      </c>
      <c r="H11" s="804">
        <v>3</v>
      </c>
      <c r="I11" s="804">
        <v>2</v>
      </c>
    </row>
    <row r="12" spans="1:10" ht="18" customHeight="1">
      <c r="A12" s="126">
        <v>6</v>
      </c>
      <c r="B12" s="1561" t="s">
        <v>1296</v>
      </c>
      <c r="C12" s="1561"/>
      <c r="D12" s="1461"/>
      <c r="E12" s="804">
        <v>13</v>
      </c>
      <c r="F12" s="804">
        <v>11</v>
      </c>
      <c r="G12" s="804">
        <v>14</v>
      </c>
      <c r="H12" s="804">
        <v>14</v>
      </c>
      <c r="I12" s="804">
        <v>12</v>
      </c>
    </row>
    <row r="13" spans="1:10" ht="28.5" customHeight="1">
      <c r="A13" s="1036">
        <v>7</v>
      </c>
      <c r="B13" s="1552" t="s">
        <v>547</v>
      </c>
      <c r="C13" s="1552"/>
      <c r="D13" s="1553"/>
      <c r="E13" s="804">
        <v>26</v>
      </c>
      <c r="F13" s="804">
        <v>26</v>
      </c>
      <c r="G13" s="804">
        <v>28</v>
      </c>
      <c r="H13" s="804">
        <v>25</v>
      </c>
      <c r="I13" s="804">
        <v>21</v>
      </c>
    </row>
    <row r="14" spans="1:10" ht="18" customHeight="1">
      <c r="A14" s="126">
        <v>8</v>
      </c>
      <c r="B14" s="1561" t="s">
        <v>1339</v>
      </c>
      <c r="C14" s="1561"/>
      <c r="D14" s="1461"/>
      <c r="E14" s="804">
        <v>41</v>
      </c>
      <c r="F14" s="804">
        <v>46</v>
      </c>
      <c r="G14" s="804">
        <v>36</v>
      </c>
      <c r="H14" s="804">
        <v>36</v>
      </c>
      <c r="I14" s="804">
        <v>36</v>
      </c>
    </row>
    <row r="15" spans="1:10" ht="18" customHeight="1">
      <c r="A15" s="126">
        <v>9</v>
      </c>
      <c r="B15" s="1561" t="s">
        <v>1340</v>
      </c>
      <c r="C15" s="1561"/>
      <c r="D15" s="1461"/>
      <c r="E15" s="804">
        <v>4215</v>
      </c>
      <c r="F15" s="804">
        <v>4425</v>
      </c>
      <c r="G15" s="804">
        <v>4564</v>
      </c>
      <c r="H15" s="804">
        <v>4654</v>
      </c>
      <c r="I15" s="804">
        <v>4646</v>
      </c>
    </row>
    <row r="16" spans="1:10" ht="18" customHeight="1">
      <c r="A16" s="126">
        <v>10</v>
      </c>
      <c r="B16" s="1561" t="s">
        <v>1345</v>
      </c>
      <c r="C16" s="1561"/>
      <c r="D16" s="1461"/>
      <c r="E16" s="804" t="s">
        <v>57</v>
      </c>
      <c r="F16" s="804" t="s">
        <v>57</v>
      </c>
      <c r="G16" s="804" t="s">
        <v>57</v>
      </c>
      <c r="H16" s="804" t="s">
        <v>57</v>
      </c>
      <c r="I16" s="229" t="s">
        <v>57</v>
      </c>
    </row>
    <row r="17" spans="1:10" ht="41.25" customHeight="1">
      <c r="A17" s="1036">
        <v>11</v>
      </c>
      <c r="B17" s="1570" t="s">
        <v>537</v>
      </c>
      <c r="C17" s="1571"/>
      <c r="D17" s="1572"/>
      <c r="E17" s="804">
        <v>2</v>
      </c>
      <c r="F17" s="804">
        <v>2</v>
      </c>
      <c r="G17" s="804">
        <v>2</v>
      </c>
      <c r="H17" s="804">
        <v>1</v>
      </c>
      <c r="I17" s="804">
        <v>1</v>
      </c>
    </row>
    <row r="18" spans="1:10" ht="18" customHeight="1">
      <c r="A18" s="1062">
        <v>12</v>
      </c>
      <c r="B18" s="1589" t="s">
        <v>996</v>
      </c>
      <c r="C18" s="1590"/>
      <c r="D18" s="1591"/>
      <c r="E18" s="808">
        <v>10</v>
      </c>
      <c r="F18" s="808">
        <v>10</v>
      </c>
      <c r="G18" s="808">
        <v>50</v>
      </c>
      <c r="H18" s="808">
        <v>50</v>
      </c>
      <c r="I18" s="808">
        <v>50</v>
      </c>
    </row>
    <row r="19" spans="1:10" ht="18" customHeight="1">
      <c r="A19" s="1004"/>
      <c r="B19" s="999" t="s">
        <v>1035</v>
      </c>
      <c r="C19" s="1000"/>
      <c r="D19" s="1037"/>
      <c r="E19" s="499">
        <f>SUM(E7:E18)</f>
        <v>5853</v>
      </c>
      <c r="F19" s="499">
        <f>SUM(F7:F18)</f>
        <v>6046</v>
      </c>
      <c r="G19" s="499">
        <f>SUM(G7:G18)</f>
        <v>6209</v>
      </c>
      <c r="H19" s="499">
        <f>SUM(H7:H18)</f>
        <v>6279</v>
      </c>
      <c r="I19" s="499">
        <f>SUM(I7:I18)</f>
        <v>6241</v>
      </c>
    </row>
    <row r="20" spans="1:10">
      <c r="F20" s="549" t="s">
        <v>1014</v>
      </c>
      <c r="G20" s="1019" t="s">
        <v>1349</v>
      </c>
      <c r="H20" s="1063"/>
      <c r="I20" s="1064"/>
      <c r="J20" s="112"/>
    </row>
    <row r="21" spans="1:10">
      <c r="C21" s="1065"/>
      <c r="F21" s="1066"/>
      <c r="G21" s="1066" t="s">
        <v>1346</v>
      </c>
      <c r="H21" s="1063"/>
      <c r="I21" s="1064"/>
      <c r="J21" s="112"/>
    </row>
    <row r="22" spans="1:10">
      <c r="C22" s="1065"/>
      <c r="F22" s="1066"/>
      <c r="G22" s="1066" t="s">
        <v>546</v>
      </c>
      <c r="H22" s="1063"/>
      <c r="I22" s="1064"/>
      <c r="J22" s="112"/>
    </row>
    <row r="23" spans="1:10">
      <c r="C23" s="1065"/>
      <c r="F23" s="1066"/>
      <c r="G23" s="1066" t="s">
        <v>1347</v>
      </c>
      <c r="H23" s="1063"/>
      <c r="I23" s="1064"/>
      <c r="J23" s="112"/>
    </row>
    <row r="24" spans="1:10">
      <c r="C24" s="1065"/>
      <c r="F24" s="1066"/>
      <c r="G24" s="1066" t="s">
        <v>1350</v>
      </c>
      <c r="H24" s="1063"/>
      <c r="I24" s="1064"/>
      <c r="J24" s="112"/>
    </row>
    <row r="25" spans="1:10">
      <c r="C25" s="1065"/>
      <c r="F25" s="1066"/>
      <c r="G25" s="1066" t="s">
        <v>1348</v>
      </c>
      <c r="H25" s="1063"/>
      <c r="I25" s="1064"/>
      <c r="J25" s="112"/>
    </row>
    <row r="26" spans="1:10">
      <c r="C26" s="1065"/>
      <c r="F26" s="1066"/>
      <c r="G26" s="1066" t="s">
        <v>1013</v>
      </c>
      <c r="H26" s="1063"/>
      <c r="I26" s="1064"/>
      <c r="J26" s="112"/>
    </row>
    <row r="27" spans="1:10">
      <c r="C27" s="1065"/>
      <c r="F27" s="1066"/>
      <c r="G27" s="1066" t="s">
        <v>1351</v>
      </c>
      <c r="H27" s="1063"/>
      <c r="I27" s="1064"/>
      <c r="J27" s="112"/>
    </row>
    <row r="28" spans="1:10">
      <c r="C28" s="1065"/>
      <c r="F28" s="1066"/>
      <c r="G28" s="1066" t="s">
        <v>685</v>
      </c>
      <c r="H28" s="1063"/>
      <c r="I28" s="1064"/>
      <c r="J28" s="112"/>
    </row>
    <row r="29" spans="1:10">
      <c r="D29" s="860"/>
      <c r="E29" s="860"/>
      <c r="F29" s="860"/>
      <c r="G29" s="860"/>
      <c r="H29" s="860"/>
      <c r="I29" s="860"/>
    </row>
  </sheetData>
  <mergeCells count="18">
    <mergeCell ref="A1:I1"/>
    <mergeCell ref="B8:D8"/>
    <mergeCell ref="A2:I2"/>
    <mergeCell ref="A6:D6"/>
    <mergeCell ref="B7:D7"/>
    <mergeCell ref="E4:I4"/>
    <mergeCell ref="A4:D5"/>
    <mergeCell ref="A3:H3"/>
    <mergeCell ref="B9:D9"/>
    <mergeCell ref="B10:D10"/>
    <mergeCell ref="B17:D17"/>
    <mergeCell ref="B18:D18"/>
    <mergeCell ref="B13:D13"/>
    <mergeCell ref="B14:D14"/>
    <mergeCell ref="B15:D15"/>
    <mergeCell ref="B16:D16"/>
    <mergeCell ref="B11:D11"/>
    <mergeCell ref="B12:D12"/>
  </mergeCells>
  <phoneticPr fontId="0" type="noConversion"/>
  <printOptions horizontalCentered="1" verticalCentered="1"/>
  <pageMargins left="0.1" right="0.1" top="0.15" bottom="0.1" header="0.17" footer="0.1"/>
  <pageSetup paperSize="9" orientation="landscape" blackAndWhite="1" r:id="rId1"/>
  <headerFooter alignWithMargins="0"/>
</worksheet>
</file>

<file path=xl/worksheets/sheet36.xml><?xml version="1.0" encoding="utf-8"?>
<worksheet xmlns="http://schemas.openxmlformats.org/spreadsheetml/2006/main" xmlns:r="http://schemas.openxmlformats.org/officeDocument/2006/relationships">
  <dimension ref="A1:Y39"/>
  <sheetViews>
    <sheetView topLeftCell="A10" workbookViewId="0">
      <selection activeCell="F14" sqref="F14"/>
    </sheetView>
  </sheetViews>
  <sheetFormatPr defaultRowHeight="12.75"/>
  <cols>
    <col min="1" max="1" width="22.140625" style="7" customWidth="1"/>
    <col min="2" max="13" width="9.28515625" style="7" customWidth="1"/>
    <col min="14" max="14" width="22.28515625" style="7" customWidth="1"/>
    <col min="15" max="23" width="11.7109375" style="7" customWidth="1"/>
    <col min="24" max="16384" width="9.140625" style="7"/>
  </cols>
  <sheetData>
    <row r="1" spans="1:23" ht="13.5" customHeight="1">
      <c r="A1" s="1558" t="s">
        <v>657</v>
      </c>
      <c r="B1" s="1558"/>
      <c r="C1" s="1558"/>
      <c r="D1" s="1558"/>
      <c r="E1" s="1558"/>
      <c r="F1" s="1558"/>
      <c r="G1" s="1558"/>
      <c r="H1" s="1558"/>
      <c r="I1" s="1558"/>
      <c r="J1" s="1558"/>
      <c r="K1" s="1558"/>
      <c r="L1" s="1558"/>
      <c r="M1" s="1558"/>
      <c r="N1" s="24"/>
      <c r="O1" s="171"/>
      <c r="P1" s="171"/>
      <c r="Q1" s="171"/>
      <c r="R1" s="171"/>
      <c r="S1" s="171"/>
      <c r="T1" s="171"/>
      <c r="U1" s="171"/>
      <c r="V1" s="171"/>
      <c r="W1" s="171"/>
    </row>
    <row r="2" spans="1:23" ht="18" customHeight="1">
      <c r="A2" s="1467" t="str">
        <f>" Institutions, Students &amp; Teachers by Block and Municipality in the district of Purulia for the year " &amp; District!$F$3</f>
        <v xml:space="preserve"> Institutions, Students &amp; Teachers by Block and Municipality in the district of Purulia for the year 2013-14</v>
      </c>
      <c r="B2" s="1467"/>
      <c r="C2" s="1467"/>
      <c r="D2" s="1467"/>
      <c r="E2" s="1467"/>
      <c r="F2" s="1467"/>
      <c r="G2" s="1467"/>
      <c r="H2" s="1467"/>
      <c r="I2" s="1467"/>
      <c r="J2" s="1467"/>
      <c r="K2" s="1467"/>
      <c r="L2" s="1467"/>
      <c r="M2" s="1467"/>
      <c r="N2" s="1558" t="s">
        <v>1375</v>
      </c>
      <c r="O2" s="1558"/>
      <c r="P2" s="1558"/>
      <c r="Q2" s="1558"/>
      <c r="R2" s="1558"/>
      <c r="S2" s="1558"/>
      <c r="T2" s="1558"/>
      <c r="U2" s="1558"/>
      <c r="V2" s="1558"/>
      <c r="W2" s="1558"/>
    </row>
    <row r="3" spans="1:23" ht="12.75" customHeight="1">
      <c r="A3" s="1595"/>
      <c r="B3" s="1595"/>
      <c r="C3" s="1595"/>
      <c r="D3" s="1595"/>
      <c r="E3" s="1595"/>
      <c r="F3" s="1595"/>
      <c r="G3" s="1595"/>
      <c r="H3" s="1595"/>
      <c r="I3" s="1595"/>
      <c r="J3" s="1595"/>
      <c r="K3" s="1595"/>
      <c r="L3" s="1595"/>
      <c r="M3" s="1067" t="s">
        <v>1058</v>
      </c>
      <c r="N3" s="1595"/>
      <c r="O3" s="1595"/>
      <c r="P3" s="1595"/>
      <c r="Q3" s="1595"/>
      <c r="R3" s="1595"/>
      <c r="S3" s="1595"/>
      <c r="T3" s="1595"/>
      <c r="U3" s="1595"/>
      <c r="V3" s="1595"/>
      <c r="W3" s="1067" t="s">
        <v>1058</v>
      </c>
    </row>
    <row r="4" spans="1:23" ht="29.25" customHeight="1">
      <c r="A4" s="1430" t="s">
        <v>1214</v>
      </c>
      <c r="B4" s="1592" t="s">
        <v>90</v>
      </c>
      <c r="C4" s="1593"/>
      <c r="D4" s="1594"/>
      <c r="E4" s="1592" t="s">
        <v>91</v>
      </c>
      <c r="F4" s="1593"/>
      <c r="G4" s="1594"/>
      <c r="H4" s="1592" t="s">
        <v>92</v>
      </c>
      <c r="I4" s="1593"/>
      <c r="J4" s="1594"/>
      <c r="K4" s="1592" t="s">
        <v>93</v>
      </c>
      <c r="L4" s="1593"/>
      <c r="M4" s="1594"/>
      <c r="N4" s="1430" t="s">
        <v>1214</v>
      </c>
      <c r="O4" s="1592" t="s">
        <v>1282</v>
      </c>
      <c r="P4" s="1593"/>
      <c r="Q4" s="1594"/>
      <c r="R4" s="1592" t="s">
        <v>1257</v>
      </c>
      <c r="S4" s="1593"/>
      <c r="T4" s="1594"/>
      <c r="U4" s="1592" t="s">
        <v>1355</v>
      </c>
      <c r="V4" s="1593"/>
      <c r="W4" s="1594"/>
    </row>
    <row r="5" spans="1:23" ht="15" customHeight="1">
      <c r="A5" s="1431"/>
      <c r="B5" s="1068" t="s">
        <v>1352</v>
      </c>
      <c r="C5" s="1069" t="s">
        <v>1353</v>
      </c>
      <c r="D5" s="1070" t="s">
        <v>1354</v>
      </c>
      <c r="E5" s="1068" t="s">
        <v>1352</v>
      </c>
      <c r="F5" s="1069" t="s">
        <v>1353</v>
      </c>
      <c r="G5" s="1070" t="s">
        <v>1354</v>
      </c>
      <c r="H5" s="1068" t="s">
        <v>1352</v>
      </c>
      <c r="I5" s="1069" t="s">
        <v>1353</v>
      </c>
      <c r="J5" s="1070" t="s">
        <v>1354</v>
      </c>
      <c r="K5" s="1068" t="s">
        <v>1352</v>
      </c>
      <c r="L5" s="1069" t="s">
        <v>1353</v>
      </c>
      <c r="M5" s="1070" t="s">
        <v>1354</v>
      </c>
      <c r="N5" s="1409"/>
      <c r="O5" s="1071" t="s">
        <v>1352</v>
      </c>
      <c r="P5" s="1072" t="s">
        <v>1353</v>
      </c>
      <c r="Q5" s="1073" t="s">
        <v>1354</v>
      </c>
      <c r="R5" s="1071" t="s">
        <v>1352</v>
      </c>
      <c r="S5" s="1072" t="s">
        <v>1353</v>
      </c>
      <c r="T5" s="1073" t="s">
        <v>1354</v>
      </c>
      <c r="U5" s="1071" t="s">
        <v>1352</v>
      </c>
      <c r="V5" s="1072" t="s">
        <v>1353</v>
      </c>
      <c r="W5" s="1073" t="s">
        <v>1354</v>
      </c>
    </row>
    <row r="6" spans="1:23" ht="15" customHeight="1">
      <c r="A6" s="1074" t="s">
        <v>1008</v>
      </c>
      <c r="B6" s="1075" t="s">
        <v>1009</v>
      </c>
      <c r="C6" s="1074" t="s">
        <v>1010</v>
      </c>
      <c r="D6" s="1076" t="s">
        <v>1011</v>
      </c>
      <c r="E6" s="1075" t="s">
        <v>1015</v>
      </c>
      <c r="F6" s="1074" t="s">
        <v>1016</v>
      </c>
      <c r="G6" s="1076" t="s">
        <v>1017</v>
      </c>
      <c r="H6" s="1075" t="s">
        <v>1039</v>
      </c>
      <c r="I6" s="1074" t="s">
        <v>1040</v>
      </c>
      <c r="J6" s="1076" t="s">
        <v>1041</v>
      </c>
      <c r="K6" s="1075" t="s">
        <v>1042</v>
      </c>
      <c r="L6" s="1074" t="s">
        <v>1076</v>
      </c>
      <c r="M6" s="1076" t="s">
        <v>1077</v>
      </c>
      <c r="N6" s="1074" t="s">
        <v>1008</v>
      </c>
      <c r="O6" s="1075" t="s">
        <v>1078</v>
      </c>
      <c r="P6" s="1074" t="s">
        <v>1079</v>
      </c>
      <c r="Q6" s="1076" t="s">
        <v>1080</v>
      </c>
      <c r="R6" s="1075" t="s">
        <v>1081</v>
      </c>
      <c r="S6" s="1074" t="s">
        <v>1083</v>
      </c>
      <c r="T6" s="1076" t="s">
        <v>1082</v>
      </c>
      <c r="U6" s="1075" t="s">
        <v>1356</v>
      </c>
      <c r="V6" s="1074" t="s">
        <v>1358</v>
      </c>
      <c r="W6" s="1076" t="s">
        <v>1359</v>
      </c>
    </row>
    <row r="7" spans="1:23" ht="15" customHeight="1">
      <c r="A7" s="821" t="s">
        <v>619</v>
      </c>
      <c r="B7" s="946">
        <f t="shared" ref="B7:W7" si="0">SUM(B8:B15)</f>
        <v>996</v>
      </c>
      <c r="C7" s="884">
        <f t="shared" si="0"/>
        <v>102142</v>
      </c>
      <c r="D7" s="946">
        <f t="shared" si="0"/>
        <v>2350</v>
      </c>
      <c r="E7" s="891">
        <f t="shared" si="0"/>
        <v>140</v>
      </c>
      <c r="F7" s="145">
        <f t="shared" si="0"/>
        <v>7649</v>
      </c>
      <c r="G7" s="509">
        <f t="shared" si="0"/>
        <v>316</v>
      </c>
      <c r="H7" s="891">
        <f t="shared" si="0"/>
        <v>6</v>
      </c>
      <c r="I7" s="145">
        <f t="shared" si="0"/>
        <v>3140</v>
      </c>
      <c r="J7" s="509">
        <f t="shared" si="0"/>
        <v>72</v>
      </c>
      <c r="K7" s="891">
        <f t="shared" si="0"/>
        <v>82</v>
      </c>
      <c r="L7" s="145">
        <f t="shared" si="0"/>
        <v>100025</v>
      </c>
      <c r="M7" s="509">
        <f t="shared" si="0"/>
        <v>1705</v>
      </c>
      <c r="N7" s="821" t="s">
        <v>619</v>
      </c>
      <c r="O7" s="891">
        <f t="shared" si="0"/>
        <v>9</v>
      </c>
      <c r="P7" s="145">
        <f t="shared" si="0"/>
        <v>7112</v>
      </c>
      <c r="Q7" s="509">
        <f t="shared" si="0"/>
        <v>119</v>
      </c>
      <c r="R7" s="891">
        <f t="shared" si="0"/>
        <v>3</v>
      </c>
      <c r="S7" s="145">
        <f t="shared" si="0"/>
        <v>110</v>
      </c>
      <c r="T7" s="509">
        <f t="shared" si="0"/>
        <v>22</v>
      </c>
      <c r="U7" s="891">
        <f>SUM(U8:U15)</f>
        <v>1704</v>
      </c>
      <c r="V7" s="145">
        <f>SUM(V8:V15)</f>
        <v>61922</v>
      </c>
      <c r="W7" s="509">
        <f t="shared" si="0"/>
        <v>1887</v>
      </c>
    </row>
    <row r="8" spans="1:23" ht="15" customHeight="1">
      <c r="A8" s="1077" t="s">
        <v>26</v>
      </c>
      <c r="B8" s="712">
        <v>134</v>
      </c>
      <c r="C8" s="713">
        <v>16636</v>
      </c>
      <c r="D8" s="706">
        <v>323</v>
      </c>
      <c r="E8" s="705">
        <v>19</v>
      </c>
      <c r="F8" s="706">
        <v>2058</v>
      </c>
      <c r="G8" s="1078">
        <v>48</v>
      </c>
      <c r="H8" s="1255">
        <v>1</v>
      </c>
      <c r="I8" s="229">
        <v>653</v>
      </c>
      <c r="J8" s="140">
        <v>14</v>
      </c>
      <c r="K8" s="705">
        <v>9</v>
      </c>
      <c r="L8" s="706">
        <v>13238</v>
      </c>
      <c r="M8" s="1078">
        <v>215</v>
      </c>
      <c r="N8" s="1077" t="s">
        <v>26</v>
      </c>
      <c r="O8" s="705">
        <v>1</v>
      </c>
      <c r="P8" s="706">
        <v>1056</v>
      </c>
      <c r="Q8" s="1078">
        <v>14</v>
      </c>
      <c r="R8" s="705">
        <v>1</v>
      </c>
      <c r="S8" s="706">
        <v>12</v>
      </c>
      <c r="T8" s="1078">
        <v>7</v>
      </c>
      <c r="U8" s="705">
        <v>226</v>
      </c>
      <c r="V8" s="706">
        <v>8614</v>
      </c>
      <c r="W8" s="1078">
        <v>231</v>
      </c>
    </row>
    <row r="9" spans="1:23" ht="15" customHeight="1">
      <c r="A9" s="1077" t="s">
        <v>27</v>
      </c>
      <c r="B9" s="712">
        <v>139</v>
      </c>
      <c r="C9" s="713">
        <v>12774</v>
      </c>
      <c r="D9" s="706">
        <v>296</v>
      </c>
      <c r="E9" s="705">
        <v>25</v>
      </c>
      <c r="F9" s="706">
        <v>873</v>
      </c>
      <c r="G9" s="1078">
        <v>33</v>
      </c>
      <c r="H9" s="705">
        <v>1</v>
      </c>
      <c r="I9" s="706">
        <v>854</v>
      </c>
      <c r="J9" s="1078">
        <v>13</v>
      </c>
      <c r="K9" s="705">
        <v>11</v>
      </c>
      <c r="L9" s="706">
        <v>11273</v>
      </c>
      <c r="M9" s="1078">
        <v>191</v>
      </c>
      <c r="N9" s="1077" t="s">
        <v>27</v>
      </c>
      <c r="O9" s="705">
        <v>1</v>
      </c>
      <c r="P9" s="706">
        <v>862</v>
      </c>
      <c r="Q9" s="1078">
        <v>7</v>
      </c>
      <c r="R9" s="705">
        <v>1</v>
      </c>
      <c r="S9" s="145">
        <v>50</v>
      </c>
      <c r="T9" s="509">
        <v>10</v>
      </c>
      <c r="U9" s="141">
        <v>193</v>
      </c>
      <c r="V9" s="229">
        <v>7262</v>
      </c>
      <c r="W9" s="140">
        <v>210</v>
      </c>
    </row>
    <row r="10" spans="1:23" ht="15" customHeight="1">
      <c r="A10" s="1077" t="s">
        <v>53</v>
      </c>
      <c r="B10" s="712">
        <v>126</v>
      </c>
      <c r="C10" s="713">
        <v>13537</v>
      </c>
      <c r="D10" s="706">
        <v>324</v>
      </c>
      <c r="E10" s="705">
        <v>20</v>
      </c>
      <c r="F10" s="706">
        <v>934</v>
      </c>
      <c r="G10" s="1078">
        <v>46</v>
      </c>
      <c r="H10" s="1255" t="s">
        <v>57</v>
      </c>
      <c r="I10" s="229" t="s">
        <v>57</v>
      </c>
      <c r="J10" s="140" t="s">
        <v>57</v>
      </c>
      <c r="K10" s="705">
        <v>10</v>
      </c>
      <c r="L10" s="706">
        <v>13938</v>
      </c>
      <c r="M10" s="1078">
        <v>241</v>
      </c>
      <c r="N10" s="1077" t="s">
        <v>53</v>
      </c>
      <c r="O10" s="705">
        <v>1</v>
      </c>
      <c r="P10" s="706">
        <v>1862</v>
      </c>
      <c r="Q10" s="1078">
        <v>27</v>
      </c>
      <c r="R10" s="1255" t="s">
        <v>57</v>
      </c>
      <c r="S10" s="145" t="s">
        <v>57</v>
      </c>
      <c r="T10" s="1254" t="s">
        <v>57</v>
      </c>
      <c r="U10" s="141">
        <v>377</v>
      </c>
      <c r="V10" s="229">
        <v>7860</v>
      </c>
      <c r="W10" s="140">
        <v>378</v>
      </c>
    </row>
    <row r="11" spans="1:23" ht="15" customHeight="1">
      <c r="A11" s="1077" t="s">
        <v>28</v>
      </c>
      <c r="B11" s="712">
        <v>203</v>
      </c>
      <c r="C11" s="713">
        <v>17840</v>
      </c>
      <c r="D11" s="706">
        <v>461</v>
      </c>
      <c r="E11" s="705">
        <v>34</v>
      </c>
      <c r="F11" s="706">
        <v>1204</v>
      </c>
      <c r="G11" s="1078">
        <v>71</v>
      </c>
      <c r="H11" s="705">
        <v>3</v>
      </c>
      <c r="I11" s="706">
        <v>1072</v>
      </c>
      <c r="J11" s="1078">
        <v>32</v>
      </c>
      <c r="K11" s="705">
        <v>16</v>
      </c>
      <c r="L11" s="706">
        <v>17357</v>
      </c>
      <c r="M11" s="1078">
        <v>325</v>
      </c>
      <c r="N11" s="1077" t="s">
        <v>28</v>
      </c>
      <c r="O11" s="705">
        <v>1</v>
      </c>
      <c r="P11" s="705">
        <v>862</v>
      </c>
      <c r="Q11" s="705">
        <v>15</v>
      </c>
      <c r="R11" s="1255" t="s">
        <v>57</v>
      </c>
      <c r="S11" s="145" t="s">
        <v>57</v>
      </c>
      <c r="T11" s="1254" t="s">
        <v>57</v>
      </c>
      <c r="U11" s="141">
        <v>265</v>
      </c>
      <c r="V11" s="229">
        <v>10677</v>
      </c>
      <c r="W11" s="140">
        <v>314</v>
      </c>
    </row>
    <row r="12" spans="1:23" ht="15" customHeight="1">
      <c r="A12" s="1077" t="s">
        <v>29</v>
      </c>
      <c r="B12" s="712">
        <v>116</v>
      </c>
      <c r="C12" s="713">
        <v>13991</v>
      </c>
      <c r="D12" s="706">
        <v>298</v>
      </c>
      <c r="E12" s="705">
        <v>21</v>
      </c>
      <c r="F12" s="706">
        <v>1433</v>
      </c>
      <c r="G12" s="1078">
        <v>46</v>
      </c>
      <c r="H12" s="705">
        <v>1</v>
      </c>
      <c r="I12" s="706">
        <v>561</v>
      </c>
      <c r="J12" s="1078">
        <v>13</v>
      </c>
      <c r="K12" s="705">
        <v>9</v>
      </c>
      <c r="L12" s="706">
        <v>11974</v>
      </c>
      <c r="M12" s="1078">
        <v>200</v>
      </c>
      <c r="N12" s="1077" t="s">
        <v>29</v>
      </c>
      <c r="O12" s="705">
        <v>2</v>
      </c>
      <c r="P12" s="705">
        <v>708</v>
      </c>
      <c r="Q12" s="705">
        <v>23</v>
      </c>
      <c r="R12" s="1255" t="s">
        <v>57</v>
      </c>
      <c r="S12" s="145" t="s">
        <v>57</v>
      </c>
      <c r="T12" s="1254" t="s">
        <v>57</v>
      </c>
      <c r="U12" s="141">
        <v>179</v>
      </c>
      <c r="V12" s="229">
        <v>7972</v>
      </c>
      <c r="W12" s="140">
        <v>192</v>
      </c>
    </row>
    <row r="13" spans="1:23" ht="15" customHeight="1">
      <c r="A13" s="1077" t="s">
        <v>48</v>
      </c>
      <c r="B13" s="712">
        <v>144</v>
      </c>
      <c r="C13" s="713">
        <v>10514</v>
      </c>
      <c r="D13" s="706">
        <v>299</v>
      </c>
      <c r="E13" s="705">
        <v>10</v>
      </c>
      <c r="F13" s="706">
        <v>694</v>
      </c>
      <c r="G13" s="1078">
        <v>40</v>
      </c>
      <c r="H13" s="1255" t="s">
        <v>57</v>
      </c>
      <c r="I13" s="229" t="s">
        <v>57</v>
      </c>
      <c r="J13" s="140" t="s">
        <v>57</v>
      </c>
      <c r="K13" s="705">
        <v>13</v>
      </c>
      <c r="L13" s="706">
        <v>14746</v>
      </c>
      <c r="M13" s="1078">
        <v>249</v>
      </c>
      <c r="N13" s="1077" t="s">
        <v>48</v>
      </c>
      <c r="O13" s="705">
        <v>2</v>
      </c>
      <c r="P13" s="705">
        <v>1549</v>
      </c>
      <c r="Q13" s="705">
        <v>30</v>
      </c>
      <c r="R13" s="705">
        <v>1</v>
      </c>
      <c r="S13" s="706">
        <v>48</v>
      </c>
      <c r="T13" s="1078">
        <v>5</v>
      </c>
      <c r="U13" s="705">
        <v>249</v>
      </c>
      <c r="V13" s="706">
        <v>8841</v>
      </c>
      <c r="W13" s="1078">
        <v>307</v>
      </c>
    </row>
    <row r="14" spans="1:23" ht="15" customHeight="1">
      <c r="A14" s="1077" t="s">
        <v>54</v>
      </c>
      <c r="B14" s="712">
        <v>116</v>
      </c>
      <c r="C14" s="713">
        <v>15188</v>
      </c>
      <c r="D14" s="706">
        <v>302</v>
      </c>
      <c r="E14" s="705">
        <v>11</v>
      </c>
      <c r="F14" s="706">
        <v>453</v>
      </c>
      <c r="G14" s="1078">
        <v>32</v>
      </c>
      <c r="H14" s="1255" t="s">
        <v>57</v>
      </c>
      <c r="I14" s="229" t="s">
        <v>57</v>
      </c>
      <c r="J14" s="140" t="s">
        <v>57</v>
      </c>
      <c r="K14" s="705">
        <v>11</v>
      </c>
      <c r="L14" s="706">
        <v>14085</v>
      </c>
      <c r="M14" s="1078">
        <v>225</v>
      </c>
      <c r="N14" s="1077" t="s">
        <v>54</v>
      </c>
      <c r="O14" s="705">
        <v>1</v>
      </c>
      <c r="P14" s="705">
        <v>213</v>
      </c>
      <c r="Q14" s="705">
        <v>3</v>
      </c>
      <c r="R14" s="1255" t="s">
        <v>57</v>
      </c>
      <c r="S14" s="229" t="s">
        <v>57</v>
      </c>
      <c r="T14" s="140" t="s">
        <v>57</v>
      </c>
      <c r="U14" s="705">
        <v>215</v>
      </c>
      <c r="V14" s="706">
        <v>10696</v>
      </c>
      <c r="W14" s="1078">
        <v>255</v>
      </c>
    </row>
    <row r="15" spans="1:23" ht="15" customHeight="1">
      <c r="A15" s="1077" t="s">
        <v>49</v>
      </c>
      <c r="B15" s="712">
        <v>18</v>
      </c>
      <c r="C15" s="713">
        <v>1662</v>
      </c>
      <c r="D15" s="706">
        <v>47</v>
      </c>
      <c r="E15" s="1255" t="s">
        <v>57</v>
      </c>
      <c r="F15" s="229" t="s">
        <v>57</v>
      </c>
      <c r="G15" s="140" t="s">
        <v>57</v>
      </c>
      <c r="H15" s="1255" t="s">
        <v>57</v>
      </c>
      <c r="I15" s="229" t="s">
        <v>57</v>
      </c>
      <c r="J15" s="140" t="s">
        <v>57</v>
      </c>
      <c r="K15" s="705">
        <v>3</v>
      </c>
      <c r="L15" s="706">
        <v>3414</v>
      </c>
      <c r="M15" s="1078">
        <v>59</v>
      </c>
      <c r="N15" s="1077" t="s">
        <v>49</v>
      </c>
      <c r="O15" s="1255" t="s">
        <v>57</v>
      </c>
      <c r="P15" s="229" t="s">
        <v>57</v>
      </c>
      <c r="Q15" s="140" t="s">
        <v>57</v>
      </c>
      <c r="R15" s="1255" t="s">
        <v>57</v>
      </c>
      <c r="S15" s="229" t="s">
        <v>57</v>
      </c>
      <c r="T15" s="140" t="s">
        <v>57</v>
      </c>
      <c r="U15" s="1255" t="s">
        <v>57</v>
      </c>
      <c r="V15" s="229" t="s">
        <v>57</v>
      </c>
      <c r="W15" s="140" t="s">
        <v>57</v>
      </c>
    </row>
    <row r="16" spans="1:23" ht="15" customHeight="1">
      <c r="A16" s="821" t="s">
        <v>50</v>
      </c>
      <c r="B16" s="145">
        <f t="shared" ref="B16:W16" si="1">SUM(B17:B24)</f>
        <v>1187</v>
      </c>
      <c r="C16" s="884">
        <f t="shared" si="1"/>
        <v>96697</v>
      </c>
      <c r="D16" s="145">
        <f t="shared" si="1"/>
        <v>2828</v>
      </c>
      <c r="E16" s="891">
        <f t="shared" si="1"/>
        <v>162</v>
      </c>
      <c r="F16" s="145">
        <f t="shared" si="1"/>
        <v>7237</v>
      </c>
      <c r="G16" s="509">
        <f>SUM(G17:G24)</f>
        <v>425</v>
      </c>
      <c r="H16" s="509">
        <f>SUM(H17:H24)</f>
        <v>43</v>
      </c>
      <c r="I16" s="145">
        <f t="shared" si="1"/>
        <v>17235</v>
      </c>
      <c r="J16" s="509">
        <f t="shared" si="1"/>
        <v>462</v>
      </c>
      <c r="K16" s="891">
        <f t="shared" si="1"/>
        <v>112</v>
      </c>
      <c r="L16" s="145">
        <f t="shared" si="1"/>
        <v>113571</v>
      </c>
      <c r="M16" s="509">
        <f t="shared" si="1"/>
        <v>2382</v>
      </c>
      <c r="N16" s="821" t="s">
        <v>50</v>
      </c>
      <c r="O16" s="891">
        <f t="shared" si="1"/>
        <v>8</v>
      </c>
      <c r="P16" s="145">
        <f t="shared" si="1"/>
        <v>14124</v>
      </c>
      <c r="Q16" s="509">
        <f t="shared" si="1"/>
        <v>235</v>
      </c>
      <c r="R16" s="891">
        <f t="shared" si="1"/>
        <v>13</v>
      </c>
      <c r="S16" s="145">
        <f t="shared" si="1"/>
        <v>2050</v>
      </c>
      <c r="T16" s="509">
        <f t="shared" si="1"/>
        <v>138</v>
      </c>
      <c r="U16" s="891">
        <f>SUM(U17:U24)</f>
        <v>1964</v>
      </c>
      <c r="V16" s="145">
        <f>SUM(V17:V24)</f>
        <v>63350</v>
      </c>
      <c r="W16" s="509">
        <f t="shared" si="1"/>
        <v>2421</v>
      </c>
    </row>
    <row r="17" spans="1:25" ht="15" customHeight="1">
      <c r="A17" s="1077" t="s">
        <v>33</v>
      </c>
      <c r="B17" s="712">
        <v>133</v>
      </c>
      <c r="C17" s="713">
        <v>8505</v>
      </c>
      <c r="D17" s="706">
        <v>290</v>
      </c>
      <c r="E17" s="705">
        <v>19</v>
      </c>
      <c r="F17" s="706">
        <v>442</v>
      </c>
      <c r="G17" s="1078">
        <v>34</v>
      </c>
      <c r="H17" s="705">
        <v>2</v>
      </c>
      <c r="I17" s="706">
        <v>868</v>
      </c>
      <c r="J17" s="1078">
        <v>17</v>
      </c>
      <c r="K17" s="705">
        <v>11</v>
      </c>
      <c r="L17" s="706">
        <v>9109</v>
      </c>
      <c r="M17" s="1078">
        <v>186</v>
      </c>
      <c r="N17" s="1077" t="s">
        <v>33</v>
      </c>
      <c r="O17" s="705">
        <v>1</v>
      </c>
      <c r="P17" s="706">
        <v>500</v>
      </c>
      <c r="Q17" s="1078">
        <v>4</v>
      </c>
      <c r="R17" s="705">
        <v>1</v>
      </c>
      <c r="S17" s="706">
        <v>62</v>
      </c>
      <c r="T17" s="1078">
        <v>13</v>
      </c>
      <c r="U17" s="705">
        <v>314</v>
      </c>
      <c r="V17" s="706">
        <v>6967</v>
      </c>
      <c r="W17" s="1078">
        <v>386</v>
      </c>
    </row>
    <row r="18" spans="1:25" ht="15" customHeight="1">
      <c r="A18" s="1077" t="s">
        <v>34</v>
      </c>
      <c r="B18" s="712">
        <v>189</v>
      </c>
      <c r="C18" s="713">
        <v>13322</v>
      </c>
      <c r="D18" s="706">
        <v>475</v>
      </c>
      <c r="E18" s="705">
        <v>27</v>
      </c>
      <c r="F18" s="706">
        <v>1084</v>
      </c>
      <c r="G18" s="1078">
        <v>76</v>
      </c>
      <c r="H18" s="705">
        <v>7</v>
      </c>
      <c r="I18" s="706">
        <v>3452</v>
      </c>
      <c r="J18" s="1078">
        <v>83</v>
      </c>
      <c r="K18" s="705">
        <v>16</v>
      </c>
      <c r="L18" s="706">
        <v>15449</v>
      </c>
      <c r="M18" s="1078">
        <v>324</v>
      </c>
      <c r="N18" s="1077" t="s">
        <v>34</v>
      </c>
      <c r="O18" s="705">
        <v>1</v>
      </c>
      <c r="P18" s="706">
        <v>2496</v>
      </c>
      <c r="Q18" s="1078">
        <v>29</v>
      </c>
      <c r="R18" s="705">
        <v>2</v>
      </c>
      <c r="S18" s="706">
        <v>165</v>
      </c>
      <c r="T18" s="1078">
        <v>18</v>
      </c>
      <c r="U18" s="705">
        <v>322</v>
      </c>
      <c r="V18" s="706">
        <v>9023</v>
      </c>
      <c r="W18" s="1078">
        <v>387</v>
      </c>
    </row>
    <row r="19" spans="1:25" ht="15" customHeight="1">
      <c r="A19" s="1077" t="s">
        <v>55</v>
      </c>
      <c r="B19" s="712">
        <v>197</v>
      </c>
      <c r="C19" s="713">
        <v>14017</v>
      </c>
      <c r="D19" s="706">
        <v>424</v>
      </c>
      <c r="E19" s="705">
        <v>22</v>
      </c>
      <c r="F19" s="706">
        <v>978</v>
      </c>
      <c r="G19" s="1078">
        <v>56</v>
      </c>
      <c r="H19" s="705">
        <v>3</v>
      </c>
      <c r="I19" s="706">
        <v>1289</v>
      </c>
      <c r="J19" s="1078">
        <v>35</v>
      </c>
      <c r="K19" s="705">
        <v>14</v>
      </c>
      <c r="L19" s="706">
        <v>15248</v>
      </c>
      <c r="M19" s="1078">
        <v>295</v>
      </c>
      <c r="N19" s="1077" t="s">
        <v>55</v>
      </c>
      <c r="O19" s="705">
        <v>1</v>
      </c>
      <c r="P19" s="706">
        <v>1855</v>
      </c>
      <c r="Q19" s="1078">
        <v>20</v>
      </c>
      <c r="R19" s="705">
        <v>1</v>
      </c>
      <c r="S19" s="706">
        <v>94</v>
      </c>
      <c r="T19" s="1078">
        <v>10</v>
      </c>
      <c r="U19" s="705">
        <v>273</v>
      </c>
      <c r="V19" s="706">
        <v>8925</v>
      </c>
      <c r="W19" s="1078">
        <v>338</v>
      </c>
    </row>
    <row r="20" spans="1:25" ht="15" customHeight="1">
      <c r="A20" s="1077" t="s">
        <v>56</v>
      </c>
      <c r="B20" s="712">
        <v>137</v>
      </c>
      <c r="C20" s="713">
        <v>7679</v>
      </c>
      <c r="D20" s="706">
        <v>316</v>
      </c>
      <c r="E20" s="705">
        <v>21</v>
      </c>
      <c r="F20" s="706">
        <v>926</v>
      </c>
      <c r="G20" s="1078">
        <v>60</v>
      </c>
      <c r="H20" s="705">
        <v>4</v>
      </c>
      <c r="I20" s="706">
        <v>969</v>
      </c>
      <c r="J20" s="1078">
        <v>42</v>
      </c>
      <c r="K20" s="705">
        <v>11</v>
      </c>
      <c r="L20" s="706">
        <v>8527</v>
      </c>
      <c r="M20" s="1078">
        <v>184</v>
      </c>
      <c r="N20" s="1077" t="s">
        <v>56</v>
      </c>
      <c r="O20" s="1255" t="s">
        <v>57</v>
      </c>
      <c r="P20" s="229" t="s">
        <v>57</v>
      </c>
      <c r="Q20" s="140" t="s">
        <v>57</v>
      </c>
      <c r="R20" s="705">
        <v>1</v>
      </c>
      <c r="S20" s="706">
        <v>100</v>
      </c>
      <c r="T20" s="1078">
        <v>10</v>
      </c>
      <c r="U20" s="705">
        <v>235</v>
      </c>
      <c r="V20" s="706">
        <v>6137</v>
      </c>
      <c r="W20" s="1078">
        <v>303</v>
      </c>
    </row>
    <row r="21" spans="1:25" ht="15" customHeight="1">
      <c r="A21" s="1077" t="s">
        <v>45</v>
      </c>
      <c r="B21" s="712">
        <v>162</v>
      </c>
      <c r="C21" s="713">
        <v>11064</v>
      </c>
      <c r="D21" s="706">
        <v>388</v>
      </c>
      <c r="E21" s="705">
        <v>25</v>
      </c>
      <c r="F21" s="706">
        <v>591</v>
      </c>
      <c r="G21" s="1078">
        <v>54</v>
      </c>
      <c r="H21" s="705">
        <v>9</v>
      </c>
      <c r="I21" s="706">
        <v>3417</v>
      </c>
      <c r="J21" s="1078">
        <v>113</v>
      </c>
      <c r="K21" s="705">
        <v>12</v>
      </c>
      <c r="L21" s="706">
        <v>13225</v>
      </c>
      <c r="M21" s="1078">
        <v>252</v>
      </c>
      <c r="N21" s="1077" t="s">
        <v>45</v>
      </c>
      <c r="O21" s="705">
        <v>2</v>
      </c>
      <c r="P21" s="706">
        <v>2224</v>
      </c>
      <c r="Q21" s="1078">
        <v>20</v>
      </c>
      <c r="R21" s="1255" t="s">
        <v>57</v>
      </c>
      <c r="S21" s="229" t="s">
        <v>57</v>
      </c>
      <c r="T21" s="140" t="s">
        <v>57</v>
      </c>
      <c r="U21" s="705">
        <v>284</v>
      </c>
      <c r="V21" s="706">
        <v>8561</v>
      </c>
      <c r="W21" s="1078">
        <v>347</v>
      </c>
    </row>
    <row r="22" spans="1:25" ht="15" customHeight="1">
      <c r="A22" s="1077" t="s">
        <v>46</v>
      </c>
      <c r="B22" s="712">
        <v>142</v>
      </c>
      <c r="C22" s="713">
        <v>14913</v>
      </c>
      <c r="D22" s="706">
        <v>362</v>
      </c>
      <c r="E22" s="705">
        <v>20</v>
      </c>
      <c r="F22" s="706">
        <v>776</v>
      </c>
      <c r="G22" s="1078">
        <v>62</v>
      </c>
      <c r="H22" s="705">
        <v>8</v>
      </c>
      <c r="I22" s="706">
        <v>3010</v>
      </c>
      <c r="J22" s="1078">
        <v>75</v>
      </c>
      <c r="K22" s="705">
        <v>14</v>
      </c>
      <c r="L22" s="706">
        <v>16111</v>
      </c>
      <c r="M22" s="1078">
        <v>364</v>
      </c>
      <c r="N22" s="1077" t="s">
        <v>46</v>
      </c>
      <c r="O22" s="1255" t="s">
        <v>57</v>
      </c>
      <c r="P22" s="229" t="s">
        <v>57</v>
      </c>
      <c r="Q22" s="140" t="s">
        <v>57</v>
      </c>
      <c r="R22" s="705">
        <v>1</v>
      </c>
      <c r="S22" s="706">
        <v>95</v>
      </c>
      <c r="T22" s="1078">
        <v>10</v>
      </c>
      <c r="U22" s="705">
        <v>232</v>
      </c>
      <c r="V22" s="706">
        <v>10613</v>
      </c>
      <c r="W22" s="1078">
        <v>268</v>
      </c>
    </row>
    <row r="23" spans="1:25" ht="15" customHeight="1">
      <c r="A23" s="1077" t="s">
        <v>47</v>
      </c>
      <c r="B23" s="712">
        <v>149</v>
      </c>
      <c r="C23" s="713">
        <v>18147</v>
      </c>
      <c r="D23" s="706">
        <v>311</v>
      </c>
      <c r="E23" s="705">
        <v>23</v>
      </c>
      <c r="F23" s="706">
        <v>1588</v>
      </c>
      <c r="G23" s="1078">
        <v>57</v>
      </c>
      <c r="H23" s="705">
        <v>7</v>
      </c>
      <c r="I23" s="706">
        <v>3534</v>
      </c>
      <c r="J23" s="1078">
        <v>78</v>
      </c>
      <c r="K23" s="705">
        <v>17</v>
      </c>
      <c r="L23" s="706">
        <v>18024</v>
      </c>
      <c r="M23" s="1078">
        <v>345</v>
      </c>
      <c r="N23" s="1077" t="s">
        <v>47</v>
      </c>
      <c r="O23" s="1255" t="s">
        <v>57</v>
      </c>
      <c r="P23" s="229" t="s">
        <v>57</v>
      </c>
      <c r="Q23" s="140" t="s">
        <v>57</v>
      </c>
      <c r="R23" s="705">
        <v>2</v>
      </c>
      <c r="S23" s="706">
        <v>977</v>
      </c>
      <c r="T23" s="1078">
        <v>45</v>
      </c>
      <c r="U23" s="705">
        <v>225</v>
      </c>
      <c r="V23" s="706">
        <v>10461</v>
      </c>
      <c r="W23" s="1078">
        <v>295</v>
      </c>
    </row>
    <row r="24" spans="1:25" ht="15" customHeight="1">
      <c r="A24" s="1077" t="s">
        <v>58</v>
      </c>
      <c r="B24" s="712">
        <v>78</v>
      </c>
      <c r="C24" s="713">
        <v>9050</v>
      </c>
      <c r="D24" s="706">
        <v>262</v>
      </c>
      <c r="E24" s="705">
        <v>5</v>
      </c>
      <c r="F24" s="706">
        <v>852</v>
      </c>
      <c r="G24" s="1078">
        <v>26</v>
      </c>
      <c r="H24" s="705">
        <v>3</v>
      </c>
      <c r="I24" s="706">
        <v>696</v>
      </c>
      <c r="J24" s="1078">
        <v>19</v>
      </c>
      <c r="K24" s="705">
        <v>17</v>
      </c>
      <c r="L24" s="706">
        <v>17878</v>
      </c>
      <c r="M24" s="1078">
        <v>432</v>
      </c>
      <c r="N24" s="1077" t="s">
        <v>58</v>
      </c>
      <c r="O24" s="705">
        <v>3</v>
      </c>
      <c r="P24" s="706">
        <v>7049</v>
      </c>
      <c r="Q24" s="1078">
        <v>162</v>
      </c>
      <c r="R24" s="705">
        <v>5</v>
      </c>
      <c r="S24" s="706">
        <v>557</v>
      </c>
      <c r="T24" s="1078">
        <v>32</v>
      </c>
      <c r="U24" s="705">
        <v>79</v>
      </c>
      <c r="V24" s="706">
        <v>2663</v>
      </c>
      <c r="W24" s="1078">
        <v>97</v>
      </c>
    </row>
    <row r="25" spans="1:25" ht="26.25" customHeight="1">
      <c r="A25" s="821" t="s">
        <v>1368</v>
      </c>
      <c r="B25" s="145">
        <f t="shared" ref="B25:W25" si="2">SUM(B26:B32)</f>
        <v>818</v>
      </c>
      <c r="C25" s="884">
        <f t="shared" si="2"/>
        <v>72073</v>
      </c>
      <c r="D25" s="145">
        <f t="shared" si="2"/>
        <v>2003</v>
      </c>
      <c r="E25" s="891">
        <f t="shared" si="2"/>
        <v>126</v>
      </c>
      <c r="F25" s="145">
        <f t="shared" si="2"/>
        <v>8925</v>
      </c>
      <c r="G25" s="145">
        <f t="shared" si="2"/>
        <v>440</v>
      </c>
      <c r="H25" s="891">
        <f t="shared" si="2"/>
        <v>31</v>
      </c>
      <c r="I25" s="145">
        <f t="shared" si="2"/>
        <v>16055</v>
      </c>
      <c r="J25" s="509">
        <f t="shared" si="2"/>
        <v>402</v>
      </c>
      <c r="K25" s="891">
        <f t="shared" si="2"/>
        <v>67</v>
      </c>
      <c r="L25" s="145">
        <f t="shared" si="2"/>
        <v>68188</v>
      </c>
      <c r="M25" s="509">
        <f t="shared" si="2"/>
        <v>1417</v>
      </c>
      <c r="N25" s="821" t="s">
        <v>1368</v>
      </c>
      <c r="O25" s="891">
        <f t="shared" si="2"/>
        <v>4</v>
      </c>
      <c r="P25" s="145">
        <f t="shared" si="2"/>
        <v>7007</v>
      </c>
      <c r="Q25" s="145">
        <f t="shared" si="2"/>
        <v>117</v>
      </c>
      <c r="R25" s="891">
        <f t="shared" si="2"/>
        <v>5</v>
      </c>
      <c r="S25" s="145">
        <f t="shared" si="2"/>
        <v>849</v>
      </c>
      <c r="T25" s="509">
        <f t="shared" si="2"/>
        <v>70</v>
      </c>
      <c r="U25" s="891">
        <f>SUM(U26:U32)</f>
        <v>1761</v>
      </c>
      <c r="V25" s="145">
        <f>SUM(V26:V32)</f>
        <v>45472</v>
      </c>
      <c r="W25" s="509">
        <f t="shared" si="2"/>
        <v>1933</v>
      </c>
    </row>
    <row r="26" spans="1:25" ht="15" customHeight="1">
      <c r="A26" s="1077" t="s">
        <v>36</v>
      </c>
      <c r="B26" s="712">
        <v>231</v>
      </c>
      <c r="C26" s="713">
        <v>19104</v>
      </c>
      <c r="D26" s="706">
        <v>543</v>
      </c>
      <c r="E26" s="705">
        <v>40</v>
      </c>
      <c r="F26" s="706">
        <v>2203</v>
      </c>
      <c r="G26" s="1078">
        <v>101</v>
      </c>
      <c r="H26" s="705">
        <v>8</v>
      </c>
      <c r="I26" s="706">
        <v>4991</v>
      </c>
      <c r="J26" s="1078">
        <v>136</v>
      </c>
      <c r="K26" s="705">
        <v>17</v>
      </c>
      <c r="L26" s="706">
        <v>17986</v>
      </c>
      <c r="M26" s="1078">
        <v>403</v>
      </c>
      <c r="N26" s="1077" t="s">
        <v>36</v>
      </c>
      <c r="O26" s="705">
        <v>1</v>
      </c>
      <c r="P26" s="706">
        <v>1521</v>
      </c>
      <c r="Q26" s="1078">
        <v>23</v>
      </c>
      <c r="R26" s="1255" t="s">
        <v>57</v>
      </c>
      <c r="S26" s="229" t="s">
        <v>57</v>
      </c>
      <c r="T26" s="140" t="s">
        <v>57</v>
      </c>
      <c r="U26" s="705">
        <v>587</v>
      </c>
      <c r="V26" s="706">
        <v>9117</v>
      </c>
      <c r="W26" s="1078">
        <v>612</v>
      </c>
    </row>
    <row r="27" spans="1:25" ht="15" customHeight="1">
      <c r="A27" s="1077" t="s">
        <v>37</v>
      </c>
      <c r="B27" s="712">
        <v>107</v>
      </c>
      <c r="C27" s="713">
        <v>8852</v>
      </c>
      <c r="D27" s="706">
        <v>272</v>
      </c>
      <c r="E27" s="705">
        <v>19</v>
      </c>
      <c r="F27" s="706">
        <v>1146</v>
      </c>
      <c r="G27" s="1078">
        <v>98</v>
      </c>
      <c r="H27" s="705">
        <v>4</v>
      </c>
      <c r="I27" s="706">
        <v>1305</v>
      </c>
      <c r="J27" s="1078">
        <v>44</v>
      </c>
      <c r="K27" s="705">
        <v>10</v>
      </c>
      <c r="L27" s="706">
        <v>9118</v>
      </c>
      <c r="M27" s="1078">
        <v>188</v>
      </c>
      <c r="N27" s="1077" t="s">
        <v>37</v>
      </c>
      <c r="O27" s="705">
        <v>1</v>
      </c>
      <c r="P27" s="706">
        <v>1627</v>
      </c>
      <c r="Q27" s="1078">
        <v>36</v>
      </c>
      <c r="R27" s="705">
        <v>1</v>
      </c>
      <c r="S27" s="706">
        <v>100</v>
      </c>
      <c r="T27" s="1078">
        <v>12</v>
      </c>
      <c r="U27" s="705">
        <v>221</v>
      </c>
      <c r="V27" s="706">
        <v>5925</v>
      </c>
      <c r="W27" s="1078">
        <v>252</v>
      </c>
    </row>
    <row r="28" spans="1:25" ht="15" customHeight="1">
      <c r="A28" s="1077" t="s">
        <v>38</v>
      </c>
      <c r="B28" s="712">
        <v>166</v>
      </c>
      <c r="C28" s="713">
        <v>18432</v>
      </c>
      <c r="D28" s="706">
        <v>442</v>
      </c>
      <c r="E28" s="705">
        <v>26</v>
      </c>
      <c r="F28" s="706">
        <v>2143</v>
      </c>
      <c r="G28" s="1078">
        <v>98</v>
      </c>
      <c r="H28" s="705">
        <v>3</v>
      </c>
      <c r="I28" s="706">
        <v>2250</v>
      </c>
      <c r="J28" s="1078">
        <v>38</v>
      </c>
      <c r="K28" s="705">
        <v>16</v>
      </c>
      <c r="L28" s="706">
        <v>17204</v>
      </c>
      <c r="M28" s="1078">
        <v>333</v>
      </c>
      <c r="N28" s="1077" t="s">
        <v>38</v>
      </c>
      <c r="O28" s="1255" t="s">
        <v>57</v>
      </c>
      <c r="P28" s="229" t="s">
        <v>57</v>
      </c>
      <c r="Q28" s="140" t="s">
        <v>57</v>
      </c>
      <c r="R28" s="705">
        <v>2</v>
      </c>
      <c r="S28" s="706">
        <v>179</v>
      </c>
      <c r="T28" s="1078">
        <v>15</v>
      </c>
      <c r="U28" s="705">
        <v>289</v>
      </c>
      <c r="V28" s="706">
        <v>10029</v>
      </c>
      <c r="W28" s="1078">
        <v>296</v>
      </c>
    </row>
    <row r="29" spans="1:25" ht="15" customHeight="1">
      <c r="A29" s="1077" t="s">
        <v>40</v>
      </c>
      <c r="B29" s="712">
        <v>105</v>
      </c>
      <c r="C29" s="713">
        <v>7971</v>
      </c>
      <c r="D29" s="706">
        <v>245</v>
      </c>
      <c r="E29" s="705">
        <v>19</v>
      </c>
      <c r="F29" s="706">
        <v>1319</v>
      </c>
      <c r="G29" s="1078">
        <v>62</v>
      </c>
      <c r="H29" s="705">
        <v>5</v>
      </c>
      <c r="I29" s="706">
        <v>2642</v>
      </c>
      <c r="J29" s="1078">
        <v>61</v>
      </c>
      <c r="K29" s="705">
        <v>6</v>
      </c>
      <c r="L29" s="706">
        <v>6592</v>
      </c>
      <c r="M29" s="1078">
        <v>135</v>
      </c>
      <c r="N29" s="1077" t="s">
        <v>40</v>
      </c>
      <c r="O29" s="1255" t="s">
        <v>57</v>
      </c>
      <c r="P29" s="229" t="s">
        <v>57</v>
      </c>
      <c r="Q29" s="140" t="s">
        <v>57</v>
      </c>
      <c r="R29" s="705">
        <v>1</v>
      </c>
      <c r="S29" s="706">
        <v>96</v>
      </c>
      <c r="T29" s="1078">
        <v>7</v>
      </c>
      <c r="U29" s="705">
        <v>226</v>
      </c>
      <c r="V29" s="706">
        <v>8129</v>
      </c>
      <c r="W29" s="1078">
        <v>272</v>
      </c>
      <c r="X29" s="934"/>
      <c r="Y29" s="9"/>
    </row>
    <row r="30" spans="1:25" ht="15" customHeight="1">
      <c r="A30" s="1077" t="s">
        <v>52</v>
      </c>
      <c r="B30" s="712">
        <v>99</v>
      </c>
      <c r="C30" s="713">
        <v>9098</v>
      </c>
      <c r="D30" s="706">
        <v>228</v>
      </c>
      <c r="E30" s="705">
        <v>9</v>
      </c>
      <c r="F30" s="706">
        <v>1115</v>
      </c>
      <c r="G30" s="1078">
        <v>32</v>
      </c>
      <c r="H30" s="705">
        <v>4</v>
      </c>
      <c r="I30" s="706">
        <v>2084</v>
      </c>
      <c r="J30" s="1078">
        <v>41</v>
      </c>
      <c r="K30" s="705">
        <v>9</v>
      </c>
      <c r="L30" s="706">
        <v>6330</v>
      </c>
      <c r="M30" s="1078">
        <v>171</v>
      </c>
      <c r="N30" s="1077" t="s">
        <v>52</v>
      </c>
      <c r="O30" s="705">
        <v>1</v>
      </c>
      <c r="P30" s="706">
        <v>719</v>
      </c>
      <c r="Q30" s="1078">
        <v>17</v>
      </c>
      <c r="R30" s="1255" t="s">
        <v>57</v>
      </c>
      <c r="S30" s="229" t="s">
        <v>57</v>
      </c>
      <c r="T30" s="140" t="s">
        <v>57</v>
      </c>
      <c r="U30" s="770">
        <v>261</v>
      </c>
      <c r="V30" s="1079">
        <v>7583</v>
      </c>
      <c r="W30" s="1080">
        <v>315</v>
      </c>
    </row>
    <row r="31" spans="1:25" ht="15" customHeight="1">
      <c r="A31" s="1077" t="s">
        <v>41</v>
      </c>
      <c r="B31" s="712">
        <v>21</v>
      </c>
      <c r="C31" s="713">
        <v>1934</v>
      </c>
      <c r="D31" s="706">
        <v>68</v>
      </c>
      <c r="E31" s="1255" t="s">
        <v>57</v>
      </c>
      <c r="F31" s="229" t="s">
        <v>57</v>
      </c>
      <c r="G31" s="140" t="s">
        <v>57</v>
      </c>
      <c r="H31" s="705">
        <v>1</v>
      </c>
      <c r="I31" s="706">
        <v>462</v>
      </c>
      <c r="J31" s="1078">
        <v>13</v>
      </c>
      <c r="K31" s="705">
        <v>3</v>
      </c>
      <c r="L31" s="706">
        <v>6357</v>
      </c>
      <c r="M31" s="1078">
        <v>83</v>
      </c>
      <c r="N31" s="1077" t="s">
        <v>41</v>
      </c>
      <c r="O31" s="705">
        <v>1</v>
      </c>
      <c r="P31" s="706">
        <v>3140</v>
      </c>
      <c r="Q31" s="1078">
        <v>41</v>
      </c>
      <c r="R31" s="705">
        <v>1</v>
      </c>
      <c r="S31" s="705">
        <v>474</v>
      </c>
      <c r="T31" s="705">
        <v>36</v>
      </c>
      <c r="U31" s="705">
        <v>1</v>
      </c>
      <c r="V31" s="706">
        <v>455</v>
      </c>
      <c r="W31" s="1078">
        <v>12</v>
      </c>
    </row>
    <row r="32" spans="1:25" ht="15" customHeight="1">
      <c r="A32" s="1081" t="s">
        <v>39</v>
      </c>
      <c r="B32" s="759">
        <v>89</v>
      </c>
      <c r="C32" s="713">
        <v>6682</v>
      </c>
      <c r="D32" s="1082">
        <v>205</v>
      </c>
      <c r="E32" s="705">
        <v>13</v>
      </c>
      <c r="F32" s="706">
        <v>999</v>
      </c>
      <c r="G32" s="1078">
        <v>49</v>
      </c>
      <c r="H32" s="705">
        <v>6</v>
      </c>
      <c r="I32" s="706">
        <v>2321</v>
      </c>
      <c r="J32" s="1078">
        <v>69</v>
      </c>
      <c r="K32" s="705">
        <v>6</v>
      </c>
      <c r="L32" s="706">
        <v>4601</v>
      </c>
      <c r="M32" s="1078">
        <v>104</v>
      </c>
      <c r="N32" s="1081" t="s">
        <v>39</v>
      </c>
      <c r="O32" s="1255" t="s">
        <v>57</v>
      </c>
      <c r="P32" s="229" t="s">
        <v>57</v>
      </c>
      <c r="Q32" s="140" t="s">
        <v>57</v>
      </c>
      <c r="R32" s="1255" t="s">
        <v>57</v>
      </c>
      <c r="S32" s="1255" t="s">
        <v>57</v>
      </c>
      <c r="T32" s="1255" t="s">
        <v>57</v>
      </c>
      <c r="U32" s="705">
        <v>176</v>
      </c>
      <c r="V32" s="706">
        <v>4234</v>
      </c>
      <c r="W32" s="1078">
        <v>174</v>
      </c>
    </row>
    <row r="33" spans="1:24" ht="15" customHeight="1">
      <c r="A33" s="822" t="s">
        <v>1035</v>
      </c>
      <c r="B33" s="735">
        <f t="shared" ref="B33:W33" si="3">SUM(B7+B16+B25)</f>
        <v>3001</v>
      </c>
      <c r="C33" s="735">
        <f t="shared" si="3"/>
        <v>270912</v>
      </c>
      <c r="D33" s="498">
        <f t="shared" si="3"/>
        <v>7181</v>
      </c>
      <c r="E33" s="748">
        <f t="shared" si="3"/>
        <v>428</v>
      </c>
      <c r="F33" s="735">
        <f t="shared" si="3"/>
        <v>23811</v>
      </c>
      <c r="G33" s="735">
        <f t="shared" si="3"/>
        <v>1181</v>
      </c>
      <c r="H33" s="498">
        <f t="shared" si="3"/>
        <v>80</v>
      </c>
      <c r="I33" s="735">
        <f t="shared" si="3"/>
        <v>36430</v>
      </c>
      <c r="J33" s="498">
        <f t="shared" si="3"/>
        <v>936</v>
      </c>
      <c r="K33" s="748">
        <f t="shared" si="3"/>
        <v>261</v>
      </c>
      <c r="L33" s="735">
        <f t="shared" si="3"/>
        <v>281784</v>
      </c>
      <c r="M33" s="499">
        <f t="shared" si="3"/>
        <v>5504</v>
      </c>
      <c r="N33" s="822" t="s">
        <v>1035</v>
      </c>
      <c r="O33" s="748">
        <f t="shared" si="3"/>
        <v>21</v>
      </c>
      <c r="P33" s="735">
        <f t="shared" si="3"/>
        <v>28243</v>
      </c>
      <c r="Q33" s="498">
        <f t="shared" si="3"/>
        <v>471</v>
      </c>
      <c r="R33" s="748">
        <f t="shared" si="3"/>
        <v>21</v>
      </c>
      <c r="S33" s="735">
        <f t="shared" si="3"/>
        <v>3009</v>
      </c>
      <c r="T33" s="499">
        <f t="shared" si="3"/>
        <v>230</v>
      </c>
      <c r="U33" s="499">
        <f t="shared" si="3"/>
        <v>5429</v>
      </c>
      <c r="V33" s="499">
        <f t="shared" si="3"/>
        <v>170744</v>
      </c>
      <c r="W33" s="499">
        <f t="shared" si="3"/>
        <v>6241</v>
      </c>
      <c r="X33" s="1083"/>
    </row>
    <row r="34" spans="1:24">
      <c r="A34" s="182"/>
      <c r="B34" s="182"/>
      <c r="C34" s="182"/>
      <c r="D34" s="182"/>
      <c r="E34" s="182"/>
      <c r="F34" s="182"/>
      <c r="G34" s="182"/>
      <c r="H34" s="182"/>
      <c r="I34" s="182"/>
      <c r="J34" s="182"/>
      <c r="K34" s="182"/>
      <c r="L34" s="182"/>
      <c r="M34" s="556" t="s">
        <v>1246</v>
      </c>
      <c r="N34" s="182"/>
      <c r="O34" s="182"/>
      <c r="P34" s="182"/>
      <c r="Q34" s="182"/>
      <c r="R34" s="182"/>
      <c r="S34" s="171"/>
      <c r="T34" s="1532" t="s">
        <v>1376</v>
      </c>
      <c r="U34" s="1533"/>
      <c r="V34" s="1533"/>
      <c r="W34" s="1533"/>
    </row>
    <row r="35" spans="1:24">
      <c r="A35" s="182"/>
      <c r="B35" s="182"/>
      <c r="C35" s="182"/>
      <c r="D35" s="182"/>
      <c r="E35" s="182"/>
      <c r="F35" s="182"/>
      <c r="G35" s="182"/>
      <c r="H35" s="182"/>
      <c r="I35" s="182"/>
      <c r="J35" s="182"/>
      <c r="K35" s="182"/>
      <c r="L35" s="182"/>
      <c r="M35" s="182"/>
      <c r="N35" s="182"/>
      <c r="O35" s="182"/>
      <c r="P35" s="182"/>
      <c r="Q35" s="182"/>
      <c r="R35" s="182"/>
      <c r="S35" s="171"/>
      <c r="T35" s="182"/>
      <c r="U35" s="182"/>
      <c r="V35" s="182"/>
      <c r="W35" s="182"/>
    </row>
    <row r="36" spans="1:24">
      <c r="A36" s="182"/>
      <c r="B36" s="182"/>
      <c r="C36" s="182"/>
      <c r="D36" s="182"/>
      <c r="E36" s="182"/>
      <c r="F36" s="182"/>
      <c r="G36" s="182"/>
      <c r="H36" s="182"/>
      <c r="I36" s="182"/>
      <c r="J36" s="182"/>
      <c r="K36" s="182"/>
      <c r="L36" s="182"/>
      <c r="M36" s="182"/>
      <c r="N36" s="182"/>
      <c r="O36" s="182"/>
      <c r="P36" s="182"/>
      <c r="Q36" s="182"/>
      <c r="R36" s="182"/>
      <c r="S36" s="182"/>
      <c r="T36" s="182"/>
      <c r="U36" s="182"/>
      <c r="V36" s="182"/>
      <c r="W36" s="182"/>
    </row>
    <row r="37" spans="1:24">
      <c r="A37" s="182"/>
      <c r="B37" s="182"/>
      <c r="C37" s="182"/>
      <c r="D37" s="182"/>
      <c r="E37" s="182"/>
      <c r="F37" s="182"/>
      <c r="G37" s="182"/>
      <c r="H37" s="182"/>
      <c r="I37" s="182"/>
      <c r="J37" s="182"/>
      <c r="K37" s="182"/>
      <c r="L37" s="182"/>
      <c r="M37" s="182"/>
      <c r="N37" s="182"/>
      <c r="O37" s="182"/>
      <c r="P37" s="182"/>
      <c r="Q37" s="182"/>
      <c r="R37" s="182"/>
      <c r="S37" s="182"/>
      <c r="T37" s="182"/>
      <c r="U37" s="182"/>
      <c r="V37" s="182"/>
      <c r="W37" s="182"/>
    </row>
    <row r="38" spans="1:24">
      <c r="A38" s="182"/>
      <c r="B38" s="182"/>
      <c r="C38" s="182"/>
      <c r="D38" s="182"/>
      <c r="E38" s="182"/>
      <c r="F38" s="182"/>
      <c r="G38" s="182"/>
      <c r="H38" s="182"/>
      <c r="I38" s="182"/>
      <c r="J38" s="182"/>
      <c r="K38" s="182"/>
      <c r="L38" s="182"/>
      <c r="M38" s="182"/>
      <c r="N38" s="182"/>
      <c r="O38" s="182"/>
      <c r="P38" s="182"/>
      <c r="Q38" s="182"/>
      <c r="R38" s="182"/>
      <c r="S38" s="182"/>
      <c r="T38" s="182"/>
      <c r="U38" s="182"/>
      <c r="V38" s="182"/>
      <c r="W38" s="182"/>
    </row>
    <row r="39" spans="1:24">
      <c r="A39" s="182"/>
      <c r="B39" s="182"/>
      <c r="C39" s="182"/>
      <c r="D39" s="182"/>
      <c r="E39" s="182"/>
      <c r="F39" s="182"/>
      <c r="G39" s="182"/>
      <c r="H39" s="182"/>
      <c r="I39" s="182"/>
      <c r="J39" s="182"/>
      <c r="K39" s="182"/>
      <c r="L39" s="182"/>
      <c r="M39" s="182"/>
      <c r="N39" s="182"/>
      <c r="O39" s="182"/>
      <c r="P39" s="182"/>
      <c r="Q39" s="182"/>
      <c r="R39" s="182"/>
      <c r="S39" s="182"/>
      <c r="T39" s="182"/>
      <c r="U39" s="182"/>
      <c r="V39" s="182"/>
      <c r="W39" s="182"/>
    </row>
  </sheetData>
  <mergeCells count="15">
    <mergeCell ref="T34:W34"/>
    <mergeCell ref="N4:N5"/>
    <mergeCell ref="A4:A5"/>
    <mergeCell ref="A1:M1"/>
    <mergeCell ref="U4:W4"/>
    <mergeCell ref="B4:D4"/>
    <mergeCell ref="E4:G4"/>
    <mergeCell ref="H4:J4"/>
    <mergeCell ref="K4:M4"/>
    <mergeCell ref="O4:Q4"/>
    <mergeCell ref="R4:T4"/>
    <mergeCell ref="N2:W2"/>
    <mergeCell ref="A2:M2"/>
    <mergeCell ref="A3:L3"/>
    <mergeCell ref="N3:V3"/>
  </mergeCells>
  <phoneticPr fontId="0" type="noConversion"/>
  <conditionalFormatting sqref="A1:XFD1048576">
    <cfRule type="cellIs" dxfId="5" priority="1" stopIfTrue="1" operator="equal">
      <formula>".."</formula>
    </cfRule>
  </conditionalFormatting>
  <printOptions horizontalCentered="1" verticalCentered="1"/>
  <pageMargins left="0.1" right="0.1" top="0.23" bottom="0.1" header="0.26" footer="0.1"/>
  <pageSetup paperSize="9" orientation="landscape" blackAndWhite="1" r:id="rId1"/>
  <headerFooter alignWithMargins="0"/>
  <colBreaks count="1" manualBreakCount="1">
    <brk id="13" max="1048575" man="1"/>
  </colBreaks>
</worksheet>
</file>

<file path=xl/worksheets/sheet37.xml><?xml version="1.0" encoding="utf-8"?>
<worksheet xmlns="http://schemas.openxmlformats.org/spreadsheetml/2006/main" xmlns:r="http://schemas.openxmlformats.org/officeDocument/2006/relationships">
  <dimension ref="A1:M42"/>
  <sheetViews>
    <sheetView workbookViewId="0">
      <selection activeCell="F14" sqref="F14"/>
    </sheetView>
  </sheetViews>
  <sheetFormatPr defaultRowHeight="12.75"/>
  <cols>
    <col min="1" max="1" width="21.85546875" style="723" customWidth="1"/>
    <col min="2" max="10" width="12.7109375" style="723" customWidth="1"/>
    <col min="11" max="16384" width="9.140625" style="723"/>
  </cols>
  <sheetData>
    <row r="1" spans="1:13" ht="13.5" customHeight="1">
      <c r="A1" s="1558" t="s">
        <v>658</v>
      </c>
      <c r="B1" s="1558"/>
      <c r="C1" s="1558"/>
      <c r="D1" s="1558"/>
      <c r="E1" s="1558"/>
      <c r="F1" s="1558"/>
      <c r="G1" s="1558"/>
      <c r="H1" s="1558"/>
      <c r="I1" s="1558"/>
      <c r="J1" s="1558"/>
    </row>
    <row r="2" spans="1:13" ht="15.75" customHeight="1">
      <c r="A2" s="1413" t="str">
        <f>CONCATENATE(" Literacy Rate by sex in rural and urban areas in the district of ",District!A1,", 2011")</f>
        <v xml:space="preserve"> Literacy Rate by sex in rural and urban areas in the district of Purulia, 2011</v>
      </c>
      <c r="B2" s="1413"/>
      <c r="C2" s="1413"/>
      <c r="D2" s="1413"/>
      <c r="E2" s="1413"/>
      <c r="F2" s="1413"/>
      <c r="G2" s="1413"/>
      <c r="H2" s="1413"/>
      <c r="I2" s="1413"/>
      <c r="J2" s="1413"/>
      <c r="K2" s="21"/>
      <c r="L2" s="21"/>
      <c r="M2" s="21"/>
    </row>
    <row r="3" spans="1:13" ht="12.75" customHeight="1">
      <c r="A3" s="1353"/>
      <c r="B3" s="1353"/>
      <c r="C3" s="1353"/>
      <c r="D3" s="1353"/>
      <c r="E3" s="1353"/>
      <c r="F3" s="1353"/>
      <c r="G3" s="1353"/>
      <c r="H3" s="1353"/>
      <c r="I3" s="1353"/>
      <c r="J3" s="1358" t="s">
        <v>1683</v>
      </c>
      <c r="K3" s="21"/>
      <c r="L3" s="21"/>
      <c r="M3" s="21"/>
    </row>
    <row r="4" spans="1:13" ht="14.25" customHeight="1">
      <c r="A4" s="1408" t="s">
        <v>1218</v>
      </c>
      <c r="B4" s="1400" t="s">
        <v>1073</v>
      </c>
      <c r="C4" s="1400"/>
      <c r="D4" s="1401"/>
      <c r="E4" s="1407" t="s">
        <v>1072</v>
      </c>
      <c r="F4" s="1400"/>
      <c r="G4" s="1401"/>
      <c r="H4" s="1598" t="s">
        <v>141</v>
      </c>
      <c r="I4" s="1400"/>
      <c r="J4" s="1401"/>
    </row>
    <row r="5" spans="1:13" ht="14.25" customHeight="1">
      <c r="A5" s="1409"/>
      <c r="B5" s="129" t="s">
        <v>1070</v>
      </c>
      <c r="C5" s="728" t="s">
        <v>1071</v>
      </c>
      <c r="D5" s="127" t="s">
        <v>1035</v>
      </c>
      <c r="E5" s="587" t="s">
        <v>1070</v>
      </c>
      <c r="F5" s="728" t="s">
        <v>1071</v>
      </c>
      <c r="G5" s="127" t="s">
        <v>1035</v>
      </c>
      <c r="H5" s="587" t="s">
        <v>1070</v>
      </c>
      <c r="I5" s="728" t="s">
        <v>1071</v>
      </c>
      <c r="J5" s="127" t="s">
        <v>1035</v>
      </c>
    </row>
    <row r="6" spans="1:13" ht="14.25" customHeight="1">
      <c r="A6" s="729" t="s">
        <v>1008</v>
      </c>
      <c r="B6" s="790" t="s">
        <v>1009</v>
      </c>
      <c r="C6" s="729" t="s">
        <v>1010</v>
      </c>
      <c r="D6" s="729" t="s">
        <v>1011</v>
      </c>
      <c r="E6" s="741" t="s">
        <v>1015</v>
      </c>
      <c r="F6" s="731" t="s">
        <v>1016</v>
      </c>
      <c r="G6" s="742" t="s">
        <v>1017</v>
      </c>
      <c r="H6" s="730" t="s">
        <v>1039</v>
      </c>
      <c r="I6" s="731" t="s">
        <v>1040</v>
      </c>
      <c r="J6" s="1084" t="s">
        <v>1041</v>
      </c>
    </row>
    <row r="7" spans="1:13" ht="15.75" customHeight="1">
      <c r="A7" s="953" t="s">
        <v>566</v>
      </c>
      <c r="B7" s="793">
        <v>73.849999999999994</v>
      </c>
      <c r="C7" s="1085">
        <v>42.78</v>
      </c>
      <c r="D7" s="1085">
        <v>58.63</v>
      </c>
      <c r="E7" s="1086">
        <v>81.349999999999994</v>
      </c>
      <c r="F7" s="1087">
        <v>59.06</v>
      </c>
      <c r="G7" s="868">
        <v>70.59</v>
      </c>
      <c r="H7" s="798">
        <v>74.47</v>
      </c>
      <c r="I7" s="521">
        <v>44.1</v>
      </c>
      <c r="J7" s="868">
        <v>59.62</v>
      </c>
    </row>
    <row r="8" spans="1:13" ht="15.75" customHeight="1">
      <c r="A8" s="947" t="s">
        <v>26</v>
      </c>
      <c r="B8" s="1088">
        <v>70.36</v>
      </c>
      <c r="C8" s="1089">
        <v>38.75</v>
      </c>
      <c r="D8" s="994">
        <v>54.78</v>
      </c>
      <c r="E8" s="1090" t="s">
        <v>57</v>
      </c>
      <c r="F8" s="1089" t="s">
        <v>57</v>
      </c>
      <c r="G8" s="852" t="s">
        <v>57</v>
      </c>
      <c r="H8" s="794">
        <v>70.36</v>
      </c>
      <c r="I8" s="796">
        <v>38.75</v>
      </c>
      <c r="J8" s="852">
        <v>54.78</v>
      </c>
    </row>
    <row r="9" spans="1:13" ht="15.75" customHeight="1">
      <c r="A9" s="947" t="s">
        <v>27</v>
      </c>
      <c r="B9" s="1088">
        <v>72.14</v>
      </c>
      <c r="C9" s="1089">
        <v>41.42</v>
      </c>
      <c r="D9" s="994">
        <v>57.17</v>
      </c>
      <c r="E9" s="1090" t="s">
        <v>57</v>
      </c>
      <c r="F9" s="1089" t="s">
        <v>57</v>
      </c>
      <c r="G9" s="852" t="s">
        <v>57</v>
      </c>
      <c r="H9" s="794">
        <v>72.14</v>
      </c>
      <c r="I9" s="796">
        <v>41.42</v>
      </c>
      <c r="J9" s="852">
        <v>57.17</v>
      </c>
    </row>
    <row r="10" spans="1:13" ht="15.75" customHeight="1">
      <c r="A10" s="947" t="s">
        <v>53</v>
      </c>
      <c r="B10" s="1088">
        <v>71.89</v>
      </c>
      <c r="C10" s="1089">
        <v>41.69</v>
      </c>
      <c r="D10" s="994">
        <v>57.19</v>
      </c>
      <c r="E10" s="1090">
        <v>84.45</v>
      </c>
      <c r="F10" s="1089">
        <v>64.77</v>
      </c>
      <c r="G10" s="852">
        <v>74.98</v>
      </c>
      <c r="H10" s="794">
        <v>74.180000000000007</v>
      </c>
      <c r="I10" s="796">
        <v>45.82</v>
      </c>
      <c r="J10" s="852">
        <v>60.4</v>
      </c>
    </row>
    <row r="11" spans="1:13" ht="15.75" customHeight="1">
      <c r="A11" s="947" t="s">
        <v>28</v>
      </c>
      <c r="B11" s="1088">
        <v>77.260000000000005</v>
      </c>
      <c r="C11" s="1089">
        <v>47.27</v>
      </c>
      <c r="D11" s="994">
        <v>62.41</v>
      </c>
      <c r="E11" s="1090">
        <v>88.66</v>
      </c>
      <c r="F11" s="1089">
        <v>70.77</v>
      </c>
      <c r="G11" s="852">
        <v>80.150000000000006</v>
      </c>
      <c r="H11" s="794">
        <v>77.84</v>
      </c>
      <c r="I11" s="796">
        <v>48.37</v>
      </c>
      <c r="J11" s="852">
        <v>63.27</v>
      </c>
    </row>
    <row r="12" spans="1:13" ht="15.75" customHeight="1">
      <c r="A12" s="947" t="s">
        <v>29</v>
      </c>
      <c r="B12" s="1088">
        <v>71.67</v>
      </c>
      <c r="C12" s="1089">
        <v>41.74</v>
      </c>
      <c r="D12" s="994">
        <v>57.21</v>
      </c>
      <c r="E12" s="1090">
        <v>76.540000000000006</v>
      </c>
      <c r="F12" s="1089">
        <v>55.26</v>
      </c>
      <c r="G12" s="852">
        <v>66.319999999999993</v>
      </c>
      <c r="H12" s="794">
        <v>72.06</v>
      </c>
      <c r="I12" s="796">
        <v>42.8</v>
      </c>
      <c r="J12" s="852">
        <v>57.94</v>
      </c>
    </row>
    <row r="13" spans="1:13" ht="15.75" customHeight="1">
      <c r="A13" s="947" t="s">
        <v>48</v>
      </c>
      <c r="B13" s="1088">
        <v>80.599999999999994</v>
      </c>
      <c r="C13" s="1089">
        <v>52.14</v>
      </c>
      <c r="D13" s="994">
        <v>66.66</v>
      </c>
      <c r="E13" s="1090">
        <v>73.56</v>
      </c>
      <c r="F13" s="1089">
        <v>43.61</v>
      </c>
      <c r="G13" s="852">
        <v>59.07</v>
      </c>
      <c r="H13" s="794">
        <v>80.150000000000006</v>
      </c>
      <c r="I13" s="796">
        <v>51.61</v>
      </c>
      <c r="J13" s="852">
        <v>66.180000000000007</v>
      </c>
    </row>
    <row r="14" spans="1:13" ht="15.75" customHeight="1">
      <c r="A14" s="947" t="s">
        <v>54</v>
      </c>
      <c r="B14" s="1088">
        <v>72.53</v>
      </c>
      <c r="C14" s="1089">
        <v>35.97</v>
      </c>
      <c r="D14" s="994">
        <v>54.6</v>
      </c>
      <c r="E14" s="1090">
        <v>72.56</v>
      </c>
      <c r="F14" s="1089">
        <v>39.79</v>
      </c>
      <c r="G14" s="852">
        <v>56.54</v>
      </c>
      <c r="H14" s="794">
        <v>72.53</v>
      </c>
      <c r="I14" s="796">
        <v>36.29</v>
      </c>
      <c r="J14" s="852">
        <v>54.76</v>
      </c>
    </row>
    <row r="15" spans="1:13" ht="15.75" customHeight="1">
      <c r="A15" s="947" t="s">
        <v>49</v>
      </c>
      <c r="B15" s="1088" t="s">
        <v>60</v>
      </c>
      <c r="C15" s="1089" t="s">
        <v>57</v>
      </c>
      <c r="D15" s="994" t="s">
        <v>57</v>
      </c>
      <c r="E15" s="1090">
        <v>85.49</v>
      </c>
      <c r="F15" s="1089">
        <v>67.5</v>
      </c>
      <c r="G15" s="852">
        <v>76.78</v>
      </c>
      <c r="H15" s="794">
        <v>85.49</v>
      </c>
      <c r="I15" s="796">
        <v>67.5</v>
      </c>
      <c r="J15" s="852">
        <v>76.78</v>
      </c>
    </row>
    <row r="16" spans="1:13" ht="15.75" customHeight="1">
      <c r="A16" s="953" t="s">
        <v>50</v>
      </c>
      <c r="B16" s="797">
        <v>78.03</v>
      </c>
      <c r="C16" s="1087">
        <v>50.28</v>
      </c>
      <c r="D16" s="1087">
        <v>64.349999999999994</v>
      </c>
      <c r="E16" s="1086">
        <v>86.93</v>
      </c>
      <c r="F16" s="1087">
        <v>72.510000000000005</v>
      </c>
      <c r="G16" s="868">
        <v>79.930000000000007</v>
      </c>
      <c r="H16" s="798">
        <v>79.38</v>
      </c>
      <c r="I16" s="521">
        <v>53.56</v>
      </c>
      <c r="J16" s="868">
        <v>66.680000000000007</v>
      </c>
    </row>
    <row r="17" spans="1:12" ht="15.75" customHeight="1">
      <c r="A17" s="947" t="s">
        <v>33</v>
      </c>
      <c r="B17" s="1088">
        <v>73.8</v>
      </c>
      <c r="C17" s="1089">
        <v>46.63</v>
      </c>
      <c r="D17" s="1089">
        <v>60.25</v>
      </c>
      <c r="E17" s="1090">
        <v>86.03</v>
      </c>
      <c r="F17" s="1089">
        <v>69.260000000000005</v>
      </c>
      <c r="G17" s="852">
        <v>77.930000000000007</v>
      </c>
      <c r="H17" s="794">
        <v>74.61</v>
      </c>
      <c r="I17" s="796">
        <v>48.03</v>
      </c>
      <c r="J17" s="852">
        <v>61.38</v>
      </c>
    </row>
    <row r="18" spans="1:12" ht="15.75" customHeight="1">
      <c r="A18" s="947" t="s">
        <v>34</v>
      </c>
      <c r="B18" s="1088">
        <v>81.95</v>
      </c>
      <c r="C18" s="1089">
        <v>55.27</v>
      </c>
      <c r="D18" s="1089">
        <v>68.790000000000006</v>
      </c>
      <c r="E18" s="1090" t="s">
        <v>57</v>
      </c>
      <c r="F18" s="1089" t="s">
        <v>57</v>
      </c>
      <c r="G18" s="852" t="s">
        <v>57</v>
      </c>
      <c r="H18" s="794">
        <v>81.95</v>
      </c>
      <c r="I18" s="796">
        <v>55.27</v>
      </c>
      <c r="J18" s="852">
        <v>68.790000000000006</v>
      </c>
    </row>
    <row r="19" spans="1:12" ht="15.75" customHeight="1">
      <c r="A19" s="947" t="s">
        <v>55</v>
      </c>
      <c r="B19" s="1088">
        <v>77.13</v>
      </c>
      <c r="C19" s="1089">
        <v>47.73</v>
      </c>
      <c r="D19" s="1089">
        <v>62.57</v>
      </c>
      <c r="E19" s="1090">
        <v>88.81</v>
      </c>
      <c r="F19" s="796">
        <v>74.06</v>
      </c>
      <c r="G19" s="854">
        <v>81.61</v>
      </c>
      <c r="H19" s="794">
        <v>77.88</v>
      </c>
      <c r="I19" s="796">
        <v>49.38</v>
      </c>
      <c r="J19" s="852">
        <v>63.78</v>
      </c>
    </row>
    <row r="20" spans="1:12" ht="15.75" customHeight="1">
      <c r="A20" s="947" t="s">
        <v>56</v>
      </c>
      <c r="B20" s="1088">
        <v>74.64</v>
      </c>
      <c r="C20" s="1089">
        <v>45.76</v>
      </c>
      <c r="D20" s="1089">
        <v>60.27</v>
      </c>
      <c r="E20" s="1090" t="s">
        <v>57</v>
      </c>
      <c r="F20" s="796" t="s">
        <v>57</v>
      </c>
      <c r="G20" s="854" t="s">
        <v>57</v>
      </c>
      <c r="H20" s="794">
        <v>74.64</v>
      </c>
      <c r="I20" s="796">
        <v>45.76</v>
      </c>
      <c r="J20" s="852">
        <v>60.27</v>
      </c>
    </row>
    <row r="21" spans="1:12" ht="15.75" customHeight="1">
      <c r="A21" s="947" t="s">
        <v>45</v>
      </c>
      <c r="B21" s="1088">
        <v>81.16</v>
      </c>
      <c r="C21" s="1089">
        <v>54.82</v>
      </c>
      <c r="D21" s="1089">
        <v>68.14</v>
      </c>
      <c r="E21" s="1090" t="s">
        <v>57</v>
      </c>
      <c r="F21" s="183" t="s">
        <v>57</v>
      </c>
      <c r="G21" s="852" t="s">
        <v>57</v>
      </c>
      <c r="H21" s="794">
        <v>81.16</v>
      </c>
      <c r="I21" s="796">
        <v>54.82</v>
      </c>
      <c r="J21" s="852">
        <v>68.14</v>
      </c>
    </row>
    <row r="22" spans="1:12" ht="15.75" customHeight="1">
      <c r="A22" s="947" t="s">
        <v>46</v>
      </c>
      <c r="B22" s="1088">
        <v>78.239999999999995</v>
      </c>
      <c r="C22" s="1089">
        <v>50.13</v>
      </c>
      <c r="D22" s="1089">
        <v>64.58</v>
      </c>
      <c r="E22" s="1090">
        <v>81.33</v>
      </c>
      <c r="F22" s="1089">
        <v>56.42</v>
      </c>
      <c r="G22" s="852">
        <v>69.45</v>
      </c>
      <c r="H22" s="794">
        <v>78.37</v>
      </c>
      <c r="I22" s="796">
        <v>50.37</v>
      </c>
      <c r="J22" s="852">
        <v>64.77</v>
      </c>
    </row>
    <row r="23" spans="1:12" ht="15.75" customHeight="1">
      <c r="A23" s="947" t="s">
        <v>47</v>
      </c>
      <c r="B23" s="1088">
        <v>77.03</v>
      </c>
      <c r="C23" s="1089">
        <v>49.51</v>
      </c>
      <c r="D23" s="1089">
        <v>63.55</v>
      </c>
      <c r="E23" s="1090">
        <v>72.540000000000006</v>
      </c>
      <c r="F23" s="1089">
        <v>49.5</v>
      </c>
      <c r="G23" s="852">
        <v>61.25</v>
      </c>
      <c r="H23" s="794">
        <v>76.72</v>
      </c>
      <c r="I23" s="796">
        <v>49.51</v>
      </c>
      <c r="J23" s="852">
        <v>63.39</v>
      </c>
    </row>
    <row r="24" spans="1:12" ht="15.75" customHeight="1">
      <c r="A24" s="947" t="s">
        <v>58</v>
      </c>
      <c r="B24" s="1088" t="s">
        <v>57</v>
      </c>
      <c r="C24" s="1089" t="s">
        <v>57</v>
      </c>
      <c r="D24" s="1089" t="s">
        <v>57</v>
      </c>
      <c r="E24" s="1090">
        <v>88.4</v>
      </c>
      <c r="F24" s="1089">
        <v>75.39</v>
      </c>
      <c r="G24" s="852">
        <v>82.09</v>
      </c>
      <c r="H24" s="794">
        <v>88.4</v>
      </c>
      <c r="I24" s="796">
        <v>75.39</v>
      </c>
      <c r="J24" s="852">
        <v>82.09</v>
      </c>
    </row>
    <row r="25" spans="1:12" ht="27" customHeight="1">
      <c r="A25" s="953" t="s">
        <v>1368</v>
      </c>
      <c r="B25" s="797">
        <v>79.25</v>
      </c>
      <c r="C25" s="1087">
        <v>52.21</v>
      </c>
      <c r="D25" s="1087">
        <v>66.08</v>
      </c>
      <c r="E25" s="1086">
        <v>83.98</v>
      </c>
      <c r="F25" s="1087">
        <v>65.84</v>
      </c>
      <c r="G25" s="868">
        <v>75.23</v>
      </c>
      <c r="H25" s="798">
        <v>80.03</v>
      </c>
      <c r="I25" s="521">
        <v>54.42</v>
      </c>
      <c r="J25" s="868">
        <v>67.58</v>
      </c>
      <c r="K25" s="1091"/>
      <c r="L25" s="736"/>
    </row>
    <row r="26" spans="1:12" ht="15.75" customHeight="1">
      <c r="A26" s="947" t="s">
        <v>36</v>
      </c>
      <c r="B26" s="1088">
        <v>81.84</v>
      </c>
      <c r="C26" s="1089">
        <v>56.33</v>
      </c>
      <c r="D26" s="1089">
        <v>69.290000000000006</v>
      </c>
      <c r="E26" s="1090">
        <v>89.31</v>
      </c>
      <c r="F26" s="1089">
        <v>75.69</v>
      </c>
      <c r="G26" s="852">
        <v>82.59</v>
      </c>
      <c r="H26" s="794">
        <v>82.83</v>
      </c>
      <c r="I26" s="796">
        <v>58.91</v>
      </c>
      <c r="J26" s="852">
        <v>71.06</v>
      </c>
    </row>
    <row r="27" spans="1:12" ht="15.75" customHeight="1">
      <c r="A27" s="947" t="s">
        <v>37</v>
      </c>
      <c r="B27" s="1088">
        <v>75.97</v>
      </c>
      <c r="C27" s="1089">
        <v>49.38</v>
      </c>
      <c r="D27" s="1089">
        <v>63.06</v>
      </c>
      <c r="E27" s="1090">
        <v>83.49</v>
      </c>
      <c r="F27" s="1089">
        <v>64.22</v>
      </c>
      <c r="G27" s="852">
        <v>74.36</v>
      </c>
      <c r="H27" s="794">
        <v>77.38</v>
      </c>
      <c r="I27" s="796">
        <v>52.06</v>
      </c>
      <c r="J27" s="852">
        <v>65.14</v>
      </c>
    </row>
    <row r="28" spans="1:12" ht="15.75" customHeight="1">
      <c r="A28" s="947" t="s">
        <v>38</v>
      </c>
      <c r="B28" s="1088">
        <v>79.709999999999994</v>
      </c>
      <c r="C28" s="1089">
        <v>49.7</v>
      </c>
      <c r="D28" s="1089">
        <v>65.17</v>
      </c>
      <c r="E28" s="1090">
        <v>79.08</v>
      </c>
      <c r="F28" s="1089">
        <v>56.13</v>
      </c>
      <c r="G28" s="852">
        <v>68</v>
      </c>
      <c r="H28" s="854">
        <v>79.61</v>
      </c>
      <c r="I28" s="796">
        <v>50.73</v>
      </c>
      <c r="J28" s="852">
        <v>65.62</v>
      </c>
    </row>
    <row r="29" spans="1:12" ht="15.75" customHeight="1">
      <c r="A29" s="947" t="s">
        <v>40</v>
      </c>
      <c r="B29" s="1088">
        <v>76.48</v>
      </c>
      <c r="C29" s="1089">
        <v>51.03</v>
      </c>
      <c r="D29" s="1089">
        <v>64.180000000000007</v>
      </c>
      <c r="E29" s="1090">
        <v>88.41</v>
      </c>
      <c r="F29" s="1089">
        <v>73.33</v>
      </c>
      <c r="G29" s="852">
        <v>81.23</v>
      </c>
      <c r="H29" s="854">
        <v>78.73</v>
      </c>
      <c r="I29" s="796">
        <v>55.14</v>
      </c>
      <c r="J29" s="852">
        <v>67.36</v>
      </c>
    </row>
    <row r="30" spans="1:12" ht="15.75" customHeight="1">
      <c r="A30" s="947" t="s">
        <v>52</v>
      </c>
      <c r="B30" s="1088">
        <v>80.72</v>
      </c>
      <c r="C30" s="1089">
        <v>52.31</v>
      </c>
      <c r="D30" s="1089">
        <v>66.930000000000007</v>
      </c>
      <c r="E30" s="1090">
        <v>85.1</v>
      </c>
      <c r="F30" s="1089">
        <v>61.57</v>
      </c>
      <c r="G30" s="852">
        <v>73.790000000000006</v>
      </c>
      <c r="H30" s="854">
        <v>80.95</v>
      </c>
      <c r="I30" s="796">
        <v>52.79</v>
      </c>
      <c r="J30" s="852">
        <v>67.290000000000006</v>
      </c>
    </row>
    <row r="31" spans="1:12" ht="15.75" customHeight="1">
      <c r="A31" s="947" t="s">
        <v>41</v>
      </c>
      <c r="B31" s="1088" t="s">
        <v>57</v>
      </c>
      <c r="C31" s="1089" t="s">
        <v>57</v>
      </c>
      <c r="D31" s="1089" t="s">
        <v>57</v>
      </c>
      <c r="E31" s="1092">
        <v>84.96</v>
      </c>
      <c r="F31" s="1092">
        <v>68.67</v>
      </c>
      <c r="G31" s="852">
        <v>77.069999999999993</v>
      </c>
      <c r="H31" s="854">
        <v>84.96</v>
      </c>
      <c r="I31" s="796">
        <v>68.67</v>
      </c>
      <c r="J31" s="852">
        <v>77.069999999999993</v>
      </c>
    </row>
    <row r="32" spans="1:12" ht="15.75" customHeight="1">
      <c r="A32" s="948" t="s">
        <v>39</v>
      </c>
      <c r="B32" s="1088">
        <v>77.25</v>
      </c>
      <c r="C32" s="1089">
        <v>52.42</v>
      </c>
      <c r="D32" s="1093">
        <v>65.09</v>
      </c>
      <c r="E32" s="1090">
        <v>63.83</v>
      </c>
      <c r="F32" s="1089">
        <v>37.880000000000003</v>
      </c>
      <c r="G32" s="852">
        <v>51.38</v>
      </c>
      <c r="H32" s="854">
        <v>76.319999999999993</v>
      </c>
      <c r="I32" s="1094">
        <v>51.45</v>
      </c>
      <c r="J32" s="809">
        <v>64.150000000000006</v>
      </c>
    </row>
    <row r="33" spans="1:10" s="736" customFormat="1" ht="14.25" customHeight="1">
      <c r="A33" s="771" t="s">
        <v>302</v>
      </c>
      <c r="B33" s="735">
        <v>76.83</v>
      </c>
      <c r="C33" s="799">
        <v>48.06</v>
      </c>
      <c r="D33" s="1095">
        <v>62.73</v>
      </c>
      <c r="E33" s="858">
        <v>84.63</v>
      </c>
      <c r="F33" s="799">
        <v>67.150000000000006</v>
      </c>
      <c r="G33" s="859">
        <v>76.180000000000007</v>
      </c>
      <c r="H33" s="858">
        <v>77.86</v>
      </c>
      <c r="I33" s="799">
        <v>50.52</v>
      </c>
      <c r="J33" s="859">
        <v>64.48</v>
      </c>
    </row>
    <row r="34" spans="1:10">
      <c r="A34" s="550" t="s">
        <v>803</v>
      </c>
      <c r="B34" s="992"/>
      <c r="C34" s="992"/>
      <c r="D34" s="992"/>
      <c r="E34" s="992"/>
      <c r="F34" s="992"/>
      <c r="G34" s="992"/>
      <c r="H34" s="1596" t="s">
        <v>896</v>
      </c>
      <c r="I34" s="1597"/>
      <c r="J34" s="1597"/>
    </row>
    <row r="35" spans="1:10">
      <c r="A35" s="926"/>
      <c r="B35" s="926"/>
      <c r="C35" s="926"/>
      <c r="D35" s="926"/>
      <c r="E35" s="926"/>
      <c r="F35" s="926"/>
      <c r="H35" s="37"/>
      <c r="I35" s="37"/>
      <c r="J35" s="37"/>
    </row>
    <row r="36" spans="1:10">
      <c r="A36" s="926"/>
      <c r="B36" s="926"/>
      <c r="C36" s="926"/>
      <c r="D36" s="926"/>
      <c r="E36" s="926"/>
      <c r="F36" s="926"/>
      <c r="G36" s="926"/>
      <c r="H36" s="926"/>
      <c r="I36" s="926"/>
      <c r="J36" s="926"/>
    </row>
    <row r="37" spans="1:10">
      <c r="A37" s="926"/>
      <c r="B37" s="926"/>
      <c r="C37" s="926"/>
      <c r="D37" s="926"/>
      <c r="E37" s="926"/>
      <c r="F37" s="926"/>
      <c r="G37" s="926"/>
      <c r="H37" s="926"/>
      <c r="I37" s="926"/>
      <c r="J37" s="926"/>
    </row>
    <row r="38" spans="1:10">
      <c r="A38" s="926"/>
      <c r="B38" s="926"/>
      <c r="C38" s="926"/>
      <c r="D38" s="926"/>
      <c r="E38" s="926"/>
      <c r="F38" s="926"/>
      <c r="G38" s="926"/>
      <c r="H38" s="926"/>
      <c r="I38" s="926"/>
      <c r="J38" s="926"/>
    </row>
    <row r="39" spans="1:10">
      <c r="A39" s="926"/>
      <c r="B39" s="926"/>
      <c r="C39" s="926"/>
      <c r="D39" s="926"/>
      <c r="E39" s="926"/>
      <c r="F39" s="926"/>
      <c r="G39" s="926"/>
      <c r="H39" s="926"/>
      <c r="I39" s="926"/>
      <c r="J39" s="926"/>
    </row>
    <row r="40" spans="1:10">
      <c r="A40" s="926"/>
      <c r="B40" s="926"/>
      <c r="C40" s="926"/>
      <c r="D40" s="926"/>
      <c r="E40" s="926"/>
      <c r="F40" s="926"/>
      <c r="G40" s="926"/>
      <c r="H40" s="926"/>
      <c r="I40" s="926"/>
      <c r="J40" s="926"/>
    </row>
    <row r="41" spans="1:10">
      <c r="A41" s="926"/>
      <c r="B41" s="926"/>
      <c r="C41" s="926"/>
      <c r="D41" s="926"/>
      <c r="E41" s="926"/>
      <c r="F41" s="926"/>
      <c r="G41" s="926"/>
      <c r="H41" s="926"/>
      <c r="I41" s="926"/>
      <c r="J41" s="926"/>
    </row>
    <row r="42" spans="1:10">
      <c r="A42" s="926"/>
      <c r="B42" s="926"/>
      <c r="C42" s="926"/>
      <c r="D42" s="926"/>
      <c r="E42" s="926"/>
      <c r="F42" s="926"/>
      <c r="G42" s="926"/>
      <c r="H42" s="926"/>
      <c r="I42" s="926"/>
      <c r="J42" s="926"/>
    </row>
  </sheetData>
  <mergeCells count="7">
    <mergeCell ref="H34:J34"/>
    <mergeCell ref="A1:J1"/>
    <mergeCell ref="A2:J2"/>
    <mergeCell ref="A4:A5"/>
    <mergeCell ref="B4:D4"/>
    <mergeCell ref="E4:G4"/>
    <mergeCell ref="H4:J4"/>
  </mergeCells>
  <phoneticPr fontId="0" type="noConversion"/>
  <printOptions horizontalCentered="1" verticalCentered="1"/>
  <pageMargins left="0.1" right="0.1" top="0.43" bottom="0.1" header="0.16" footer="0"/>
  <pageSetup paperSize="9" orientation="landscape" blackAndWhite="1" r:id="rId1"/>
  <headerFooter alignWithMargins="0"/>
</worksheet>
</file>

<file path=xl/worksheets/sheet38.xml><?xml version="1.0" encoding="utf-8"?>
<worksheet xmlns="http://schemas.openxmlformats.org/spreadsheetml/2006/main" xmlns:r="http://schemas.openxmlformats.org/officeDocument/2006/relationships">
  <sheetPr codeName="Sheet35"/>
  <dimension ref="A1:D43"/>
  <sheetViews>
    <sheetView topLeftCell="A13" workbookViewId="0">
      <selection activeCell="F14" sqref="F14"/>
    </sheetView>
  </sheetViews>
  <sheetFormatPr defaultRowHeight="12.4" customHeight="1"/>
  <cols>
    <col min="1" max="1" width="25" style="723" customWidth="1"/>
    <col min="2" max="2" width="19.5703125" style="723" customWidth="1"/>
    <col min="3" max="4" width="21.42578125" style="723" customWidth="1"/>
    <col min="5" max="16384" width="9.140625" style="723"/>
  </cols>
  <sheetData>
    <row r="1" spans="1:4" ht="12.75" customHeight="1">
      <c r="A1" s="1399" t="s">
        <v>659</v>
      </c>
      <c r="B1" s="1399"/>
      <c r="C1" s="1399"/>
      <c r="D1" s="1399"/>
    </row>
    <row r="2" spans="1:4" ht="32.25" customHeight="1">
      <c r="A2" s="1467" t="str">
        <f>CONCATENATE(" Public Libraries, Reading Rooms and Mass Literacy Centres 
in the district of ",District!A1)</f>
        <v xml:space="preserve"> Public Libraries, Reading Rooms and Mass Literacy Centres 
in the district of Purulia</v>
      </c>
      <c r="B2" s="1467"/>
      <c r="C2" s="1467"/>
      <c r="D2" s="1467"/>
    </row>
    <row r="3" spans="1:4" ht="12" customHeight="1">
      <c r="B3" s="772"/>
      <c r="C3" s="772"/>
      <c r="D3" s="738" t="s">
        <v>1058</v>
      </c>
    </row>
    <row r="4" spans="1:4" ht="40.5" customHeight="1">
      <c r="A4" s="719" t="s">
        <v>951</v>
      </c>
      <c r="B4" s="704" t="s">
        <v>1361</v>
      </c>
      <c r="C4" s="491" t="s">
        <v>1360</v>
      </c>
      <c r="D4" s="874" t="s">
        <v>286</v>
      </c>
    </row>
    <row r="5" spans="1:4" ht="15" customHeight="1">
      <c r="A5" s="729" t="s">
        <v>1008</v>
      </c>
      <c r="B5" s="741" t="s">
        <v>1009</v>
      </c>
      <c r="C5" s="729" t="s">
        <v>1010</v>
      </c>
      <c r="D5" s="742" t="s">
        <v>1011</v>
      </c>
    </row>
    <row r="6" spans="1:4" ht="16.5" customHeight="1">
      <c r="A6" s="126" t="s">
        <v>1526</v>
      </c>
      <c r="B6" s="1096">
        <v>118</v>
      </c>
      <c r="C6" s="1097">
        <v>113</v>
      </c>
      <c r="D6" s="1097">
        <v>1015</v>
      </c>
    </row>
    <row r="7" spans="1:4" ht="16.5" customHeight="1">
      <c r="A7" s="126" t="s">
        <v>1525</v>
      </c>
      <c r="B7" s="1096">
        <v>118</v>
      </c>
      <c r="C7" s="1097">
        <v>113</v>
      </c>
      <c r="D7" s="1097">
        <v>1015</v>
      </c>
    </row>
    <row r="8" spans="1:4" ht="16.5" customHeight="1">
      <c r="A8" s="126" t="s">
        <v>1051</v>
      </c>
      <c r="B8" s="1096">
        <v>118</v>
      </c>
      <c r="C8" s="1098">
        <v>113</v>
      </c>
      <c r="D8" s="1097" t="s">
        <v>345</v>
      </c>
    </row>
    <row r="9" spans="1:4" ht="16.5" customHeight="1">
      <c r="A9" s="126" t="s">
        <v>1250</v>
      </c>
      <c r="B9" s="1096">
        <v>118</v>
      </c>
      <c r="C9" s="1097">
        <v>116</v>
      </c>
      <c r="D9" s="1097" t="s">
        <v>528</v>
      </c>
    </row>
    <row r="10" spans="1:4" ht="16.5" customHeight="1">
      <c r="A10" s="587" t="s">
        <v>527</v>
      </c>
      <c r="B10" s="1099">
        <f>SUM(B12,B21,B30)</f>
        <v>118</v>
      </c>
      <c r="C10" s="1099">
        <f>SUM(C12,C21,C30)</f>
        <v>118</v>
      </c>
      <c r="D10" s="746" t="str">
        <f>SUM(D12,D21,D30) &amp; "**"</f>
        <v>12580**</v>
      </c>
    </row>
    <row r="11" spans="1:4" ht="16.5" customHeight="1">
      <c r="A11" s="1100" t="s">
        <v>1218</v>
      </c>
      <c r="B11" s="1600" t="str">
        <f>"Year : " &amp; $A$10</f>
        <v>Year : 2013-14</v>
      </c>
      <c r="C11" s="1525"/>
      <c r="D11" s="1525"/>
    </row>
    <row r="12" spans="1:4" ht="18" customHeight="1">
      <c r="A12" s="953" t="s">
        <v>566</v>
      </c>
      <c r="B12" s="891">
        <f>SUM(B13:B20)</f>
        <v>40</v>
      </c>
      <c r="C12" s="145">
        <f>SUM(C13:C20)</f>
        <v>40</v>
      </c>
      <c r="D12" s="509">
        <f>SUM(D13:D20)</f>
        <v>4366</v>
      </c>
    </row>
    <row r="13" spans="1:4" ht="18" customHeight="1">
      <c r="A13" s="947" t="s">
        <v>26</v>
      </c>
      <c r="B13" s="801">
        <v>5</v>
      </c>
      <c r="C13" s="804">
        <v>5</v>
      </c>
      <c r="D13" s="928">
        <v>592</v>
      </c>
    </row>
    <row r="14" spans="1:4" ht="18" customHeight="1">
      <c r="A14" s="947" t="s">
        <v>27</v>
      </c>
      <c r="B14" s="801">
        <v>6</v>
      </c>
      <c r="C14" s="804">
        <v>6</v>
      </c>
      <c r="D14" s="928">
        <v>592</v>
      </c>
    </row>
    <row r="15" spans="1:4" ht="18" customHeight="1">
      <c r="A15" s="947" t="s">
        <v>53</v>
      </c>
      <c r="B15" s="801">
        <v>5</v>
      </c>
      <c r="C15" s="804">
        <v>5</v>
      </c>
      <c r="D15" s="928">
        <v>518</v>
      </c>
    </row>
    <row r="16" spans="1:4" ht="18" customHeight="1">
      <c r="A16" s="947" t="s">
        <v>28</v>
      </c>
      <c r="B16" s="801">
        <v>7</v>
      </c>
      <c r="C16" s="804">
        <v>7</v>
      </c>
      <c r="D16" s="928">
        <v>740</v>
      </c>
    </row>
    <row r="17" spans="1:4" ht="18" customHeight="1">
      <c r="A17" s="947" t="s">
        <v>29</v>
      </c>
      <c r="B17" s="801">
        <v>5</v>
      </c>
      <c r="C17" s="804">
        <v>5</v>
      </c>
      <c r="D17" s="928">
        <v>518</v>
      </c>
    </row>
    <row r="18" spans="1:4" ht="18" customHeight="1">
      <c r="A18" s="947" t="s">
        <v>48</v>
      </c>
      <c r="B18" s="801">
        <v>6</v>
      </c>
      <c r="C18" s="804">
        <v>6</v>
      </c>
      <c r="D18" s="928">
        <v>740</v>
      </c>
    </row>
    <row r="19" spans="1:4" ht="18" customHeight="1">
      <c r="A19" s="947" t="s">
        <v>54</v>
      </c>
      <c r="B19" s="801">
        <v>5</v>
      </c>
      <c r="C19" s="804">
        <v>5</v>
      </c>
      <c r="D19" s="928">
        <v>666</v>
      </c>
    </row>
    <row r="20" spans="1:4" ht="18" customHeight="1">
      <c r="A20" s="947" t="s">
        <v>49</v>
      </c>
      <c r="B20" s="801">
        <v>1</v>
      </c>
      <c r="C20" s="804">
        <v>1</v>
      </c>
      <c r="D20" s="1246" t="s">
        <v>57</v>
      </c>
    </row>
    <row r="21" spans="1:4" ht="18" customHeight="1">
      <c r="A21" s="953" t="s">
        <v>50</v>
      </c>
      <c r="B21" s="145">
        <f>SUM(B22:B29)</f>
        <v>44</v>
      </c>
      <c r="C21" s="145">
        <f>SUM(C22:C29)</f>
        <v>44</v>
      </c>
      <c r="D21" s="509">
        <f>SUM(D22:D29)</f>
        <v>4588</v>
      </c>
    </row>
    <row r="22" spans="1:4" ht="18" customHeight="1">
      <c r="A22" s="947" t="s">
        <v>33</v>
      </c>
      <c r="B22" s="801">
        <v>5</v>
      </c>
      <c r="C22" s="804">
        <v>5</v>
      </c>
      <c r="D22" s="928">
        <v>592</v>
      </c>
    </row>
    <row r="23" spans="1:4" ht="18" customHeight="1">
      <c r="A23" s="947" t="s">
        <v>34</v>
      </c>
      <c r="B23" s="801">
        <v>7</v>
      </c>
      <c r="C23" s="804">
        <v>7</v>
      </c>
      <c r="D23" s="928">
        <v>740</v>
      </c>
    </row>
    <row r="24" spans="1:4" ht="18" customHeight="1">
      <c r="A24" s="947" t="s">
        <v>55</v>
      </c>
      <c r="B24" s="801">
        <v>8</v>
      </c>
      <c r="C24" s="804">
        <v>8</v>
      </c>
      <c r="D24" s="928">
        <v>740</v>
      </c>
    </row>
    <row r="25" spans="1:4" ht="18" customHeight="1">
      <c r="A25" s="947" t="s">
        <v>56</v>
      </c>
      <c r="B25" s="801">
        <v>4</v>
      </c>
      <c r="C25" s="804">
        <v>4</v>
      </c>
      <c r="D25" s="928">
        <v>518</v>
      </c>
    </row>
    <row r="26" spans="1:4" ht="18" customHeight="1">
      <c r="A26" s="947" t="s">
        <v>45</v>
      </c>
      <c r="B26" s="801">
        <v>8</v>
      </c>
      <c r="C26" s="804">
        <v>8</v>
      </c>
      <c r="D26" s="928">
        <v>740</v>
      </c>
    </row>
    <row r="27" spans="1:4" ht="18" customHeight="1">
      <c r="A27" s="947" t="s">
        <v>46</v>
      </c>
      <c r="B27" s="801">
        <v>5</v>
      </c>
      <c r="C27" s="804">
        <v>5</v>
      </c>
      <c r="D27" s="928">
        <v>592</v>
      </c>
    </row>
    <row r="28" spans="1:4" ht="18" customHeight="1">
      <c r="A28" s="947" t="s">
        <v>47</v>
      </c>
      <c r="B28" s="801">
        <v>6</v>
      </c>
      <c r="C28" s="804">
        <v>6</v>
      </c>
      <c r="D28" s="928">
        <v>666</v>
      </c>
    </row>
    <row r="29" spans="1:4" ht="18" customHeight="1">
      <c r="A29" s="947" t="s">
        <v>58</v>
      </c>
      <c r="B29" s="801">
        <v>1</v>
      </c>
      <c r="C29" s="804">
        <v>1</v>
      </c>
      <c r="D29" s="1246" t="s">
        <v>57</v>
      </c>
    </row>
    <row r="30" spans="1:4" ht="27" customHeight="1">
      <c r="A30" s="953" t="s">
        <v>1368</v>
      </c>
      <c r="B30" s="891">
        <f>SUM(B31:B37)</f>
        <v>34</v>
      </c>
      <c r="C30" s="145">
        <f>SUM(C31:C37)</f>
        <v>34</v>
      </c>
      <c r="D30" s="509">
        <f>SUM(D31:D37)</f>
        <v>3626</v>
      </c>
    </row>
    <row r="31" spans="1:4" ht="18" customHeight="1">
      <c r="A31" s="947" t="s">
        <v>36</v>
      </c>
      <c r="B31" s="801">
        <v>7</v>
      </c>
      <c r="C31" s="804">
        <v>7</v>
      </c>
      <c r="D31" s="928">
        <v>962</v>
      </c>
    </row>
    <row r="32" spans="1:4" ht="18" customHeight="1">
      <c r="A32" s="947" t="s">
        <v>37</v>
      </c>
      <c r="B32" s="801">
        <v>5</v>
      </c>
      <c r="C32" s="804">
        <v>5</v>
      </c>
      <c r="D32" s="928">
        <v>518</v>
      </c>
    </row>
    <row r="33" spans="1:4" ht="18" customHeight="1">
      <c r="A33" s="947" t="s">
        <v>38</v>
      </c>
      <c r="B33" s="801">
        <v>7</v>
      </c>
      <c r="C33" s="804">
        <v>7</v>
      </c>
      <c r="D33" s="928">
        <v>740</v>
      </c>
    </row>
    <row r="34" spans="1:4" ht="18" customHeight="1">
      <c r="A34" s="947" t="s">
        <v>40</v>
      </c>
      <c r="B34" s="801">
        <v>5</v>
      </c>
      <c r="C34" s="804">
        <v>5</v>
      </c>
      <c r="D34" s="928">
        <v>518</v>
      </c>
    </row>
    <row r="35" spans="1:4" ht="18" customHeight="1">
      <c r="A35" s="947" t="s">
        <v>52</v>
      </c>
      <c r="B35" s="801">
        <v>5</v>
      </c>
      <c r="C35" s="804">
        <v>5</v>
      </c>
      <c r="D35" s="928">
        <v>444</v>
      </c>
    </row>
    <row r="36" spans="1:4" ht="18" customHeight="1">
      <c r="A36" s="947" t="s">
        <v>41</v>
      </c>
      <c r="B36" s="801">
        <v>1</v>
      </c>
      <c r="C36" s="804">
        <v>1</v>
      </c>
      <c r="D36" s="1246" t="s">
        <v>57</v>
      </c>
    </row>
    <row r="37" spans="1:4" ht="18" customHeight="1">
      <c r="A37" s="948" t="s">
        <v>39</v>
      </c>
      <c r="B37" s="958">
        <v>4</v>
      </c>
      <c r="C37" s="808">
        <v>4</v>
      </c>
      <c r="D37" s="806">
        <v>444</v>
      </c>
    </row>
    <row r="38" spans="1:4" ht="12" customHeight="1">
      <c r="A38" s="1601" t="s">
        <v>274</v>
      </c>
      <c r="B38" s="549" t="s">
        <v>1469</v>
      </c>
      <c r="C38" s="1599" t="str">
        <f>CONCATENATE("1) District Library Officer, ",District!A1)</f>
        <v>1) District Library Officer, Purulia</v>
      </c>
      <c r="D38" s="1599"/>
    </row>
    <row r="39" spans="1:4" ht="12.4" customHeight="1">
      <c r="A39" s="1602"/>
      <c r="B39" s="553"/>
      <c r="C39" s="1599" t="s">
        <v>1378</v>
      </c>
      <c r="D39" s="1599"/>
    </row>
    <row r="40" spans="1:4" ht="12.4" customHeight="1">
      <c r="A40" s="715" t="s">
        <v>1357</v>
      </c>
      <c r="B40" s="715"/>
      <c r="C40" s="540"/>
      <c r="D40" s="540"/>
    </row>
    <row r="41" spans="1:4" ht="12.4" customHeight="1">
      <c r="A41" s="716" t="s">
        <v>285</v>
      </c>
      <c r="B41" s="715"/>
      <c r="C41" s="717"/>
      <c r="D41" s="717"/>
    </row>
    <row r="42" spans="1:4" ht="12.4" customHeight="1">
      <c r="A42" s="717" t="s">
        <v>284</v>
      </c>
      <c r="B42" s="715"/>
      <c r="C42" s="540"/>
      <c r="D42" s="540"/>
    </row>
    <row r="43" spans="1:4" ht="12.4" customHeight="1">
      <c r="B43" s="540"/>
      <c r="C43" s="540"/>
      <c r="D43" s="540"/>
    </row>
  </sheetData>
  <mergeCells count="6">
    <mergeCell ref="A1:D1"/>
    <mergeCell ref="A2:D2"/>
    <mergeCell ref="C38:D38"/>
    <mergeCell ref="C39:D39"/>
    <mergeCell ref="B11:D11"/>
    <mergeCell ref="A38:A39"/>
  </mergeCells>
  <phoneticPr fontId="0" type="noConversion"/>
  <printOptions horizontalCentered="1"/>
  <pageMargins left="0.1" right="0.1" top="0.66" bottom="0.1" header="0.61" footer="0.1"/>
  <pageSetup paperSize="9" orientation="portrait" blackAndWhite="1" r:id="rId1"/>
  <headerFooter alignWithMargins="0"/>
</worksheet>
</file>

<file path=xl/worksheets/sheet39.xml><?xml version="1.0" encoding="utf-8"?>
<worksheet xmlns="http://schemas.openxmlformats.org/spreadsheetml/2006/main" xmlns:r="http://schemas.openxmlformats.org/officeDocument/2006/relationships">
  <sheetPr codeName="Sheet36"/>
  <dimension ref="A1:L57"/>
  <sheetViews>
    <sheetView topLeftCell="A37" workbookViewId="0">
      <selection activeCell="F14" sqref="F14"/>
    </sheetView>
  </sheetViews>
  <sheetFormatPr defaultRowHeight="12.4" customHeight="1"/>
  <cols>
    <col min="1" max="1" width="25.28515625" style="723" customWidth="1"/>
    <col min="2" max="7" width="11.7109375" style="723" customWidth="1"/>
    <col min="8" max="16384" width="9.140625" style="723"/>
  </cols>
  <sheetData>
    <row r="1" spans="1:7" ht="12" customHeight="1">
      <c r="A1" s="1508" t="s">
        <v>661</v>
      </c>
      <c r="B1" s="1508"/>
      <c r="C1" s="1508"/>
      <c r="D1" s="1508"/>
      <c r="E1" s="1508"/>
      <c r="F1" s="1508"/>
      <c r="G1" s="1508"/>
    </row>
    <row r="2" spans="1:7" ht="13.5" customHeight="1">
      <c r="A2" s="1509" t="str">
        <f>CONCATENATE("Cinema Houses in the district of ",District!A1)</f>
        <v>Cinema Houses in the district of Purulia</v>
      </c>
      <c r="B2" s="1509"/>
      <c r="C2" s="1509"/>
      <c r="D2" s="1509"/>
      <c r="E2" s="1509"/>
      <c r="F2" s="1509"/>
      <c r="G2" s="1509"/>
    </row>
    <row r="3" spans="1:7" ht="26.25" customHeight="1">
      <c r="A3" s="719" t="s">
        <v>951</v>
      </c>
      <c r="B3" s="1490" t="s">
        <v>415</v>
      </c>
      <c r="C3" s="1492"/>
      <c r="D3" s="1490" t="s">
        <v>213</v>
      </c>
      <c r="E3" s="1492"/>
      <c r="F3" s="1491" t="s">
        <v>1362</v>
      </c>
      <c r="G3" s="1492"/>
    </row>
    <row r="4" spans="1:7" ht="12.75" customHeight="1">
      <c r="A4" s="741" t="s">
        <v>1008</v>
      </c>
      <c r="B4" s="1395" t="s">
        <v>1009</v>
      </c>
      <c r="C4" s="1396"/>
      <c r="D4" s="1395" t="s">
        <v>1010</v>
      </c>
      <c r="E4" s="1396"/>
      <c r="F4" s="1485" t="s">
        <v>1011</v>
      </c>
      <c r="G4" s="1396"/>
    </row>
    <row r="5" spans="1:7" ht="13.5" customHeight="1">
      <c r="A5" s="743" t="s">
        <v>1526</v>
      </c>
      <c r="B5" s="1610">
        <v>9</v>
      </c>
      <c r="C5" s="1611"/>
      <c r="D5" s="1610">
        <v>4322</v>
      </c>
      <c r="E5" s="1611"/>
      <c r="F5" s="1610">
        <v>216025</v>
      </c>
      <c r="G5" s="1611"/>
    </row>
    <row r="6" spans="1:7" ht="13.5" customHeight="1">
      <c r="A6" s="743" t="s">
        <v>1525</v>
      </c>
      <c r="B6" s="1612">
        <v>9</v>
      </c>
      <c r="C6" s="1613"/>
      <c r="D6" s="1612">
        <v>4322</v>
      </c>
      <c r="E6" s="1613"/>
      <c r="F6" s="1612">
        <v>162375</v>
      </c>
      <c r="G6" s="1613"/>
    </row>
    <row r="7" spans="1:7" ht="13.5" customHeight="1">
      <c r="A7" s="743" t="s">
        <v>1051</v>
      </c>
      <c r="B7" s="1612">
        <v>9</v>
      </c>
      <c r="C7" s="1613"/>
      <c r="D7" s="1612">
        <v>4322</v>
      </c>
      <c r="E7" s="1613"/>
      <c r="F7" s="1612">
        <v>129470</v>
      </c>
      <c r="G7" s="1613"/>
    </row>
    <row r="8" spans="1:7" ht="13.5" customHeight="1">
      <c r="A8" s="602" t="s">
        <v>1250</v>
      </c>
      <c r="B8" s="1614">
        <v>3</v>
      </c>
      <c r="C8" s="1613"/>
      <c r="D8" s="1612">
        <v>1752</v>
      </c>
      <c r="E8" s="1613"/>
      <c r="F8" s="1612">
        <v>104811</v>
      </c>
      <c r="G8" s="1613"/>
    </row>
    <row r="9" spans="1:7" ht="13.5" customHeight="1">
      <c r="A9" s="1102" t="s">
        <v>527</v>
      </c>
      <c r="B9" s="1615">
        <f>SUM(B11,B20,B29)</f>
        <v>3</v>
      </c>
      <c r="C9" s="1616"/>
      <c r="D9" s="1615">
        <f>SUM(D11,D20,D29)</f>
        <v>1752</v>
      </c>
      <c r="E9" s="1616"/>
      <c r="F9" s="1615">
        <f>SUM(F11,F20,F29)</f>
        <v>16658</v>
      </c>
      <c r="G9" s="1616"/>
    </row>
    <row r="10" spans="1:7" ht="15.75" customHeight="1">
      <c r="A10" s="1103" t="s">
        <v>1218</v>
      </c>
      <c r="B10" s="1535" t="str">
        <f>"Year : " &amp; A9</f>
        <v>Year : 2013-14</v>
      </c>
      <c r="C10" s="1535"/>
      <c r="D10" s="1535"/>
      <c r="E10" s="1535"/>
      <c r="F10" s="1535"/>
      <c r="G10" s="1536"/>
    </row>
    <row r="11" spans="1:7" ht="14.1" customHeight="1">
      <c r="A11" s="953" t="s">
        <v>566</v>
      </c>
      <c r="B11" s="1539">
        <f>SUM(B12:B19)</f>
        <v>1</v>
      </c>
      <c r="C11" s="1605"/>
      <c r="D11" s="1539">
        <f>SUM(D12:D19)</f>
        <v>560</v>
      </c>
      <c r="E11" s="1605"/>
      <c r="F11" s="1539">
        <f>SUM(F12:F19)</f>
        <v>16658</v>
      </c>
      <c r="G11" s="1605"/>
    </row>
    <row r="12" spans="1:7" ht="13.5" customHeight="1">
      <c r="A12" s="947" t="s">
        <v>26</v>
      </c>
      <c r="B12" s="1603" t="s">
        <v>57</v>
      </c>
      <c r="C12" s="1604"/>
      <c r="D12" s="1603" t="s">
        <v>57</v>
      </c>
      <c r="E12" s="1604"/>
      <c r="F12" s="1603" t="s">
        <v>57</v>
      </c>
      <c r="G12" s="1604"/>
    </row>
    <row r="13" spans="1:7" ht="13.5" customHeight="1">
      <c r="A13" s="947" t="s">
        <v>27</v>
      </c>
      <c r="B13" s="1603" t="s">
        <v>57</v>
      </c>
      <c r="C13" s="1604"/>
      <c r="D13" s="1603" t="s">
        <v>57</v>
      </c>
      <c r="E13" s="1604"/>
      <c r="F13" s="1603" t="s">
        <v>57</v>
      </c>
      <c r="G13" s="1604"/>
    </row>
    <row r="14" spans="1:7" ht="13.5" customHeight="1">
      <c r="A14" s="947" t="s">
        <v>53</v>
      </c>
      <c r="B14" s="1603">
        <v>1</v>
      </c>
      <c r="C14" s="1604"/>
      <c r="D14" s="1603">
        <v>560</v>
      </c>
      <c r="E14" s="1604"/>
      <c r="F14" s="1603">
        <v>16658</v>
      </c>
      <c r="G14" s="1604"/>
    </row>
    <row r="15" spans="1:7" ht="13.5" customHeight="1">
      <c r="A15" s="947" t="s">
        <v>28</v>
      </c>
      <c r="B15" s="1603" t="s">
        <v>57</v>
      </c>
      <c r="C15" s="1604"/>
      <c r="D15" s="1603" t="s">
        <v>57</v>
      </c>
      <c r="E15" s="1604"/>
      <c r="F15" s="1603" t="s">
        <v>57</v>
      </c>
      <c r="G15" s="1604"/>
    </row>
    <row r="16" spans="1:7" ht="13.5" customHeight="1">
      <c r="A16" s="947" t="s">
        <v>29</v>
      </c>
      <c r="B16" s="1603" t="s">
        <v>57</v>
      </c>
      <c r="C16" s="1604"/>
      <c r="D16" s="1603" t="s">
        <v>57</v>
      </c>
      <c r="E16" s="1604"/>
      <c r="F16" s="1603" t="s">
        <v>57</v>
      </c>
      <c r="G16" s="1604"/>
    </row>
    <row r="17" spans="1:7" ht="13.5" customHeight="1">
      <c r="A17" s="947" t="s">
        <v>48</v>
      </c>
      <c r="B17" s="1603" t="s">
        <v>57</v>
      </c>
      <c r="C17" s="1604"/>
      <c r="D17" s="1603" t="s">
        <v>57</v>
      </c>
      <c r="E17" s="1604"/>
      <c r="F17" s="1603" t="s">
        <v>57</v>
      </c>
      <c r="G17" s="1604"/>
    </row>
    <row r="18" spans="1:7" ht="13.5" customHeight="1">
      <c r="A18" s="947" t="s">
        <v>54</v>
      </c>
      <c r="B18" s="1603" t="s">
        <v>57</v>
      </c>
      <c r="C18" s="1604"/>
      <c r="D18" s="1603" t="s">
        <v>57</v>
      </c>
      <c r="E18" s="1604"/>
      <c r="F18" s="1603" t="s">
        <v>57</v>
      </c>
      <c r="G18" s="1604"/>
    </row>
    <row r="19" spans="1:7" ht="13.5" customHeight="1">
      <c r="A19" s="947" t="s">
        <v>49</v>
      </c>
      <c r="B19" s="1603" t="s">
        <v>57</v>
      </c>
      <c r="C19" s="1604"/>
      <c r="D19" s="1603" t="s">
        <v>57</v>
      </c>
      <c r="E19" s="1604"/>
      <c r="F19" s="1606" t="s">
        <v>57</v>
      </c>
      <c r="G19" s="1604"/>
    </row>
    <row r="20" spans="1:7" ht="14.1" customHeight="1">
      <c r="A20" s="953" t="s">
        <v>1380</v>
      </c>
      <c r="B20" s="1539">
        <v>1</v>
      </c>
      <c r="C20" s="1605"/>
      <c r="D20" s="1539">
        <f>SUM(D21:D28)</f>
        <v>742</v>
      </c>
      <c r="E20" s="1605"/>
      <c r="F20" s="1539">
        <f>SUM(F21:F28)</f>
        <v>0</v>
      </c>
      <c r="G20" s="1605"/>
    </row>
    <row r="21" spans="1:7" ht="13.5" customHeight="1">
      <c r="A21" s="947" t="s">
        <v>33</v>
      </c>
      <c r="B21" s="1603" t="s">
        <v>57</v>
      </c>
      <c r="C21" s="1604"/>
      <c r="D21" s="1603" t="s">
        <v>57</v>
      </c>
      <c r="E21" s="1604"/>
      <c r="F21" s="1603" t="s">
        <v>57</v>
      </c>
      <c r="G21" s="1604"/>
    </row>
    <row r="22" spans="1:7" ht="13.5" customHeight="1">
      <c r="A22" s="947" t="s">
        <v>34</v>
      </c>
      <c r="B22" s="1603" t="s">
        <v>57</v>
      </c>
      <c r="C22" s="1604"/>
      <c r="D22" s="1603" t="s">
        <v>57</v>
      </c>
      <c r="E22" s="1604"/>
      <c r="F22" s="1603" t="s">
        <v>57</v>
      </c>
      <c r="G22" s="1604"/>
    </row>
    <row r="23" spans="1:7" ht="13.5" customHeight="1">
      <c r="A23" s="947" t="s">
        <v>55</v>
      </c>
      <c r="B23" s="1603" t="s">
        <v>57</v>
      </c>
      <c r="C23" s="1604"/>
      <c r="D23" s="1603" t="s">
        <v>57</v>
      </c>
      <c r="E23" s="1604"/>
      <c r="F23" s="1603" t="s">
        <v>57</v>
      </c>
      <c r="G23" s="1604"/>
    </row>
    <row r="24" spans="1:7" ht="13.5" customHeight="1">
      <c r="A24" s="947" t="s">
        <v>56</v>
      </c>
      <c r="B24" s="1603" t="s">
        <v>57</v>
      </c>
      <c r="C24" s="1604"/>
      <c r="D24" s="1603" t="s">
        <v>57</v>
      </c>
      <c r="E24" s="1604"/>
      <c r="F24" s="1603" t="s">
        <v>57</v>
      </c>
      <c r="G24" s="1604"/>
    </row>
    <row r="25" spans="1:7" ht="13.5" customHeight="1">
      <c r="A25" s="947" t="s">
        <v>45</v>
      </c>
      <c r="B25" s="1603" t="s">
        <v>57</v>
      </c>
      <c r="C25" s="1604"/>
      <c r="D25" s="1603" t="s">
        <v>57</v>
      </c>
      <c r="E25" s="1604"/>
      <c r="F25" s="1603" t="s">
        <v>57</v>
      </c>
      <c r="G25" s="1604"/>
    </row>
    <row r="26" spans="1:7" ht="13.5" customHeight="1">
      <c r="A26" s="947" t="s">
        <v>46</v>
      </c>
      <c r="B26" s="1603" t="s">
        <v>57</v>
      </c>
      <c r="C26" s="1604"/>
      <c r="D26" s="1603" t="s">
        <v>57</v>
      </c>
      <c r="E26" s="1604"/>
      <c r="F26" s="1603" t="s">
        <v>57</v>
      </c>
      <c r="G26" s="1604"/>
    </row>
    <row r="27" spans="1:7" ht="13.5" customHeight="1">
      <c r="A27" s="947" t="s">
        <v>47</v>
      </c>
      <c r="B27" s="1603" t="s">
        <v>57</v>
      </c>
      <c r="C27" s="1604"/>
      <c r="D27" s="1603" t="s">
        <v>57</v>
      </c>
      <c r="E27" s="1604"/>
      <c r="F27" s="1603" t="s">
        <v>57</v>
      </c>
      <c r="G27" s="1604"/>
    </row>
    <row r="28" spans="1:7" ht="13.5" customHeight="1">
      <c r="A28" s="947" t="s">
        <v>58</v>
      </c>
      <c r="B28" s="1606" t="s">
        <v>395</v>
      </c>
      <c r="C28" s="1604"/>
      <c r="D28" s="1603">
        <v>742</v>
      </c>
      <c r="E28" s="1604"/>
      <c r="F28" s="1606" t="s">
        <v>57</v>
      </c>
      <c r="G28" s="1604"/>
    </row>
    <row r="29" spans="1:7" ht="14.1" customHeight="1">
      <c r="A29" s="1104" t="s">
        <v>51</v>
      </c>
      <c r="B29" s="1539">
        <v>1</v>
      </c>
      <c r="C29" s="1605"/>
      <c r="D29" s="1539">
        <f>SUM(D30:D36)</f>
        <v>450</v>
      </c>
      <c r="E29" s="1605"/>
      <c r="F29" s="1539">
        <f>SUM(F30:F36)</f>
        <v>0</v>
      </c>
      <c r="G29" s="1605"/>
    </row>
    <row r="30" spans="1:7" ht="13.5" customHeight="1">
      <c r="A30" s="947" t="s">
        <v>36</v>
      </c>
      <c r="B30" s="1603" t="s">
        <v>57</v>
      </c>
      <c r="C30" s="1604"/>
      <c r="D30" s="1603" t="s">
        <v>57</v>
      </c>
      <c r="E30" s="1604"/>
      <c r="F30" s="1603" t="s">
        <v>57</v>
      </c>
      <c r="G30" s="1604"/>
    </row>
    <row r="31" spans="1:7" ht="13.5" customHeight="1">
      <c r="A31" s="947" t="s">
        <v>37</v>
      </c>
      <c r="B31" s="1606" t="s">
        <v>395</v>
      </c>
      <c r="C31" s="1604"/>
      <c r="D31" s="1603">
        <v>450</v>
      </c>
      <c r="E31" s="1604"/>
      <c r="F31" s="1606" t="s">
        <v>57</v>
      </c>
      <c r="G31" s="1604"/>
    </row>
    <row r="32" spans="1:7" ht="13.5" customHeight="1">
      <c r="A32" s="947" t="s">
        <v>38</v>
      </c>
      <c r="B32" s="1603" t="s">
        <v>57</v>
      </c>
      <c r="C32" s="1604"/>
      <c r="D32" s="1603" t="s">
        <v>57</v>
      </c>
      <c r="E32" s="1604"/>
      <c r="F32" s="1603" t="s">
        <v>57</v>
      </c>
      <c r="G32" s="1604"/>
    </row>
    <row r="33" spans="1:12" ht="13.5" customHeight="1">
      <c r="A33" s="947" t="s">
        <v>40</v>
      </c>
      <c r="B33" s="1603" t="s">
        <v>57</v>
      </c>
      <c r="C33" s="1604"/>
      <c r="D33" s="1603" t="s">
        <v>57</v>
      </c>
      <c r="E33" s="1604"/>
      <c r="F33" s="1603" t="s">
        <v>57</v>
      </c>
      <c r="G33" s="1604"/>
    </row>
    <row r="34" spans="1:12" ht="13.5" customHeight="1">
      <c r="A34" s="947" t="s">
        <v>52</v>
      </c>
      <c r="B34" s="1603" t="s">
        <v>57</v>
      </c>
      <c r="C34" s="1604"/>
      <c r="D34" s="1603" t="s">
        <v>57</v>
      </c>
      <c r="E34" s="1604"/>
      <c r="F34" s="1603" t="s">
        <v>57</v>
      </c>
      <c r="G34" s="1604"/>
    </row>
    <row r="35" spans="1:12" ht="13.5" customHeight="1">
      <c r="A35" s="947" t="s">
        <v>41</v>
      </c>
      <c r="B35" s="1603" t="s">
        <v>57</v>
      </c>
      <c r="C35" s="1604"/>
      <c r="D35" s="1603" t="s">
        <v>57</v>
      </c>
      <c r="E35" s="1604"/>
      <c r="F35" s="1603" t="s">
        <v>57</v>
      </c>
      <c r="G35" s="1604"/>
    </row>
    <row r="36" spans="1:12" ht="13.5" customHeight="1">
      <c r="A36" s="948" t="s">
        <v>39</v>
      </c>
      <c r="B36" s="1608" t="s">
        <v>57</v>
      </c>
      <c r="C36" s="1609"/>
      <c r="D36" s="1608" t="s">
        <v>57</v>
      </c>
      <c r="E36" s="1609"/>
      <c r="F36" s="1608" t="s">
        <v>57</v>
      </c>
      <c r="G36" s="1609"/>
    </row>
    <row r="37" spans="1:12" ht="15" customHeight="1">
      <c r="A37" s="550" t="s">
        <v>1622</v>
      </c>
      <c r="B37" s="753"/>
      <c r="C37" s="753"/>
      <c r="D37" s="556" t="s">
        <v>1169</v>
      </c>
      <c r="E37" s="1601" t="s">
        <v>75</v>
      </c>
      <c r="F37" s="1619"/>
      <c r="G37" s="1619"/>
      <c r="J37" s="1105"/>
      <c r="K37" s="210"/>
      <c r="L37" s="210"/>
    </row>
    <row r="38" spans="1:12" ht="12.4" customHeight="1">
      <c r="A38" s="550"/>
      <c r="B38" s="981"/>
      <c r="C38" s="753"/>
      <c r="D38" s="980"/>
      <c r="E38" s="1617" t="s">
        <v>1379</v>
      </c>
      <c r="F38" s="1618"/>
      <c r="G38" s="1618"/>
    </row>
    <row r="39" spans="1:12" ht="12.4" customHeight="1">
      <c r="A39" s="970"/>
      <c r="B39" s="981"/>
      <c r="C39" s="753"/>
      <c r="D39" s="1105"/>
      <c r="E39" s="1106"/>
      <c r="F39" s="210"/>
      <c r="G39" s="210"/>
    </row>
    <row r="40" spans="1:12" ht="13.5" customHeight="1">
      <c r="A40" s="1582" t="s">
        <v>660</v>
      </c>
      <c r="B40" s="1582"/>
      <c r="C40" s="1582"/>
      <c r="D40" s="1582"/>
      <c r="E40" s="1582"/>
      <c r="F40" s="1582"/>
      <c r="G40" s="1582"/>
    </row>
    <row r="41" spans="1:12" ht="13.5" customHeight="1">
      <c r="A41" s="1509" t="str">
        <f>CONCATENATE("Newspapers and Periodicals published in the district of ",District!A1)</f>
        <v>Newspapers and Periodicals published in the district of Purulia</v>
      </c>
      <c r="B41" s="1509"/>
      <c r="C41" s="1509"/>
      <c r="D41" s="1509"/>
      <c r="E41" s="1607"/>
      <c r="F41" s="1607"/>
      <c r="G41" s="1607"/>
    </row>
    <row r="42" spans="1:12" ht="12" customHeight="1">
      <c r="A42" s="753"/>
      <c r="B42" s="753"/>
      <c r="C42" s="753"/>
      <c r="D42" s="753"/>
      <c r="E42" s="753"/>
      <c r="F42" s="753"/>
      <c r="G42" s="198" t="s">
        <v>1058</v>
      </c>
    </row>
    <row r="43" spans="1:12" ht="12.75" customHeight="1">
      <c r="A43" s="719" t="s">
        <v>232</v>
      </c>
      <c r="B43" s="491" t="s">
        <v>1410</v>
      </c>
      <c r="C43" s="491" t="s">
        <v>1411</v>
      </c>
      <c r="D43" s="588" t="s">
        <v>1412</v>
      </c>
      <c r="E43" s="491" t="s">
        <v>1413</v>
      </c>
      <c r="F43" s="588" t="s">
        <v>1162</v>
      </c>
      <c r="G43" s="491" t="s">
        <v>1035</v>
      </c>
      <c r="I43" s="886"/>
    </row>
    <row r="44" spans="1:12" ht="12.75" customHeight="1">
      <c r="A44" s="789" t="s">
        <v>1008</v>
      </c>
      <c r="B44" s="729" t="s">
        <v>1009</v>
      </c>
      <c r="C44" s="729" t="s">
        <v>1010</v>
      </c>
      <c r="D44" s="790" t="s">
        <v>1011</v>
      </c>
      <c r="E44" s="731" t="s">
        <v>1015</v>
      </c>
      <c r="F44" s="1107" t="s">
        <v>1016</v>
      </c>
      <c r="G44" s="731" t="s">
        <v>1017</v>
      </c>
    </row>
    <row r="45" spans="1:12" ht="15.75" customHeight="1">
      <c r="A45" s="743">
        <v>2010</v>
      </c>
      <c r="B45" s="957">
        <v>1</v>
      </c>
      <c r="C45" s="957">
        <v>2</v>
      </c>
      <c r="D45" s="957">
        <v>8</v>
      </c>
      <c r="E45" s="957">
        <v>4</v>
      </c>
      <c r="F45" s="1108">
        <v>5</v>
      </c>
      <c r="G45" s="774">
        <f>SUM(B45:F45)</f>
        <v>20</v>
      </c>
    </row>
    <row r="46" spans="1:12" ht="15.75" customHeight="1">
      <c r="A46" s="743">
        <v>2011</v>
      </c>
      <c r="B46" s="957">
        <v>1</v>
      </c>
      <c r="C46" s="957">
        <v>5</v>
      </c>
      <c r="D46" s="957">
        <v>7</v>
      </c>
      <c r="E46" s="957">
        <v>7</v>
      </c>
      <c r="F46" s="1108">
        <v>4</v>
      </c>
      <c r="G46" s="744">
        <f>SUM(B46:F46)</f>
        <v>24</v>
      </c>
    </row>
    <row r="47" spans="1:12" ht="15.75" customHeight="1">
      <c r="A47" s="743">
        <v>2012</v>
      </c>
      <c r="B47" s="957">
        <v>1</v>
      </c>
      <c r="C47" s="957">
        <v>6</v>
      </c>
      <c r="D47" s="957">
        <v>7</v>
      </c>
      <c r="E47" s="957">
        <v>7</v>
      </c>
      <c r="F47" s="1108">
        <v>4</v>
      </c>
      <c r="G47" s="744">
        <f>SUM(B47:F47)</f>
        <v>25</v>
      </c>
    </row>
    <row r="48" spans="1:12" ht="15.75" customHeight="1">
      <c r="A48" s="743">
        <v>2013</v>
      </c>
      <c r="B48" s="957">
        <v>1</v>
      </c>
      <c r="C48" s="957">
        <v>6</v>
      </c>
      <c r="D48" s="957">
        <v>7</v>
      </c>
      <c r="E48" s="957">
        <v>7</v>
      </c>
      <c r="F48" s="1108">
        <v>5</v>
      </c>
      <c r="G48" s="744">
        <v>26</v>
      </c>
    </row>
    <row r="49" spans="1:7" ht="15.75" customHeight="1">
      <c r="A49" s="1102">
        <v>2014</v>
      </c>
      <c r="B49" s="1109">
        <f t="shared" ref="B49:G49" si="0">IF(SUM(B51:B55)=0,"-",SUM(B51:B55))</f>
        <v>2</v>
      </c>
      <c r="C49" s="1109">
        <f t="shared" si="0"/>
        <v>8</v>
      </c>
      <c r="D49" s="1109">
        <f t="shared" si="0"/>
        <v>6</v>
      </c>
      <c r="E49" s="1109">
        <f t="shared" si="0"/>
        <v>6</v>
      </c>
      <c r="F49" s="1110">
        <f t="shared" si="0"/>
        <v>4</v>
      </c>
      <c r="G49" s="1109">
        <f t="shared" si="0"/>
        <v>26</v>
      </c>
    </row>
    <row r="50" spans="1:7" ht="15.75" customHeight="1">
      <c r="A50" s="128" t="s">
        <v>856</v>
      </c>
      <c r="B50" s="1535" t="str">
        <f>"Year : " &amp; A49</f>
        <v>Year : 2014</v>
      </c>
      <c r="C50" s="1535"/>
      <c r="D50" s="1535"/>
      <c r="E50" s="1535"/>
      <c r="F50" s="1535"/>
      <c r="G50" s="1536"/>
    </row>
    <row r="51" spans="1:7" ht="18" customHeight="1">
      <c r="A51" s="126" t="s">
        <v>1414</v>
      </c>
      <c r="B51" s="805">
        <v>2</v>
      </c>
      <c r="C51" s="927">
        <v>7</v>
      </c>
      <c r="D51" s="805">
        <v>5</v>
      </c>
      <c r="E51" s="927">
        <v>5</v>
      </c>
      <c r="F51" s="805">
        <v>3</v>
      </c>
      <c r="G51" s="774">
        <f>SUM(B51:F51)</f>
        <v>22</v>
      </c>
    </row>
    <row r="52" spans="1:7" ht="18" customHeight="1">
      <c r="A52" s="126" t="s">
        <v>1415</v>
      </c>
      <c r="B52" s="308" t="s">
        <v>57</v>
      </c>
      <c r="C52" s="804">
        <v>1</v>
      </c>
      <c r="D52" s="308" t="s">
        <v>57</v>
      </c>
      <c r="E52" s="229" t="s">
        <v>57</v>
      </c>
      <c r="F52" s="308" t="s">
        <v>57</v>
      </c>
      <c r="G52" s="744">
        <f>SUM(B52:F52)</f>
        <v>1</v>
      </c>
    </row>
    <row r="53" spans="1:7" ht="18" customHeight="1">
      <c r="A53" s="126" t="s">
        <v>1416</v>
      </c>
      <c r="B53" s="308" t="s">
        <v>57</v>
      </c>
      <c r="C53" s="229" t="s">
        <v>57</v>
      </c>
      <c r="D53" s="308" t="s">
        <v>57</v>
      </c>
      <c r="E53" s="804">
        <v>1</v>
      </c>
      <c r="F53" s="308" t="s">
        <v>57</v>
      </c>
      <c r="G53" s="744">
        <f>SUM(B53:F53)</f>
        <v>1</v>
      </c>
    </row>
    <row r="54" spans="1:7" ht="18" customHeight="1">
      <c r="A54" s="126" t="s">
        <v>1417</v>
      </c>
      <c r="B54" s="308" t="s">
        <v>57</v>
      </c>
      <c r="C54" s="229" t="s">
        <v>57</v>
      </c>
      <c r="D54" s="805">
        <v>1</v>
      </c>
      <c r="E54" s="229" t="s">
        <v>57</v>
      </c>
      <c r="F54" s="308" t="s">
        <v>57</v>
      </c>
      <c r="G54" s="744">
        <f>SUM(B54:F54)</f>
        <v>1</v>
      </c>
    </row>
    <row r="55" spans="1:7" ht="18" customHeight="1">
      <c r="A55" s="128" t="s">
        <v>1162</v>
      </c>
      <c r="B55" s="308" t="s">
        <v>57</v>
      </c>
      <c r="C55" s="229" t="s">
        <v>57</v>
      </c>
      <c r="D55" s="308" t="s">
        <v>57</v>
      </c>
      <c r="E55" s="229" t="s">
        <v>57</v>
      </c>
      <c r="F55" s="805">
        <v>1</v>
      </c>
      <c r="G55" s="744">
        <f>SUM(B55:F55)</f>
        <v>1</v>
      </c>
    </row>
    <row r="56" spans="1:7" ht="15.75" customHeight="1">
      <c r="A56" s="735" t="s">
        <v>1035</v>
      </c>
      <c r="B56" s="735">
        <f>IF(SUM(B51:B55)=0,"-",SUM(B51:B55))</f>
        <v>2</v>
      </c>
      <c r="C56" s="735">
        <f>SUM(C51:C55)</f>
        <v>8</v>
      </c>
      <c r="D56" s="498">
        <f>SUM(D51:D55)</f>
        <v>6</v>
      </c>
      <c r="E56" s="735">
        <f>SUM(E51:E55)</f>
        <v>6</v>
      </c>
      <c r="F56" s="498">
        <f>SUM(F51:F55)</f>
        <v>4</v>
      </c>
      <c r="G56" s="735">
        <f>SUM(G51:G55)</f>
        <v>26</v>
      </c>
    </row>
    <row r="57" spans="1:7" ht="12.4" customHeight="1">
      <c r="A57" s="970"/>
      <c r="B57" s="970"/>
      <c r="D57" s="1111"/>
      <c r="E57" s="1111"/>
      <c r="F57" s="1111"/>
      <c r="G57" s="1112" t="str">
        <f>CONCATENATE("Source : Dist. Information &amp; Cultural Officer, Purulia",District!A42)</f>
        <v>Source : Dist. Information &amp; Cultural Officer, Purulia</v>
      </c>
    </row>
  </sheetData>
  <mergeCells count="107">
    <mergeCell ref="A40:G40"/>
    <mergeCell ref="F9:G9"/>
    <mergeCell ref="B9:C9"/>
    <mergeCell ref="D9:E9"/>
    <mergeCell ref="B10:G10"/>
    <mergeCell ref="E38:G38"/>
    <mergeCell ref="F20:G20"/>
    <mergeCell ref="F19:G19"/>
    <mergeCell ref="E37:G37"/>
    <mergeCell ref="F18:G18"/>
    <mergeCell ref="F27:G27"/>
    <mergeCell ref="F26:G26"/>
    <mergeCell ref="F25:G25"/>
    <mergeCell ref="F24:G24"/>
    <mergeCell ref="F23:G23"/>
    <mergeCell ref="F17:G17"/>
    <mergeCell ref="F28:G28"/>
    <mergeCell ref="D25:E25"/>
    <mergeCell ref="D26:E26"/>
    <mergeCell ref="D16:E16"/>
    <mergeCell ref="F32:G32"/>
    <mergeCell ref="D19:E19"/>
    <mergeCell ref="F22:G22"/>
    <mergeCell ref="F16:G16"/>
    <mergeCell ref="A1:G1"/>
    <mergeCell ref="A2:G2"/>
    <mergeCell ref="F6:G6"/>
    <mergeCell ref="F14:G14"/>
    <mergeCell ref="F13:G13"/>
    <mergeCell ref="F3:G3"/>
    <mergeCell ref="B3:C3"/>
    <mergeCell ref="D7:E7"/>
    <mergeCell ref="F8:G8"/>
    <mergeCell ref="F4:G4"/>
    <mergeCell ref="F5:G5"/>
    <mergeCell ref="F11:G11"/>
    <mergeCell ref="F7:G7"/>
    <mergeCell ref="F12:G12"/>
    <mergeCell ref="F21:G21"/>
    <mergeCell ref="F31:G31"/>
    <mergeCell ref="F30:G30"/>
    <mergeCell ref="B4:C4"/>
    <mergeCell ref="B6:C6"/>
    <mergeCell ref="B5:C5"/>
    <mergeCell ref="D8:E8"/>
    <mergeCell ref="F15:G15"/>
    <mergeCell ref="F29:G29"/>
    <mergeCell ref="D27:E27"/>
    <mergeCell ref="B23:C23"/>
    <mergeCell ref="B24:C24"/>
    <mergeCell ref="D34:E34"/>
    <mergeCell ref="F34:G34"/>
    <mergeCell ref="D36:E36"/>
    <mergeCell ref="F36:G36"/>
    <mergeCell ref="F35:G35"/>
    <mergeCell ref="D35:E35"/>
    <mergeCell ref="D33:E33"/>
    <mergeCell ref="F33:G33"/>
    <mergeCell ref="D32:E32"/>
    <mergeCell ref="B34:C34"/>
    <mergeCell ref="D3:E3"/>
    <mergeCell ref="D4:E4"/>
    <mergeCell ref="D5:E5"/>
    <mergeCell ref="D6:E6"/>
    <mergeCell ref="B25:C25"/>
    <mergeCell ref="D24:E24"/>
    <mergeCell ref="B33:C33"/>
    <mergeCell ref="B7:C7"/>
    <mergeCell ref="B16:C16"/>
    <mergeCell ref="B8:C8"/>
    <mergeCell ref="B11:C11"/>
    <mergeCell ref="B13:C13"/>
    <mergeCell ref="B14:C14"/>
    <mergeCell ref="B12:C12"/>
    <mergeCell ref="B15:C15"/>
    <mergeCell ref="B32:C32"/>
    <mergeCell ref="D23:E23"/>
    <mergeCell ref="D17:E17"/>
    <mergeCell ref="D18:E18"/>
    <mergeCell ref="D20:E20"/>
    <mergeCell ref="D21:E21"/>
    <mergeCell ref="D22:E22"/>
    <mergeCell ref="B21:C21"/>
    <mergeCell ref="B50:G50"/>
    <mergeCell ref="B22:C22"/>
    <mergeCell ref="D11:E11"/>
    <mergeCell ref="D12:E12"/>
    <mergeCell ref="B20:C20"/>
    <mergeCell ref="D13:E13"/>
    <mergeCell ref="D14:E14"/>
    <mergeCell ref="D15:E15"/>
    <mergeCell ref="B31:C31"/>
    <mergeCell ref="B27:C27"/>
    <mergeCell ref="A41:G41"/>
    <mergeCell ref="B28:C28"/>
    <mergeCell ref="B29:C29"/>
    <mergeCell ref="B30:C30"/>
    <mergeCell ref="D28:E28"/>
    <mergeCell ref="B35:C35"/>
    <mergeCell ref="B36:C36"/>
    <mergeCell ref="D29:E29"/>
    <mergeCell ref="D30:E30"/>
    <mergeCell ref="D31:E31"/>
    <mergeCell ref="B17:C17"/>
    <mergeCell ref="B18:C18"/>
    <mergeCell ref="B26:C26"/>
    <mergeCell ref="B19:C19"/>
  </mergeCells>
  <phoneticPr fontId="0" type="noConversion"/>
  <printOptions horizontalCentered="1"/>
  <pageMargins left="0.1" right="0.1" top="0.21" bottom="0.1" header="0.21" footer="0.1"/>
  <pageSetup paperSize="9" orientation="portrait" blackAndWhite="1" r:id="rId1"/>
  <headerFooter alignWithMargins="0"/>
</worksheet>
</file>

<file path=xl/worksheets/sheet4.xml><?xml version="1.0" encoding="utf-8"?>
<worksheet xmlns="http://schemas.openxmlformats.org/spreadsheetml/2006/main" xmlns:r="http://schemas.openxmlformats.org/officeDocument/2006/relationships">
  <dimension ref="A1:D126"/>
  <sheetViews>
    <sheetView workbookViewId="0">
      <selection activeCell="I57" sqref="I57"/>
    </sheetView>
  </sheetViews>
  <sheetFormatPr defaultRowHeight="12.75"/>
  <cols>
    <col min="1" max="1" width="4.28515625" customWidth="1"/>
    <col min="2" max="2" width="6.7109375" customWidth="1"/>
    <col min="3" max="3" width="72.140625" customWidth="1"/>
    <col min="4" max="4" width="8.28515625" customWidth="1"/>
  </cols>
  <sheetData>
    <row r="1" spans="1:4" ht="20.25" customHeight="1">
      <c r="A1" s="1382" t="s">
        <v>590</v>
      </c>
      <c r="B1" s="1382"/>
      <c r="C1" s="1382"/>
      <c r="D1" s="1382"/>
    </row>
    <row r="2" spans="1:4" ht="30" customHeight="1">
      <c r="A2" s="451" t="s">
        <v>1366</v>
      </c>
      <c r="B2" s="452" t="s">
        <v>1274</v>
      </c>
      <c r="C2" s="452" t="s">
        <v>1409</v>
      </c>
      <c r="D2" s="452" t="s">
        <v>859</v>
      </c>
    </row>
    <row r="3" spans="1:4" ht="12.75" customHeight="1">
      <c r="A3" s="454"/>
      <c r="B3" s="394"/>
      <c r="C3" s="263" t="s">
        <v>1650</v>
      </c>
      <c r="D3" s="90"/>
    </row>
    <row r="4" spans="1:4" ht="12.75" customHeight="1">
      <c r="A4" s="455">
        <v>1</v>
      </c>
      <c r="B4" s="456" t="s">
        <v>442</v>
      </c>
      <c r="C4" s="58" t="s">
        <v>1470</v>
      </c>
      <c r="D4" s="44">
        <v>1</v>
      </c>
    </row>
    <row r="5" spans="1:4" ht="12.75" customHeight="1">
      <c r="A5" s="455">
        <v>2</v>
      </c>
      <c r="B5" s="456" t="s">
        <v>441</v>
      </c>
      <c r="C5" s="58" t="s">
        <v>1471</v>
      </c>
      <c r="D5" s="44">
        <v>1</v>
      </c>
    </row>
    <row r="6" spans="1:4" ht="12.75" customHeight="1">
      <c r="A6" s="455">
        <v>3</v>
      </c>
      <c r="B6" s="456" t="s">
        <v>443</v>
      </c>
      <c r="C6" s="58" t="s">
        <v>872</v>
      </c>
      <c r="D6" s="44">
        <v>2</v>
      </c>
    </row>
    <row r="7" spans="1:4" ht="12.75" customHeight="1">
      <c r="A7" s="455">
        <v>4</v>
      </c>
      <c r="B7" s="456" t="s">
        <v>444</v>
      </c>
      <c r="C7" s="58" t="s">
        <v>1121</v>
      </c>
      <c r="D7" s="44">
        <v>2</v>
      </c>
    </row>
    <row r="8" spans="1:4" ht="12.75" customHeight="1">
      <c r="A8" s="455"/>
      <c r="B8" s="457"/>
      <c r="C8" s="670" t="s">
        <v>1651</v>
      </c>
      <c r="D8" s="44"/>
    </row>
    <row r="9" spans="1:4" ht="12.75" customHeight="1">
      <c r="A9" s="455">
        <v>5</v>
      </c>
      <c r="B9" s="456" t="s">
        <v>445</v>
      </c>
      <c r="C9" s="58" t="s">
        <v>873</v>
      </c>
      <c r="D9" s="44">
        <v>3</v>
      </c>
    </row>
    <row r="10" spans="1:4" ht="12.75" customHeight="1">
      <c r="A10" s="455">
        <v>6</v>
      </c>
      <c r="B10" s="457" t="s">
        <v>434</v>
      </c>
      <c r="C10" s="58" t="s">
        <v>459</v>
      </c>
      <c r="D10" s="44">
        <v>4</v>
      </c>
    </row>
    <row r="11" spans="1:4" ht="12.75" customHeight="1">
      <c r="A11" s="455">
        <v>7</v>
      </c>
      <c r="B11" s="457" t="s">
        <v>188</v>
      </c>
      <c r="C11" s="58" t="s">
        <v>1322</v>
      </c>
      <c r="D11" s="44">
        <v>4</v>
      </c>
    </row>
    <row r="12" spans="1:4" ht="12.75" customHeight="1">
      <c r="A12" s="455">
        <v>8</v>
      </c>
      <c r="B12" s="456" t="s">
        <v>446</v>
      </c>
      <c r="C12" s="58" t="s">
        <v>874</v>
      </c>
      <c r="D12" s="44">
        <v>5</v>
      </c>
    </row>
    <row r="13" spans="1:4" ht="12.75" customHeight="1">
      <c r="A13" s="455">
        <v>9</v>
      </c>
      <c r="B13" s="456" t="s">
        <v>447</v>
      </c>
      <c r="C13" s="58" t="s">
        <v>875</v>
      </c>
      <c r="D13" s="44">
        <v>6</v>
      </c>
    </row>
    <row r="14" spans="1:4" ht="12.75" customHeight="1">
      <c r="A14" s="455">
        <v>10</v>
      </c>
      <c r="B14" s="457" t="s">
        <v>435</v>
      </c>
      <c r="C14" s="58" t="s">
        <v>690</v>
      </c>
      <c r="D14" s="44">
        <v>7</v>
      </c>
    </row>
    <row r="15" spans="1:4" ht="12.75" customHeight="1">
      <c r="A15" s="455">
        <v>11</v>
      </c>
      <c r="B15" s="457" t="s">
        <v>436</v>
      </c>
      <c r="C15" s="58" t="s">
        <v>932</v>
      </c>
      <c r="D15" s="44">
        <v>8</v>
      </c>
    </row>
    <row r="16" spans="1:4" ht="12.75" customHeight="1">
      <c r="A16" s="455">
        <v>12</v>
      </c>
      <c r="B16" s="457" t="s">
        <v>437</v>
      </c>
      <c r="C16" s="58" t="s">
        <v>879</v>
      </c>
      <c r="D16" s="44">
        <v>9</v>
      </c>
    </row>
    <row r="17" spans="1:4" ht="12.75" customHeight="1">
      <c r="A17" s="455">
        <v>13</v>
      </c>
      <c r="B17" s="457" t="s">
        <v>438</v>
      </c>
      <c r="C17" s="58" t="s">
        <v>934</v>
      </c>
      <c r="D17" s="44">
        <v>10</v>
      </c>
    </row>
    <row r="18" spans="1:4" ht="12.75" customHeight="1">
      <c r="A18" s="455">
        <v>14</v>
      </c>
      <c r="B18" s="456" t="s">
        <v>448</v>
      </c>
      <c r="C18" s="58" t="s">
        <v>876</v>
      </c>
      <c r="D18" s="44">
        <v>11</v>
      </c>
    </row>
    <row r="19" spans="1:4" ht="12.75" customHeight="1">
      <c r="A19" s="455">
        <v>15</v>
      </c>
      <c r="B19" s="456" t="s">
        <v>451</v>
      </c>
      <c r="C19" s="58" t="s">
        <v>1479</v>
      </c>
      <c r="D19" s="44">
        <v>12</v>
      </c>
    </row>
    <row r="20" spans="1:4" ht="12.75" customHeight="1">
      <c r="A20" s="455">
        <v>16</v>
      </c>
      <c r="B20" s="456" t="s">
        <v>452</v>
      </c>
      <c r="C20" s="58" t="s">
        <v>880</v>
      </c>
      <c r="D20" s="44">
        <v>13</v>
      </c>
    </row>
    <row r="21" spans="1:4" ht="12.75" customHeight="1">
      <c r="A21" s="455">
        <v>17</v>
      </c>
      <c r="B21" s="456" t="s">
        <v>453</v>
      </c>
      <c r="C21" s="58" t="s">
        <v>1480</v>
      </c>
      <c r="D21" s="44">
        <v>14</v>
      </c>
    </row>
    <row r="22" spans="1:4" ht="12.75" customHeight="1">
      <c r="A22" s="455">
        <v>18</v>
      </c>
      <c r="B22" s="456" t="s">
        <v>454</v>
      </c>
      <c r="C22" s="58" t="s">
        <v>1472</v>
      </c>
      <c r="D22" s="44">
        <v>14</v>
      </c>
    </row>
    <row r="23" spans="1:4" ht="12.75" customHeight="1">
      <c r="A23" s="455">
        <v>19</v>
      </c>
      <c r="B23" s="457" t="s">
        <v>439</v>
      </c>
      <c r="C23" s="58" t="s">
        <v>1244</v>
      </c>
      <c r="D23" s="44">
        <v>15</v>
      </c>
    </row>
    <row r="24" spans="1:4" ht="12.75" customHeight="1">
      <c r="A24" s="455">
        <v>20</v>
      </c>
      <c r="B24" s="456" t="s">
        <v>455</v>
      </c>
      <c r="C24" s="58" t="s">
        <v>1034</v>
      </c>
      <c r="D24" s="44">
        <v>17</v>
      </c>
    </row>
    <row r="25" spans="1:4" ht="12.75" customHeight="1">
      <c r="A25" s="455"/>
      <c r="B25" s="457"/>
      <c r="C25" s="670" t="s">
        <v>1652</v>
      </c>
      <c r="D25" s="44"/>
    </row>
    <row r="26" spans="1:4" ht="12.75" customHeight="1">
      <c r="A26" s="455">
        <v>21</v>
      </c>
      <c r="B26" s="456" t="s">
        <v>456</v>
      </c>
      <c r="C26" s="58" t="s">
        <v>881</v>
      </c>
      <c r="D26" s="44">
        <v>18</v>
      </c>
    </row>
    <row r="27" spans="1:4" ht="12.75" customHeight="1">
      <c r="A27" s="455">
        <v>22</v>
      </c>
      <c r="B27" s="456" t="s">
        <v>457</v>
      </c>
      <c r="C27" s="58" t="s">
        <v>882</v>
      </c>
      <c r="D27" s="44">
        <v>20</v>
      </c>
    </row>
    <row r="28" spans="1:4" ht="12.75" customHeight="1">
      <c r="A28" s="455">
        <v>23</v>
      </c>
      <c r="B28" s="457" t="s">
        <v>440</v>
      </c>
      <c r="C28" s="58" t="s">
        <v>1473</v>
      </c>
      <c r="D28" s="44">
        <v>22</v>
      </c>
    </row>
    <row r="29" spans="1:4" ht="12.75" customHeight="1">
      <c r="A29" s="455">
        <v>24</v>
      </c>
      <c r="B29" s="456" t="s">
        <v>458</v>
      </c>
      <c r="C29" s="58" t="s">
        <v>1323</v>
      </c>
      <c r="D29" s="44">
        <v>23</v>
      </c>
    </row>
    <row r="30" spans="1:4" ht="12.75" customHeight="1">
      <c r="A30" s="455">
        <v>25</v>
      </c>
      <c r="B30" s="457" t="s">
        <v>860</v>
      </c>
      <c r="C30" s="58" t="s">
        <v>1324</v>
      </c>
      <c r="D30" s="44">
        <v>24</v>
      </c>
    </row>
    <row r="31" spans="1:4" ht="12.75" customHeight="1">
      <c r="A31" s="455"/>
      <c r="B31" s="458"/>
      <c r="C31" s="670" t="s">
        <v>1653</v>
      </c>
      <c r="D31" s="44"/>
    </row>
    <row r="32" spans="1:4" ht="12.75" customHeight="1">
      <c r="A32" s="455">
        <v>26</v>
      </c>
      <c r="B32" s="457" t="s">
        <v>937</v>
      </c>
      <c r="C32" s="58" t="s">
        <v>691</v>
      </c>
      <c r="D32" s="44">
        <v>25</v>
      </c>
    </row>
    <row r="33" spans="1:4" ht="12.75" customHeight="1">
      <c r="A33" s="455">
        <v>27</v>
      </c>
      <c r="B33" s="457" t="s">
        <v>945</v>
      </c>
      <c r="C33" s="58" t="s">
        <v>692</v>
      </c>
      <c r="D33" s="44">
        <v>26</v>
      </c>
    </row>
    <row r="34" spans="1:4" ht="12.75" customHeight="1">
      <c r="A34" s="455">
        <v>28</v>
      </c>
      <c r="B34" s="457" t="s">
        <v>938</v>
      </c>
      <c r="C34" s="58" t="s">
        <v>693</v>
      </c>
      <c r="D34" s="44">
        <v>27</v>
      </c>
    </row>
    <row r="35" spans="1:4" ht="12.75" customHeight="1">
      <c r="A35" s="455">
        <v>29</v>
      </c>
      <c r="B35" s="457" t="s">
        <v>939</v>
      </c>
      <c r="C35" s="58" t="s">
        <v>462</v>
      </c>
      <c r="D35" s="44">
        <v>28</v>
      </c>
    </row>
    <row r="36" spans="1:4" ht="12.75" customHeight="1">
      <c r="A36" s="455">
        <v>30</v>
      </c>
      <c r="B36" s="457" t="s">
        <v>940</v>
      </c>
      <c r="C36" s="58" t="s">
        <v>853</v>
      </c>
      <c r="D36" s="44">
        <v>29</v>
      </c>
    </row>
    <row r="37" spans="1:4" ht="12.75" customHeight="1">
      <c r="A37" s="455">
        <v>31</v>
      </c>
      <c r="B37" s="457" t="s">
        <v>941</v>
      </c>
      <c r="C37" s="58" t="s">
        <v>854</v>
      </c>
      <c r="D37" s="44">
        <v>30</v>
      </c>
    </row>
    <row r="38" spans="1:4" ht="12.75" customHeight="1">
      <c r="A38" s="455">
        <v>32</v>
      </c>
      <c r="B38" s="457" t="s">
        <v>942</v>
      </c>
      <c r="C38" s="58" t="s">
        <v>1481</v>
      </c>
      <c r="D38" s="44">
        <v>31</v>
      </c>
    </row>
    <row r="39" spans="1:4" ht="12.75" customHeight="1">
      <c r="A39" s="455">
        <v>33</v>
      </c>
      <c r="B39" s="457" t="s">
        <v>943</v>
      </c>
      <c r="C39" s="58" t="s">
        <v>482</v>
      </c>
      <c r="D39" s="44">
        <v>32</v>
      </c>
    </row>
    <row r="40" spans="1:4" ht="12.75" customHeight="1">
      <c r="A40" s="455">
        <v>34</v>
      </c>
      <c r="B40" s="457" t="s">
        <v>944</v>
      </c>
      <c r="C40" s="58" t="s">
        <v>483</v>
      </c>
      <c r="D40" s="44">
        <v>33</v>
      </c>
    </row>
    <row r="41" spans="1:4" ht="12.75" customHeight="1">
      <c r="A41" s="455">
        <v>35</v>
      </c>
      <c r="B41" s="456" t="s">
        <v>548</v>
      </c>
      <c r="C41" s="58" t="s">
        <v>463</v>
      </c>
      <c r="D41" s="44">
        <v>34</v>
      </c>
    </row>
    <row r="42" spans="1:4" ht="12.75" customHeight="1">
      <c r="A42" s="455">
        <v>36</v>
      </c>
      <c r="B42" s="456" t="s">
        <v>549</v>
      </c>
      <c r="C42" s="58" t="s">
        <v>1327</v>
      </c>
      <c r="D42" s="44">
        <v>36</v>
      </c>
    </row>
    <row r="43" spans="1:4" ht="12.75" customHeight="1">
      <c r="A43" s="455">
        <v>37</v>
      </c>
      <c r="B43" s="456" t="s">
        <v>550</v>
      </c>
      <c r="C43" s="58" t="s">
        <v>1326</v>
      </c>
      <c r="D43" s="44">
        <v>37</v>
      </c>
    </row>
    <row r="44" spans="1:4" ht="12.75" customHeight="1">
      <c r="A44" s="455">
        <v>38</v>
      </c>
      <c r="B44" s="456" t="s">
        <v>551</v>
      </c>
      <c r="C44" s="58" t="s">
        <v>1482</v>
      </c>
      <c r="D44" s="44">
        <v>38</v>
      </c>
    </row>
    <row r="45" spans="1:4" ht="12.75" customHeight="1">
      <c r="A45" s="455">
        <v>39</v>
      </c>
      <c r="B45" s="456" t="s">
        <v>552</v>
      </c>
      <c r="C45" s="58" t="s">
        <v>1483</v>
      </c>
      <c r="D45" s="44">
        <v>38</v>
      </c>
    </row>
    <row r="46" spans="1:4" ht="12.75" customHeight="1">
      <c r="A46" s="455"/>
      <c r="B46" s="457"/>
      <c r="C46" s="670" t="s">
        <v>1663</v>
      </c>
      <c r="D46" s="44"/>
    </row>
    <row r="47" spans="1:4" ht="12.75" customHeight="1">
      <c r="A47" s="455">
        <v>40</v>
      </c>
      <c r="B47" s="457">
        <v>5.0999999999999996</v>
      </c>
      <c r="C47" s="58" t="s">
        <v>883</v>
      </c>
      <c r="D47" s="44">
        <v>39</v>
      </c>
    </row>
    <row r="48" spans="1:4" ht="12.75" customHeight="1">
      <c r="A48" s="455">
        <v>41</v>
      </c>
      <c r="B48" s="457" t="s">
        <v>553</v>
      </c>
      <c r="C48" s="58" t="s">
        <v>877</v>
      </c>
      <c r="D48" s="44">
        <v>40</v>
      </c>
    </row>
    <row r="49" spans="1:4" ht="12.75" customHeight="1">
      <c r="A49" s="455">
        <v>42</v>
      </c>
      <c r="B49" s="457" t="s">
        <v>554</v>
      </c>
      <c r="C49" s="58" t="s">
        <v>694</v>
      </c>
      <c r="D49" s="44">
        <v>40</v>
      </c>
    </row>
    <row r="50" spans="1:4" ht="12.75" customHeight="1">
      <c r="A50" s="455">
        <v>43</v>
      </c>
      <c r="B50" s="457">
        <v>5.2</v>
      </c>
      <c r="C50" s="58" t="s">
        <v>1122</v>
      </c>
      <c r="D50" s="44">
        <v>41</v>
      </c>
    </row>
    <row r="51" spans="1:4" ht="12.75" customHeight="1">
      <c r="A51" s="455">
        <v>44</v>
      </c>
      <c r="B51" s="457">
        <v>5.3</v>
      </c>
      <c r="C51" s="58" t="s">
        <v>884</v>
      </c>
      <c r="D51" s="44">
        <v>42</v>
      </c>
    </row>
    <row r="52" spans="1:4" ht="12.75" customHeight="1">
      <c r="A52" s="455">
        <v>45</v>
      </c>
      <c r="B52" s="457" t="s">
        <v>601</v>
      </c>
      <c r="C52" s="58" t="s">
        <v>885</v>
      </c>
      <c r="D52" s="44">
        <v>43</v>
      </c>
    </row>
    <row r="53" spans="1:4" ht="12.75" customHeight="1">
      <c r="A53" s="455">
        <v>46</v>
      </c>
      <c r="B53" s="457" t="s">
        <v>615</v>
      </c>
      <c r="C53" s="58" t="s">
        <v>886</v>
      </c>
      <c r="D53" s="44">
        <v>44</v>
      </c>
    </row>
    <row r="54" spans="1:4" ht="12.75" customHeight="1">
      <c r="A54" s="455">
        <v>47</v>
      </c>
      <c r="B54" s="457" t="s">
        <v>616</v>
      </c>
      <c r="C54" s="58" t="s">
        <v>1325</v>
      </c>
      <c r="D54" s="44">
        <v>44</v>
      </c>
    </row>
    <row r="55" spans="1:4" ht="12.75" customHeight="1">
      <c r="A55" s="455">
        <v>48</v>
      </c>
      <c r="B55" s="457" t="s">
        <v>617</v>
      </c>
      <c r="C55" s="58" t="s">
        <v>1495</v>
      </c>
      <c r="D55" s="44">
        <v>45</v>
      </c>
    </row>
    <row r="56" spans="1:4" ht="12.75" customHeight="1">
      <c r="A56" s="455">
        <v>49</v>
      </c>
      <c r="B56" s="457" t="s">
        <v>603</v>
      </c>
      <c r="C56" s="58" t="s">
        <v>604</v>
      </c>
      <c r="D56" s="44">
        <v>46</v>
      </c>
    </row>
    <row r="57" spans="1:4" ht="12.75" customHeight="1">
      <c r="A57" s="455">
        <v>50</v>
      </c>
      <c r="B57" s="457">
        <v>5.4</v>
      </c>
      <c r="C57" s="58" t="s">
        <v>695</v>
      </c>
      <c r="D57" s="44">
        <v>47</v>
      </c>
    </row>
    <row r="58" spans="1:4" ht="12.75" customHeight="1">
      <c r="A58" s="455">
        <v>51</v>
      </c>
      <c r="B58" s="457">
        <v>5.5</v>
      </c>
      <c r="C58" s="58" t="s">
        <v>887</v>
      </c>
      <c r="D58" s="44">
        <v>48</v>
      </c>
    </row>
    <row r="59" spans="1:4" ht="12.75" customHeight="1">
      <c r="A59" s="455">
        <v>52</v>
      </c>
      <c r="B59" s="457" t="s">
        <v>618</v>
      </c>
      <c r="C59" s="58" t="s">
        <v>888</v>
      </c>
      <c r="D59" s="44">
        <v>48</v>
      </c>
    </row>
    <row r="60" spans="1:4" ht="12.75" customHeight="1">
      <c r="A60" s="455">
        <v>53</v>
      </c>
      <c r="B60" s="457">
        <v>5.6</v>
      </c>
      <c r="C60" s="58" t="s">
        <v>889</v>
      </c>
      <c r="D60" s="44">
        <v>49</v>
      </c>
    </row>
    <row r="61" spans="1:4" ht="12.75" customHeight="1">
      <c r="A61" s="455">
        <v>54</v>
      </c>
      <c r="B61" s="457">
        <v>5.7</v>
      </c>
      <c r="C61" s="58" t="s">
        <v>1123</v>
      </c>
      <c r="D61" s="44">
        <v>49</v>
      </c>
    </row>
    <row r="62" spans="1:4" ht="12.75" customHeight="1">
      <c r="A62" s="459">
        <v>55</v>
      </c>
      <c r="B62" s="460">
        <v>5.8</v>
      </c>
      <c r="C62" s="59" t="s">
        <v>890</v>
      </c>
      <c r="D62" s="45">
        <v>49</v>
      </c>
    </row>
    <row r="63" spans="1:4">
      <c r="A63" s="1383" t="s">
        <v>1188</v>
      </c>
      <c r="B63" s="1383"/>
      <c r="C63" s="1383"/>
      <c r="D63" s="541" t="s">
        <v>1246</v>
      </c>
    </row>
    <row r="64" spans="1:4" ht="16.5" customHeight="1">
      <c r="A64" s="1380" t="s">
        <v>684</v>
      </c>
      <c r="B64" s="1380"/>
      <c r="C64" s="1381"/>
      <c r="D64" s="1381"/>
    </row>
    <row r="65" spans="1:4" ht="28.5" customHeight="1">
      <c r="A65" s="453" t="s">
        <v>1366</v>
      </c>
      <c r="B65" s="452" t="s">
        <v>1274</v>
      </c>
      <c r="C65" s="452" t="s">
        <v>1409</v>
      </c>
      <c r="D65" s="452" t="s">
        <v>859</v>
      </c>
    </row>
    <row r="66" spans="1:4" ht="12.75" customHeight="1">
      <c r="A66" s="461"/>
      <c r="B66" s="462"/>
      <c r="C66" s="671" t="s">
        <v>1654</v>
      </c>
      <c r="D66" s="250"/>
    </row>
    <row r="67" spans="1:4" ht="12.75" customHeight="1">
      <c r="A67" s="463">
        <v>56</v>
      </c>
      <c r="B67" s="464">
        <v>6.1</v>
      </c>
      <c r="C67" s="70" t="s">
        <v>891</v>
      </c>
      <c r="D67" s="44">
        <v>50</v>
      </c>
    </row>
    <row r="68" spans="1:4" ht="12.75" customHeight="1">
      <c r="A68" s="463">
        <v>57</v>
      </c>
      <c r="B68" s="464">
        <v>6.2</v>
      </c>
      <c r="C68" s="70" t="s">
        <v>696</v>
      </c>
      <c r="D68" s="44">
        <v>51</v>
      </c>
    </row>
    <row r="69" spans="1:4" ht="12.75" customHeight="1">
      <c r="A69" s="463"/>
      <c r="B69" s="464"/>
      <c r="C69" s="672" t="s">
        <v>1655</v>
      </c>
      <c r="D69" s="44"/>
    </row>
    <row r="70" spans="1:4" ht="12.75" customHeight="1">
      <c r="A70" s="463">
        <v>58</v>
      </c>
      <c r="B70" s="464">
        <v>7.1</v>
      </c>
      <c r="C70" s="70" t="s">
        <v>892</v>
      </c>
      <c r="D70" s="44">
        <v>53</v>
      </c>
    </row>
    <row r="71" spans="1:4" ht="12.75" customHeight="1">
      <c r="A71" s="463">
        <v>59</v>
      </c>
      <c r="B71" s="464">
        <v>7.2</v>
      </c>
      <c r="C71" s="70" t="s">
        <v>1497</v>
      </c>
      <c r="D71" s="44">
        <v>54</v>
      </c>
    </row>
    <row r="72" spans="1:4" ht="12.75" customHeight="1">
      <c r="A72" s="463">
        <v>60</v>
      </c>
      <c r="B72" s="464">
        <v>7.3</v>
      </c>
      <c r="C72" s="70" t="s">
        <v>1245</v>
      </c>
      <c r="D72" s="44">
        <v>54</v>
      </c>
    </row>
    <row r="73" spans="1:4" ht="12.75" customHeight="1">
      <c r="A73" s="463"/>
      <c r="B73" s="464"/>
      <c r="C73" s="672" t="s">
        <v>1664</v>
      </c>
      <c r="D73" s="44"/>
    </row>
    <row r="74" spans="1:4" ht="12.75" customHeight="1">
      <c r="A74" s="463">
        <v>61</v>
      </c>
      <c r="B74" s="464">
        <v>8.1</v>
      </c>
      <c r="C74" s="70" t="s">
        <v>1133</v>
      </c>
      <c r="D74" s="44">
        <v>55</v>
      </c>
    </row>
    <row r="75" spans="1:4" ht="12.75" customHeight="1">
      <c r="A75" s="463">
        <v>62</v>
      </c>
      <c r="B75" s="464">
        <v>8.1999999999999993</v>
      </c>
      <c r="C75" s="70" t="s">
        <v>893</v>
      </c>
      <c r="D75" s="44">
        <v>55</v>
      </c>
    </row>
    <row r="76" spans="1:4" ht="12.75" customHeight="1">
      <c r="A76" s="463">
        <v>63</v>
      </c>
      <c r="B76" s="464" t="s">
        <v>623</v>
      </c>
      <c r="C76" s="70" t="s">
        <v>697</v>
      </c>
      <c r="D76" s="44">
        <v>56</v>
      </c>
    </row>
    <row r="77" spans="1:4" ht="12.75" customHeight="1">
      <c r="A77" s="463">
        <v>64</v>
      </c>
      <c r="B77" s="464">
        <v>8.3000000000000007</v>
      </c>
      <c r="C77" s="70" t="s">
        <v>1134</v>
      </c>
      <c r="D77" s="44">
        <v>57</v>
      </c>
    </row>
    <row r="78" spans="1:4" ht="12.75" customHeight="1">
      <c r="A78" s="463">
        <v>65</v>
      </c>
      <c r="B78" s="464">
        <v>8.4</v>
      </c>
      <c r="C78" s="70" t="s">
        <v>698</v>
      </c>
      <c r="D78" s="44">
        <v>58</v>
      </c>
    </row>
    <row r="79" spans="1:4" ht="12.75" customHeight="1">
      <c r="A79" s="463">
        <v>66</v>
      </c>
      <c r="B79" s="464" t="s">
        <v>624</v>
      </c>
      <c r="C79" s="70" t="s">
        <v>571</v>
      </c>
      <c r="D79" s="44">
        <v>58</v>
      </c>
    </row>
    <row r="80" spans="1:4" ht="12.75" customHeight="1">
      <c r="A80" s="463"/>
      <c r="B80" s="464"/>
      <c r="C80" s="672" t="s">
        <v>1656</v>
      </c>
      <c r="D80" s="44"/>
    </row>
    <row r="81" spans="1:4" ht="12.75" customHeight="1">
      <c r="A81" s="463">
        <v>67</v>
      </c>
      <c r="B81" s="464">
        <v>9.1</v>
      </c>
      <c r="C81" s="70" t="s">
        <v>699</v>
      </c>
      <c r="D81" s="44">
        <v>59</v>
      </c>
    </row>
    <row r="82" spans="1:4" ht="12.75" customHeight="1">
      <c r="A82" s="463">
        <v>68</v>
      </c>
      <c r="B82" s="464">
        <v>9.1999999999999993</v>
      </c>
      <c r="C82" s="70" t="s">
        <v>894</v>
      </c>
      <c r="D82" s="44">
        <v>60</v>
      </c>
    </row>
    <row r="83" spans="1:4" ht="12.75" customHeight="1">
      <c r="A83" s="463">
        <v>69</v>
      </c>
      <c r="B83" s="464" t="s">
        <v>926</v>
      </c>
      <c r="C83" s="70" t="s">
        <v>898</v>
      </c>
      <c r="D83" s="44">
        <v>60</v>
      </c>
    </row>
    <row r="84" spans="1:4" ht="12.75" customHeight="1">
      <c r="A84" s="463">
        <v>70</v>
      </c>
      <c r="B84" s="464" t="s">
        <v>927</v>
      </c>
      <c r="C84" s="70" t="s">
        <v>1135</v>
      </c>
      <c r="D84" s="44">
        <v>60</v>
      </c>
    </row>
    <row r="85" spans="1:4" ht="12.75" customHeight="1">
      <c r="A85" s="463"/>
      <c r="B85" s="464"/>
      <c r="C85" s="672" t="s">
        <v>1657</v>
      </c>
      <c r="D85" s="44"/>
    </row>
    <row r="86" spans="1:4" ht="12.75" customHeight="1">
      <c r="A86" s="463">
        <v>71</v>
      </c>
      <c r="B86" s="464">
        <v>10.1</v>
      </c>
      <c r="C86" s="70" t="s">
        <v>1136</v>
      </c>
      <c r="D86" s="44">
        <v>61</v>
      </c>
    </row>
    <row r="87" spans="1:4" ht="12.75" customHeight="1">
      <c r="A87" s="463">
        <v>72</v>
      </c>
      <c r="B87" s="464">
        <v>10.199999999999999</v>
      </c>
      <c r="C87" s="70" t="s">
        <v>1137</v>
      </c>
      <c r="D87" s="44">
        <v>61</v>
      </c>
    </row>
    <row r="88" spans="1:4" ht="12.75" customHeight="1">
      <c r="A88" s="463">
        <v>73</v>
      </c>
      <c r="B88" s="464">
        <v>10.3</v>
      </c>
      <c r="C88" s="70" t="s">
        <v>1138</v>
      </c>
      <c r="D88" s="44">
        <v>62</v>
      </c>
    </row>
    <row r="89" spans="1:4" ht="12.75" customHeight="1">
      <c r="A89" s="463"/>
      <c r="B89" s="464"/>
      <c r="C89" s="672" t="s">
        <v>1658</v>
      </c>
      <c r="D89" s="44"/>
    </row>
    <row r="90" spans="1:4" ht="12.75" customHeight="1">
      <c r="A90" s="463">
        <v>74</v>
      </c>
      <c r="B90" s="464">
        <v>11.1</v>
      </c>
      <c r="C90" s="70" t="s">
        <v>361</v>
      </c>
      <c r="D90" s="44">
        <v>63</v>
      </c>
    </row>
    <row r="91" spans="1:4" ht="12.75" customHeight="1">
      <c r="A91" s="463">
        <v>75</v>
      </c>
      <c r="B91" s="464" t="s">
        <v>928</v>
      </c>
      <c r="C91" s="70" t="s">
        <v>899</v>
      </c>
      <c r="D91" s="44">
        <v>64</v>
      </c>
    </row>
    <row r="92" spans="1:4" ht="12.75" customHeight="1">
      <c r="A92" s="463">
        <v>76</v>
      </c>
      <c r="B92" s="464">
        <v>11.2</v>
      </c>
      <c r="C92" s="70" t="s">
        <v>1139</v>
      </c>
      <c r="D92" s="44">
        <v>64</v>
      </c>
    </row>
    <row r="93" spans="1:4" ht="12.75" customHeight="1">
      <c r="A93" s="463">
        <v>77</v>
      </c>
      <c r="B93" s="464">
        <v>11.3</v>
      </c>
      <c r="C93" s="70" t="s">
        <v>1140</v>
      </c>
      <c r="D93" s="44">
        <v>65</v>
      </c>
    </row>
    <row r="94" spans="1:4" ht="12.75" customHeight="1">
      <c r="A94" s="463">
        <v>78</v>
      </c>
      <c r="B94" s="464">
        <v>11.4</v>
      </c>
      <c r="C94" s="70" t="s">
        <v>1141</v>
      </c>
      <c r="D94" s="44">
        <v>65</v>
      </c>
    </row>
    <row r="95" spans="1:4" ht="12.75" customHeight="1">
      <c r="A95" s="463"/>
      <c r="B95" s="464"/>
      <c r="C95" s="672" t="s">
        <v>1659</v>
      </c>
      <c r="D95" s="44"/>
    </row>
    <row r="96" spans="1:4" ht="12.75" customHeight="1">
      <c r="A96" s="463">
        <v>79</v>
      </c>
      <c r="B96" s="464">
        <v>12.1</v>
      </c>
      <c r="C96" s="70" t="s">
        <v>1478</v>
      </c>
      <c r="D96" s="44">
        <v>66</v>
      </c>
    </row>
    <row r="97" spans="1:4" ht="12.75" customHeight="1">
      <c r="A97" s="463">
        <v>80</v>
      </c>
      <c r="B97" s="464">
        <v>12.2</v>
      </c>
      <c r="C97" s="70" t="s">
        <v>900</v>
      </c>
      <c r="D97" s="44">
        <v>66</v>
      </c>
    </row>
    <row r="98" spans="1:4" ht="12.75" customHeight="1">
      <c r="A98" s="463">
        <v>81</v>
      </c>
      <c r="B98" s="464">
        <v>12.3</v>
      </c>
      <c r="C98" s="70" t="s">
        <v>700</v>
      </c>
      <c r="D98" s="44">
        <v>67</v>
      </c>
    </row>
    <row r="99" spans="1:4" ht="12.75" customHeight="1">
      <c r="A99" s="463">
        <v>82</v>
      </c>
      <c r="B99" s="464">
        <v>12.4</v>
      </c>
      <c r="C99" s="70" t="s">
        <v>701</v>
      </c>
      <c r="D99" s="44">
        <v>67</v>
      </c>
    </row>
    <row r="100" spans="1:4" ht="12.75" customHeight="1">
      <c r="A100" s="463">
        <v>83</v>
      </c>
      <c r="B100" s="464">
        <v>12.5</v>
      </c>
      <c r="C100" s="70" t="s">
        <v>901</v>
      </c>
      <c r="D100" s="44">
        <v>68</v>
      </c>
    </row>
    <row r="101" spans="1:4" ht="12.75" customHeight="1">
      <c r="A101" s="463">
        <v>84</v>
      </c>
      <c r="B101" s="464">
        <v>12.6</v>
      </c>
      <c r="C101" s="70" t="s">
        <v>464</v>
      </c>
      <c r="D101" s="44">
        <v>68</v>
      </c>
    </row>
    <row r="102" spans="1:4" ht="12.75" customHeight="1">
      <c r="A102" s="463">
        <v>85</v>
      </c>
      <c r="B102" s="464">
        <v>12.7</v>
      </c>
      <c r="C102" s="70" t="s">
        <v>929</v>
      </c>
      <c r="D102" s="44">
        <v>68</v>
      </c>
    </row>
    <row r="103" spans="1:4" ht="12.75" customHeight="1">
      <c r="A103" s="463"/>
      <c r="B103" s="464"/>
      <c r="C103" s="672" t="s">
        <v>1660</v>
      </c>
      <c r="D103" s="44"/>
    </row>
    <row r="104" spans="1:4" ht="12.75" customHeight="1">
      <c r="A104" s="463">
        <v>86</v>
      </c>
      <c r="B104" s="464">
        <v>13.1</v>
      </c>
      <c r="C104" s="70" t="s">
        <v>1142</v>
      </c>
      <c r="D104" s="44">
        <v>69</v>
      </c>
    </row>
    <row r="105" spans="1:4" ht="12.75" customHeight="1">
      <c r="A105" s="463">
        <v>87</v>
      </c>
      <c r="B105" s="464">
        <v>13.2</v>
      </c>
      <c r="C105" s="70" t="s">
        <v>1529</v>
      </c>
      <c r="D105" s="44">
        <v>70</v>
      </c>
    </row>
    <row r="106" spans="1:4" ht="12.75" customHeight="1">
      <c r="A106" s="463">
        <v>88</v>
      </c>
      <c r="B106" s="464">
        <v>13.3</v>
      </c>
      <c r="C106" s="70" t="s">
        <v>702</v>
      </c>
      <c r="D106" s="44">
        <v>70</v>
      </c>
    </row>
    <row r="107" spans="1:4" ht="12.75" customHeight="1">
      <c r="A107" s="463"/>
      <c r="B107" s="464"/>
      <c r="C107" s="672" t="s">
        <v>1661</v>
      </c>
      <c r="D107" s="44"/>
    </row>
    <row r="108" spans="1:4" ht="12.75" customHeight="1">
      <c r="A108" s="463">
        <v>89</v>
      </c>
      <c r="B108" s="464">
        <v>14.1</v>
      </c>
      <c r="C108" s="70" t="s">
        <v>1065</v>
      </c>
      <c r="D108" s="44">
        <v>71</v>
      </c>
    </row>
    <row r="109" spans="1:4" ht="12.75" customHeight="1">
      <c r="A109" s="463">
        <v>90</v>
      </c>
      <c r="B109" s="464">
        <v>14.2</v>
      </c>
      <c r="C109" s="70" t="s">
        <v>1531</v>
      </c>
      <c r="D109" s="44">
        <v>71</v>
      </c>
    </row>
    <row r="110" spans="1:4" ht="12.75" customHeight="1">
      <c r="A110" s="463"/>
      <c r="B110" s="464"/>
      <c r="C110" s="672" t="s">
        <v>1662</v>
      </c>
      <c r="D110" s="44"/>
    </row>
    <row r="111" spans="1:4" ht="12.75" customHeight="1">
      <c r="A111" s="463">
        <v>91</v>
      </c>
      <c r="B111" s="464">
        <v>15.1</v>
      </c>
      <c r="C111" s="70" t="s">
        <v>703</v>
      </c>
      <c r="D111" s="44">
        <v>72</v>
      </c>
    </row>
    <row r="112" spans="1:4" ht="12.75" customHeight="1">
      <c r="A112" s="463">
        <v>92</v>
      </c>
      <c r="B112" s="464">
        <v>15.2</v>
      </c>
      <c r="C112" s="70" t="s">
        <v>902</v>
      </c>
      <c r="D112" s="44">
        <v>73</v>
      </c>
    </row>
    <row r="113" spans="1:4" ht="12.75" customHeight="1">
      <c r="A113" s="463"/>
      <c r="B113" s="464"/>
      <c r="C113" s="672" t="s">
        <v>1665</v>
      </c>
      <c r="D113" s="44"/>
    </row>
    <row r="114" spans="1:4" ht="12.75" customHeight="1">
      <c r="A114" s="463">
        <v>93</v>
      </c>
      <c r="B114" s="464">
        <v>16.100000000000001</v>
      </c>
      <c r="C114" s="70" t="s">
        <v>903</v>
      </c>
      <c r="D114" s="44">
        <v>77</v>
      </c>
    </row>
    <row r="115" spans="1:4" ht="12.75" customHeight="1">
      <c r="A115" s="463">
        <v>94</v>
      </c>
      <c r="B115" s="464">
        <v>17.100000000000001</v>
      </c>
      <c r="C115" s="70" t="s">
        <v>1534</v>
      </c>
      <c r="D115" s="44">
        <v>78</v>
      </c>
    </row>
    <row r="116" spans="1:4" ht="12.75" customHeight="1">
      <c r="A116" s="463">
        <v>95</v>
      </c>
      <c r="B116" s="464">
        <v>17.2</v>
      </c>
      <c r="C116" s="70" t="s">
        <v>688</v>
      </c>
      <c r="D116" s="44">
        <v>79</v>
      </c>
    </row>
    <row r="117" spans="1:4" ht="12.75" customHeight="1">
      <c r="A117" s="463">
        <v>96</v>
      </c>
      <c r="B117" s="464">
        <v>18.100000000000001</v>
      </c>
      <c r="C117" s="70" t="s">
        <v>1143</v>
      </c>
      <c r="D117" s="44">
        <v>80</v>
      </c>
    </row>
    <row r="118" spans="1:4" ht="12.75" customHeight="1">
      <c r="A118" s="463">
        <v>97</v>
      </c>
      <c r="B118" s="464">
        <v>18.2</v>
      </c>
      <c r="C118" s="70" t="s">
        <v>1144</v>
      </c>
      <c r="D118" s="44">
        <v>83</v>
      </c>
    </row>
    <row r="119" spans="1:4" ht="12.75" customHeight="1">
      <c r="A119" s="463">
        <v>98</v>
      </c>
      <c r="B119" s="464">
        <v>18.3</v>
      </c>
      <c r="C119" s="70" t="s">
        <v>704</v>
      </c>
      <c r="D119" s="44">
        <v>84</v>
      </c>
    </row>
    <row r="120" spans="1:4" ht="12.75" customHeight="1">
      <c r="A120" s="463">
        <v>99</v>
      </c>
      <c r="B120" s="464">
        <v>19.100000000000001</v>
      </c>
      <c r="C120" s="70" t="s">
        <v>705</v>
      </c>
      <c r="D120" s="44">
        <v>85</v>
      </c>
    </row>
    <row r="121" spans="1:4" ht="12.75" customHeight="1">
      <c r="A121" s="463">
        <v>100</v>
      </c>
      <c r="B121" s="464">
        <v>20.100000000000001</v>
      </c>
      <c r="C121" s="70" t="s">
        <v>1538</v>
      </c>
      <c r="D121" s="44">
        <v>86</v>
      </c>
    </row>
    <row r="122" spans="1:4" ht="12.75" customHeight="1">
      <c r="A122" s="463">
        <v>101</v>
      </c>
      <c r="B122" s="464">
        <v>20.2</v>
      </c>
      <c r="C122" s="70" t="s">
        <v>936</v>
      </c>
      <c r="D122" s="44">
        <v>87</v>
      </c>
    </row>
    <row r="123" spans="1:4" ht="12.75" customHeight="1">
      <c r="A123" s="463">
        <v>102</v>
      </c>
      <c r="B123" s="464">
        <v>21.1</v>
      </c>
      <c r="C123" s="70" t="s">
        <v>706</v>
      </c>
      <c r="D123" s="44">
        <v>88</v>
      </c>
    </row>
    <row r="124" spans="1:4" ht="12.75" customHeight="1">
      <c r="A124" s="465">
        <v>103</v>
      </c>
      <c r="B124" s="466">
        <v>21.2</v>
      </c>
      <c r="C124" s="673" t="s">
        <v>707</v>
      </c>
      <c r="D124" s="45">
        <v>89</v>
      </c>
    </row>
    <row r="125" spans="1:4">
      <c r="A125" s="68"/>
      <c r="B125" s="69"/>
      <c r="C125" s="6"/>
    </row>
    <row r="126" spans="1:4">
      <c r="A126" s="1384" t="s">
        <v>1186</v>
      </c>
      <c r="B126" s="1384"/>
      <c r="C126" s="1384"/>
      <c r="D126" s="1384"/>
    </row>
  </sheetData>
  <mergeCells count="4">
    <mergeCell ref="A64:D64"/>
    <mergeCell ref="A1:D1"/>
    <mergeCell ref="A63:C63"/>
    <mergeCell ref="A126:D126"/>
  </mergeCells>
  <phoneticPr fontId="0" type="noConversion"/>
  <printOptions horizontalCentered="1"/>
  <pageMargins left="0.1" right="0.1" top="0.3" bottom="0.1" header="0.5" footer="0.1"/>
  <pageSetup paperSize="9" orientation="portrait" blackAndWhite="1" horizontalDpi="4294967295" verticalDpi="300" r:id="rId1"/>
  <headerFooter alignWithMargins="0"/>
  <rowBreaks count="1" manualBreakCount="1">
    <brk id="63" max="16383" man="1"/>
  </rowBreaks>
</worksheet>
</file>

<file path=xl/worksheets/sheet40.xml><?xml version="1.0" encoding="utf-8"?>
<worksheet xmlns="http://schemas.openxmlformats.org/spreadsheetml/2006/main" xmlns:r="http://schemas.openxmlformats.org/officeDocument/2006/relationships">
  <dimension ref="A1:K12"/>
  <sheetViews>
    <sheetView workbookViewId="0">
      <selection activeCell="F14" sqref="F14"/>
    </sheetView>
  </sheetViews>
  <sheetFormatPr defaultRowHeight="12.75"/>
  <cols>
    <col min="1" max="1" width="15.85546875" style="723" customWidth="1"/>
    <col min="2" max="2" width="12" style="723" customWidth="1"/>
    <col min="3" max="3" width="10.42578125" style="723" customWidth="1"/>
    <col min="4" max="4" width="12.140625" style="723" customWidth="1"/>
    <col min="5" max="5" width="11.7109375" style="723" customWidth="1"/>
    <col min="6" max="6" width="11.5703125" style="723" customWidth="1"/>
    <col min="7" max="7" width="13.140625" style="723" customWidth="1"/>
    <col min="8" max="8" width="11" style="723" customWidth="1"/>
    <col min="9" max="10" width="11.42578125" style="723" customWidth="1"/>
    <col min="11" max="11" width="13" style="723" customWidth="1"/>
    <col min="12" max="12" width="11.42578125" style="723" customWidth="1"/>
    <col min="13" max="16384" width="9.140625" style="723"/>
  </cols>
  <sheetData>
    <row r="1" spans="1:11" ht="14.25" customHeight="1">
      <c r="A1" s="1399" t="s">
        <v>662</v>
      </c>
      <c r="B1" s="1399"/>
      <c r="C1" s="1399"/>
      <c r="D1" s="1399"/>
      <c r="E1" s="1399"/>
      <c r="F1" s="1399"/>
      <c r="G1" s="1399"/>
      <c r="H1" s="1399"/>
      <c r="I1" s="1399"/>
      <c r="J1" s="1399"/>
      <c r="K1" s="1399"/>
    </row>
    <row r="2" spans="1:11" ht="17.25" customHeight="1">
      <c r="A2" s="1413" t="str">
        <f>CONCATENATE("Classification of Land Utilisation Statistics in the district of ",District!A1)</f>
        <v>Classification of Land Utilisation Statistics in the district of Purulia</v>
      </c>
      <c r="B2" s="1413"/>
      <c r="C2" s="1413"/>
      <c r="D2" s="1413"/>
      <c r="E2" s="1413"/>
      <c r="F2" s="1413"/>
      <c r="G2" s="1413"/>
      <c r="H2" s="1413"/>
      <c r="I2" s="1413"/>
      <c r="J2" s="1413"/>
      <c r="K2" s="1413"/>
    </row>
    <row r="3" spans="1:11">
      <c r="B3" s="13"/>
      <c r="C3" s="13"/>
      <c r="D3" s="13"/>
      <c r="E3" s="13"/>
      <c r="F3" s="13"/>
      <c r="G3" s="13"/>
      <c r="H3" s="13"/>
      <c r="I3" s="13"/>
      <c r="J3" s="13"/>
      <c r="K3" s="738" t="s">
        <v>94</v>
      </c>
    </row>
    <row r="4" spans="1:11" s="7" customFormat="1" ht="73.5" customHeight="1">
      <c r="A4" s="491" t="s">
        <v>951</v>
      </c>
      <c r="B4" s="800" t="s">
        <v>1418</v>
      </c>
      <c r="C4" s="721" t="s">
        <v>1419</v>
      </c>
      <c r="D4" s="1113" t="s">
        <v>1420</v>
      </c>
      <c r="E4" s="721" t="s">
        <v>1421</v>
      </c>
      <c r="F4" s="1113" t="s">
        <v>1422</v>
      </c>
      <c r="G4" s="721" t="s">
        <v>417</v>
      </c>
      <c r="H4" s="1113" t="s">
        <v>198</v>
      </c>
      <c r="I4" s="721" t="s">
        <v>1423</v>
      </c>
      <c r="J4" s="1113" t="s">
        <v>1424</v>
      </c>
      <c r="K4" s="721" t="s">
        <v>1425</v>
      </c>
    </row>
    <row r="5" spans="1:11" s="7" customFormat="1" ht="19.5" customHeight="1">
      <c r="A5" s="760" t="s">
        <v>1008</v>
      </c>
      <c r="B5" s="1114" t="s">
        <v>1009</v>
      </c>
      <c r="C5" s="1115" t="s">
        <v>1010</v>
      </c>
      <c r="D5" s="1114" t="s">
        <v>1011</v>
      </c>
      <c r="E5" s="1115" t="s">
        <v>1015</v>
      </c>
      <c r="F5" s="1114" t="s">
        <v>1016</v>
      </c>
      <c r="G5" s="1115" t="s">
        <v>1017</v>
      </c>
      <c r="H5" s="1114" t="s">
        <v>1039</v>
      </c>
      <c r="I5" s="1115" t="s">
        <v>1040</v>
      </c>
      <c r="J5" s="1114" t="s">
        <v>1041</v>
      </c>
      <c r="K5" s="1115" t="s">
        <v>1042</v>
      </c>
    </row>
    <row r="6" spans="1:11" ht="36" customHeight="1">
      <c r="A6" s="126" t="s">
        <v>1526</v>
      </c>
      <c r="B6" s="854">
        <f>SUM(C6:K6)</f>
        <v>625.65000000000009</v>
      </c>
      <c r="C6" s="796">
        <v>75.05</v>
      </c>
      <c r="D6" s="854">
        <v>104.48</v>
      </c>
      <c r="E6" s="796">
        <v>5.31</v>
      </c>
      <c r="F6" s="854">
        <v>2.56</v>
      </c>
      <c r="G6" s="796">
        <v>3.19</v>
      </c>
      <c r="H6" s="854">
        <v>8.23</v>
      </c>
      <c r="I6" s="796">
        <v>4.72</v>
      </c>
      <c r="J6" s="854">
        <v>102.7</v>
      </c>
      <c r="K6" s="796">
        <v>319.41000000000003</v>
      </c>
    </row>
    <row r="7" spans="1:11" ht="36" customHeight="1">
      <c r="A7" s="126" t="s">
        <v>1525</v>
      </c>
      <c r="B7" s="854">
        <f>SUM(C7:K7)</f>
        <v>625.65</v>
      </c>
      <c r="C7" s="796">
        <v>75.05</v>
      </c>
      <c r="D7" s="854">
        <v>105.72</v>
      </c>
      <c r="E7" s="796">
        <v>3.2</v>
      </c>
      <c r="F7" s="854">
        <v>1.81</v>
      </c>
      <c r="G7" s="796">
        <v>2.52</v>
      </c>
      <c r="H7" s="854">
        <v>7.6</v>
      </c>
      <c r="I7" s="796">
        <v>4.22</v>
      </c>
      <c r="J7" s="854">
        <v>199.4</v>
      </c>
      <c r="K7" s="796">
        <v>226.13</v>
      </c>
    </row>
    <row r="8" spans="1:11" ht="36" customHeight="1">
      <c r="A8" s="126" t="s">
        <v>1051</v>
      </c>
      <c r="B8" s="854">
        <f>SUM(C8:K8)</f>
        <v>625.65</v>
      </c>
      <c r="C8" s="796">
        <v>75.05</v>
      </c>
      <c r="D8" s="854">
        <v>109.06</v>
      </c>
      <c r="E8" s="796">
        <v>2.0099999999999998</v>
      </c>
      <c r="F8" s="854">
        <v>0.8</v>
      </c>
      <c r="G8" s="796">
        <v>2.36</v>
      </c>
      <c r="H8" s="854">
        <v>7.73</v>
      </c>
      <c r="I8" s="796">
        <v>4.7</v>
      </c>
      <c r="J8" s="854">
        <v>128.54</v>
      </c>
      <c r="K8" s="796">
        <v>295.39999999999998</v>
      </c>
    </row>
    <row r="9" spans="1:11" ht="36" customHeight="1">
      <c r="A9" s="126" t="s">
        <v>1250</v>
      </c>
      <c r="B9" s="854">
        <f>SUM(C9:K9)</f>
        <v>625.65</v>
      </c>
      <c r="C9" s="796">
        <v>75.05</v>
      </c>
      <c r="D9" s="854">
        <v>109.97</v>
      </c>
      <c r="E9" s="796">
        <v>1.56</v>
      </c>
      <c r="F9" s="854">
        <v>0.67</v>
      </c>
      <c r="G9" s="796">
        <v>2.67</v>
      </c>
      <c r="H9" s="854">
        <v>6.66</v>
      </c>
      <c r="I9" s="796">
        <v>4.1100000000000003</v>
      </c>
      <c r="J9" s="854">
        <v>126.36</v>
      </c>
      <c r="K9" s="796">
        <v>298.60000000000002</v>
      </c>
    </row>
    <row r="10" spans="1:11" ht="36" customHeight="1">
      <c r="A10" s="128" t="s">
        <v>527</v>
      </c>
      <c r="B10" s="1094">
        <f>SUM(C10:K10)</f>
        <v>625.64600000000007</v>
      </c>
      <c r="C10" s="1094">
        <v>75.048000000000002</v>
      </c>
      <c r="D10" s="1094">
        <v>113.441</v>
      </c>
      <c r="E10" s="1094">
        <v>1.2509999999999999</v>
      </c>
      <c r="F10" s="1094">
        <v>0.42899999999999999</v>
      </c>
      <c r="G10" s="1094">
        <v>3.5059999999999998</v>
      </c>
      <c r="H10" s="1094">
        <v>3.4729999999999999</v>
      </c>
      <c r="I10" s="1094">
        <v>2.823</v>
      </c>
      <c r="J10" s="1094">
        <v>116.53100000000001</v>
      </c>
      <c r="K10" s="1094">
        <v>309.14400000000001</v>
      </c>
    </row>
    <row r="11" spans="1:11" ht="12.75" customHeight="1">
      <c r="A11" s="5"/>
      <c r="B11" s="37"/>
      <c r="C11" s="37"/>
      <c r="D11" s="37"/>
      <c r="E11" s="37"/>
      <c r="F11" s="37"/>
      <c r="G11" s="37"/>
      <c r="H11" s="1116"/>
      <c r="I11" s="1116"/>
      <c r="J11" s="1116"/>
      <c r="K11" s="1047" t="s">
        <v>1292</v>
      </c>
    </row>
    <row r="12" spans="1:11" ht="13.5" customHeight="1">
      <c r="A12" s="5"/>
      <c r="B12" s="37"/>
      <c r="C12" s="37"/>
      <c r="D12" s="37"/>
      <c r="E12" s="37"/>
      <c r="F12" s="37"/>
      <c r="G12" s="37"/>
      <c r="H12" s="1116"/>
      <c r="I12" s="1116"/>
      <c r="J12" s="1116"/>
      <c r="K12" s="1116"/>
    </row>
  </sheetData>
  <mergeCells count="2">
    <mergeCell ref="A1:K1"/>
    <mergeCell ref="A2:K2"/>
  </mergeCells>
  <phoneticPr fontId="0" type="noConversion"/>
  <printOptions horizontalCentered="1" verticalCentered="1"/>
  <pageMargins left="0.1" right="0.1" top="0" bottom="0" header="0.15" footer="0"/>
  <pageSetup paperSize="9" orientation="landscape" blackAndWhite="1" r:id="rId1"/>
  <headerFooter alignWithMargins="0"/>
</worksheet>
</file>

<file path=xl/worksheets/sheet41.xml><?xml version="1.0" encoding="utf-8"?>
<worksheet xmlns="http://schemas.openxmlformats.org/spreadsheetml/2006/main" xmlns:r="http://schemas.openxmlformats.org/officeDocument/2006/relationships">
  <sheetPr codeName="Sheet37"/>
  <dimension ref="A1:N33"/>
  <sheetViews>
    <sheetView workbookViewId="0">
      <selection activeCell="O25" sqref="O25"/>
    </sheetView>
  </sheetViews>
  <sheetFormatPr defaultRowHeight="12.4" customHeight="1"/>
  <cols>
    <col min="1" max="1" width="17.85546875" style="723" customWidth="1"/>
    <col min="2" max="2" width="9.42578125" style="723" customWidth="1"/>
    <col min="3" max="13" width="9.140625" style="723"/>
    <col min="14" max="14" width="11.42578125" style="723" customWidth="1"/>
    <col min="15" max="16384" width="9.140625" style="723"/>
  </cols>
  <sheetData>
    <row r="1" spans="1:14" ht="15" customHeight="1">
      <c r="A1" s="1399" t="s">
        <v>663</v>
      </c>
      <c r="B1" s="1399"/>
      <c r="C1" s="1399"/>
      <c r="D1" s="1399"/>
      <c r="E1" s="1399"/>
      <c r="F1" s="1399"/>
      <c r="G1" s="1399"/>
      <c r="H1" s="1399"/>
      <c r="I1" s="1399"/>
      <c r="J1" s="1399"/>
      <c r="K1" s="1399"/>
      <c r="L1" s="1399"/>
      <c r="M1" s="1399"/>
      <c r="N1" s="1399"/>
    </row>
    <row r="2" spans="1:14" ht="17.25" customHeight="1">
      <c r="A2" s="1413" t="str">
        <f>CONCATENATE("Distribution of Operational Holdings over size-classes in the district of ",District!A1)</f>
        <v>Distribution of Operational Holdings over size-classes in the district of Purulia</v>
      </c>
      <c r="B2" s="1413"/>
      <c r="C2" s="1413"/>
      <c r="D2" s="1413"/>
      <c r="E2" s="1413"/>
      <c r="F2" s="1413"/>
      <c r="G2" s="1413"/>
      <c r="H2" s="1413"/>
      <c r="I2" s="1413"/>
      <c r="J2" s="1413"/>
      <c r="K2" s="1413"/>
      <c r="L2" s="1413"/>
      <c r="M2" s="1413"/>
      <c r="N2" s="1413"/>
    </row>
    <row r="3" spans="1:14" ht="12.75" customHeight="1">
      <c r="B3" s="772"/>
      <c r="C3" s="772"/>
      <c r="D3" s="772"/>
      <c r="E3" s="772"/>
      <c r="F3" s="772"/>
      <c r="G3" s="772"/>
      <c r="H3" s="772"/>
      <c r="I3" s="772"/>
      <c r="J3" s="772"/>
      <c r="K3" s="772"/>
      <c r="L3" s="772"/>
      <c r="M3" s="13"/>
      <c r="N3" s="738" t="s">
        <v>1432</v>
      </c>
    </row>
    <row r="4" spans="1:14" ht="18" customHeight="1">
      <c r="A4" s="1410" t="s">
        <v>951</v>
      </c>
      <c r="B4" s="1407" t="s">
        <v>1431</v>
      </c>
      <c r="C4" s="1400"/>
      <c r="D4" s="1400"/>
      <c r="E4" s="1400"/>
      <c r="F4" s="1400"/>
      <c r="G4" s="1400"/>
      <c r="H4" s="1400"/>
      <c r="I4" s="1400"/>
      <c r="J4" s="1400"/>
      <c r="K4" s="1400"/>
      <c r="L4" s="1400"/>
      <c r="M4" s="1401"/>
      <c r="N4" s="1408" t="s">
        <v>97</v>
      </c>
    </row>
    <row r="5" spans="1:14" ht="19.5" customHeight="1">
      <c r="A5" s="1412"/>
      <c r="B5" s="1407" t="s">
        <v>95</v>
      </c>
      <c r="C5" s="1401"/>
      <c r="D5" s="1407" t="s">
        <v>1427</v>
      </c>
      <c r="E5" s="1401"/>
      <c r="F5" s="1407" t="s">
        <v>1428</v>
      </c>
      <c r="G5" s="1401"/>
      <c r="H5" s="1407" t="s">
        <v>1429</v>
      </c>
      <c r="I5" s="1401"/>
      <c r="J5" s="1407" t="s">
        <v>1430</v>
      </c>
      <c r="K5" s="1401"/>
      <c r="L5" s="1407" t="s">
        <v>1035</v>
      </c>
      <c r="M5" s="1401"/>
      <c r="N5" s="1472"/>
    </row>
    <row r="6" spans="1:14" ht="29.25" customHeight="1">
      <c r="A6" s="1411"/>
      <c r="B6" s="1117" t="s">
        <v>736</v>
      </c>
      <c r="C6" s="1118" t="s">
        <v>96</v>
      </c>
      <c r="D6" s="1117" t="s">
        <v>736</v>
      </c>
      <c r="E6" s="1118" t="s">
        <v>96</v>
      </c>
      <c r="F6" s="1117" t="s">
        <v>736</v>
      </c>
      <c r="G6" s="1118" t="s">
        <v>96</v>
      </c>
      <c r="H6" s="1117" t="s">
        <v>736</v>
      </c>
      <c r="I6" s="1118" t="s">
        <v>96</v>
      </c>
      <c r="J6" s="1117" t="s">
        <v>736</v>
      </c>
      <c r="K6" s="1118" t="s">
        <v>96</v>
      </c>
      <c r="L6" s="1117" t="s">
        <v>736</v>
      </c>
      <c r="M6" s="1118" t="s">
        <v>96</v>
      </c>
      <c r="N6" s="1409"/>
    </row>
    <row r="7" spans="1:14" ht="20.25" customHeight="1">
      <c r="A7" s="522" t="s">
        <v>1008</v>
      </c>
      <c r="B7" s="1119" t="s">
        <v>1009</v>
      </c>
      <c r="C7" s="1120" t="s">
        <v>1010</v>
      </c>
      <c r="D7" s="1119" t="s">
        <v>1011</v>
      </c>
      <c r="E7" s="1120" t="s">
        <v>1015</v>
      </c>
      <c r="F7" s="1119" t="s">
        <v>1016</v>
      </c>
      <c r="G7" s="1120" t="s">
        <v>1017</v>
      </c>
      <c r="H7" s="1119" t="s">
        <v>1039</v>
      </c>
      <c r="I7" s="1120" t="s">
        <v>1040</v>
      </c>
      <c r="J7" s="1119" t="s">
        <v>1041</v>
      </c>
      <c r="K7" s="1120" t="s">
        <v>1042</v>
      </c>
      <c r="L7" s="1119" t="s">
        <v>1076</v>
      </c>
      <c r="M7" s="1120" t="s">
        <v>1077</v>
      </c>
      <c r="N7" s="1121" t="s">
        <v>1078</v>
      </c>
    </row>
    <row r="8" spans="1:14" ht="30" customHeight="1">
      <c r="A8" s="728" t="s">
        <v>416</v>
      </c>
      <c r="B8" s="734">
        <v>234716</v>
      </c>
      <c r="C8" s="1122">
        <v>115013</v>
      </c>
      <c r="D8" s="734">
        <v>60332</v>
      </c>
      <c r="E8" s="1122">
        <v>90702</v>
      </c>
      <c r="F8" s="734">
        <v>16751</v>
      </c>
      <c r="G8" s="1122">
        <v>44241</v>
      </c>
      <c r="H8" s="734">
        <v>1551</v>
      </c>
      <c r="I8" s="1122">
        <v>7623</v>
      </c>
      <c r="J8" s="1123">
        <v>11</v>
      </c>
      <c r="K8" s="1122">
        <v>153</v>
      </c>
      <c r="L8" s="1123">
        <v>313361</v>
      </c>
      <c r="M8" s="1122">
        <v>257732</v>
      </c>
      <c r="N8" s="732">
        <v>0.82</v>
      </c>
    </row>
    <row r="9" spans="1:14" ht="30" customHeight="1">
      <c r="A9" s="128" t="s">
        <v>1525</v>
      </c>
      <c r="B9" s="777">
        <v>252969</v>
      </c>
      <c r="C9" s="1122">
        <v>130440</v>
      </c>
      <c r="D9" s="734">
        <v>49653</v>
      </c>
      <c r="E9" s="1122">
        <v>74490</v>
      </c>
      <c r="F9" s="734">
        <v>14884</v>
      </c>
      <c r="G9" s="1122">
        <v>39575</v>
      </c>
      <c r="H9" s="734">
        <v>2406</v>
      </c>
      <c r="I9" s="1122">
        <v>11145</v>
      </c>
      <c r="J9" s="1123">
        <v>11</v>
      </c>
      <c r="K9" s="1122">
        <v>157</v>
      </c>
      <c r="L9" s="1123">
        <v>319923</v>
      </c>
      <c r="M9" s="1122">
        <v>255807</v>
      </c>
      <c r="N9" s="1124">
        <v>0.8</v>
      </c>
    </row>
    <row r="10" spans="1:14" ht="12.75">
      <c r="A10" s="1112" t="s">
        <v>1382</v>
      </c>
      <c r="B10" s="553" t="s">
        <v>372</v>
      </c>
      <c r="C10" s="540"/>
      <c r="E10" s="5"/>
      <c r="F10" s="37"/>
      <c r="G10" s="37"/>
      <c r="H10" s="37"/>
      <c r="I10" s="37"/>
      <c r="J10" s="1630" t="s">
        <v>1381</v>
      </c>
      <c r="K10" s="1630"/>
      <c r="L10" s="1631"/>
      <c r="M10" s="1630"/>
      <c r="N10" s="1631"/>
    </row>
    <row r="11" spans="1:14" ht="12.75" customHeight="1">
      <c r="A11" s="556" t="s">
        <v>1383</v>
      </c>
      <c r="B11" s="553" t="s">
        <v>373</v>
      </c>
      <c r="C11" s="540"/>
      <c r="E11" s="5"/>
      <c r="F11" s="37"/>
      <c r="G11" s="37"/>
      <c r="H11" s="37"/>
      <c r="I11" s="37"/>
      <c r="J11" s="37"/>
      <c r="K11" s="37"/>
      <c r="L11" s="37"/>
      <c r="M11" s="37"/>
      <c r="N11" s="37"/>
    </row>
    <row r="12" spans="1:14" ht="12.75" customHeight="1">
      <c r="A12" s="549" t="s">
        <v>1384</v>
      </c>
      <c r="B12" s="553" t="s">
        <v>374</v>
      </c>
      <c r="C12" s="540"/>
      <c r="E12" s="5"/>
      <c r="F12" s="37"/>
      <c r="G12" s="37"/>
      <c r="H12" s="37"/>
      <c r="I12" s="37"/>
      <c r="J12" s="37"/>
      <c r="K12" s="37"/>
      <c r="L12" s="37"/>
      <c r="M12" s="37"/>
      <c r="N12" s="37"/>
    </row>
    <row r="13" spans="1:14" ht="12.75" customHeight="1">
      <c r="A13" s="556" t="s">
        <v>1385</v>
      </c>
      <c r="B13" s="553" t="s">
        <v>375</v>
      </c>
      <c r="C13" s="540"/>
      <c r="E13" s="5"/>
      <c r="F13" s="37"/>
      <c r="G13" s="37"/>
      <c r="H13" s="37"/>
      <c r="I13" s="37"/>
      <c r="J13" s="37"/>
      <c r="K13" s="37"/>
      <c r="L13" s="37"/>
      <c r="M13" s="37"/>
      <c r="N13" s="37"/>
    </row>
    <row r="14" spans="1:14" ht="12.75" customHeight="1">
      <c r="A14" s="556" t="s">
        <v>1386</v>
      </c>
      <c r="B14" s="553" t="s">
        <v>377</v>
      </c>
      <c r="C14" s="540"/>
      <c r="E14" s="5"/>
      <c r="F14" s="37"/>
      <c r="G14" s="37"/>
      <c r="H14" s="37"/>
      <c r="I14" s="37"/>
      <c r="J14" s="37"/>
      <c r="K14" s="37"/>
      <c r="L14" s="37"/>
      <c r="M14" s="37"/>
      <c r="N14" s="37"/>
    </row>
    <row r="15" spans="1:14" ht="12.75">
      <c r="A15" s="1125"/>
      <c r="B15" s="1125"/>
      <c r="C15" s="1125"/>
      <c r="D15" s="1125"/>
      <c r="E15" s="1125"/>
      <c r="F15" s="1125"/>
      <c r="G15" s="5"/>
      <c r="H15" s="5"/>
      <c r="I15" s="5"/>
      <c r="J15" s="5"/>
      <c r="K15" s="5"/>
      <c r="L15" s="5"/>
      <c r="M15" s="5"/>
      <c r="N15" s="5"/>
    </row>
    <row r="16" spans="1:14" ht="15.75" customHeight="1">
      <c r="B16" s="1399" t="s">
        <v>664</v>
      </c>
      <c r="C16" s="1399"/>
      <c r="D16" s="1399"/>
      <c r="E16" s="1399"/>
      <c r="F16" s="1399"/>
      <c r="G16" s="1399"/>
      <c r="H16" s="1399"/>
      <c r="I16" s="1399"/>
      <c r="J16" s="1399"/>
      <c r="K16" s="1399"/>
      <c r="L16" s="1399"/>
      <c r="M16" s="1399"/>
    </row>
    <row r="17" spans="2:13" ht="36.75" customHeight="1">
      <c r="B17" s="1467" t="str">
        <f>CONCATENATE("Area of Vested Agricultural Land distributed and Number of Beneficiaries 
in the district of ",District!A1)</f>
        <v>Area of Vested Agricultural Land distributed and Number of Beneficiaries 
in the district of Purulia</v>
      </c>
      <c r="C17" s="1467"/>
      <c r="D17" s="1467"/>
      <c r="E17" s="1467"/>
      <c r="F17" s="1467"/>
      <c r="G17" s="1467"/>
      <c r="H17" s="1467"/>
      <c r="I17" s="1467"/>
      <c r="J17" s="1467"/>
      <c r="K17" s="1467"/>
      <c r="L17" s="1467"/>
      <c r="M17" s="1467"/>
    </row>
    <row r="18" spans="2:13" ht="18.75" customHeight="1">
      <c r="B18" s="1490" t="s">
        <v>1540</v>
      </c>
      <c r="C18" s="1492"/>
      <c r="D18" s="1490" t="s">
        <v>364</v>
      </c>
      <c r="E18" s="1492"/>
      <c r="F18" s="1407" t="s">
        <v>365</v>
      </c>
      <c r="G18" s="1400"/>
      <c r="H18" s="1400"/>
      <c r="I18" s="1400"/>
      <c r="J18" s="1400"/>
      <c r="K18" s="1400"/>
      <c r="L18" s="1400"/>
      <c r="M18" s="1401"/>
    </row>
    <row r="19" spans="2:13" ht="18.75" customHeight="1">
      <c r="B19" s="1496"/>
      <c r="C19" s="1498"/>
      <c r="D19" s="1496"/>
      <c r="E19" s="1498"/>
      <c r="F19" s="1403" t="s">
        <v>394</v>
      </c>
      <c r="G19" s="1404"/>
      <c r="H19" s="1487" t="s">
        <v>410</v>
      </c>
      <c r="I19" s="1391"/>
      <c r="J19" s="1403" t="s">
        <v>1162</v>
      </c>
      <c r="K19" s="1404"/>
      <c r="L19" s="1487" t="s">
        <v>1035</v>
      </c>
      <c r="M19" s="1391"/>
    </row>
    <row r="20" spans="2:13" ht="18.75" customHeight="1">
      <c r="B20" s="1395" t="s">
        <v>1008</v>
      </c>
      <c r="C20" s="1396"/>
      <c r="D20" s="1395" t="s">
        <v>1009</v>
      </c>
      <c r="E20" s="1396"/>
      <c r="F20" s="1395" t="s">
        <v>1010</v>
      </c>
      <c r="G20" s="1396"/>
      <c r="H20" s="1485" t="s">
        <v>1011</v>
      </c>
      <c r="I20" s="1396"/>
      <c r="J20" s="1395" t="s">
        <v>1015</v>
      </c>
      <c r="K20" s="1396"/>
      <c r="L20" s="1640" t="s">
        <v>1016</v>
      </c>
      <c r="M20" s="1641"/>
    </row>
    <row r="21" spans="2:13" ht="28.5" customHeight="1">
      <c r="B21" s="1628" t="s">
        <v>1686</v>
      </c>
      <c r="C21" s="1629"/>
      <c r="D21" s="1636">
        <v>29779</v>
      </c>
      <c r="E21" s="1637"/>
      <c r="F21" s="1638">
        <v>32312</v>
      </c>
      <c r="G21" s="1639"/>
      <c r="H21" s="1638">
        <v>32842</v>
      </c>
      <c r="I21" s="1639"/>
      <c r="J21" s="1638">
        <v>28120</v>
      </c>
      <c r="K21" s="1639"/>
      <c r="L21" s="1628">
        <f>SUM(F21:J21)</f>
        <v>93274</v>
      </c>
      <c r="M21" s="1629"/>
    </row>
    <row r="22" spans="2:13" ht="28.5" customHeight="1">
      <c r="B22" s="1622" t="s">
        <v>1527</v>
      </c>
      <c r="C22" s="1623"/>
      <c r="D22" s="1626">
        <v>29846</v>
      </c>
      <c r="E22" s="1627"/>
      <c r="F22" s="1632">
        <v>32312</v>
      </c>
      <c r="G22" s="1633"/>
      <c r="H22" s="1632">
        <v>33193</v>
      </c>
      <c r="I22" s="1633"/>
      <c r="J22" s="1632">
        <v>29694</v>
      </c>
      <c r="K22" s="1633"/>
      <c r="L22" s="1622">
        <f>SUM(F22:J22)</f>
        <v>95199</v>
      </c>
      <c r="M22" s="1623"/>
    </row>
    <row r="23" spans="2:13" ht="28.5" customHeight="1">
      <c r="B23" s="1622" t="s">
        <v>1528</v>
      </c>
      <c r="C23" s="1623"/>
      <c r="D23" s="1626">
        <v>29904</v>
      </c>
      <c r="E23" s="1627"/>
      <c r="F23" s="1632">
        <v>32637</v>
      </c>
      <c r="G23" s="1633"/>
      <c r="H23" s="1632">
        <v>35067</v>
      </c>
      <c r="I23" s="1633"/>
      <c r="J23" s="1632">
        <v>30446</v>
      </c>
      <c r="K23" s="1633"/>
      <c r="L23" s="1622">
        <f>SUM(F23:J23)</f>
        <v>98150</v>
      </c>
      <c r="M23" s="1623"/>
    </row>
    <row r="24" spans="2:13" ht="28.5" customHeight="1">
      <c r="B24" s="1622" t="s">
        <v>1053</v>
      </c>
      <c r="C24" s="1623"/>
      <c r="D24" s="1626">
        <v>30023</v>
      </c>
      <c r="E24" s="1627"/>
      <c r="F24" s="1632">
        <v>32768</v>
      </c>
      <c r="G24" s="1633"/>
      <c r="H24" s="1632">
        <v>35188</v>
      </c>
      <c r="I24" s="1633"/>
      <c r="J24" s="1632">
        <v>30567</v>
      </c>
      <c r="K24" s="1633"/>
      <c r="L24" s="1622">
        <f>SUM(F24:J24)</f>
        <v>98523</v>
      </c>
      <c r="M24" s="1623"/>
    </row>
    <row r="25" spans="2:13" ht="28.5" customHeight="1">
      <c r="B25" s="1624" t="s">
        <v>1037</v>
      </c>
      <c r="C25" s="1625"/>
      <c r="D25" s="1620">
        <v>24882</v>
      </c>
      <c r="E25" s="1621"/>
      <c r="F25" s="1634">
        <v>31349</v>
      </c>
      <c r="G25" s="1635"/>
      <c r="H25" s="1634">
        <v>34638</v>
      </c>
      <c r="I25" s="1635"/>
      <c r="J25" s="1634">
        <v>31406</v>
      </c>
      <c r="K25" s="1635"/>
      <c r="L25" s="1624">
        <f>SUM(F25:J25)</f>
        <v>97393</v>
      </c>
      <c r="M25" s="1625"/>
    </row>
    <row r="26" spans="2:13" ht="12.75">
      <c r="B26" s="1126"/>
      <c r="C26" s="954"/>
      <c r="H26" s="1630" t="s">
        <v>1293</v>
      </c>
      <c r="I26" s="1630"/>
      <c r="J26" s="1630"/>
      <c r="K26" s="1630"/>
      <c r="L26" s="1630"/>
      <c r="M26" s="1630"/>
    </row>
    <row r="30" spans="2:13" ht="12.4" customHeight="1">
      <c r="E30" s="1127"/>
      <c r="F30" s="1127"/>
    </row>
    <row r="31" spans="2:13" ht="12.4" customHeight="1">
      <c r="E31" s="854"/>
      <c r="F31" s="854"/>
    </row>
    <row r="32" spans="2:13" ht="12.4" customHeight="1">
      <c r="E32" s="1127"/>
      <c r="F32" s="1127"/>
    </row>
    <row r="33" spans="5:6" ht="12.4" customHeight="1">
      <c r="E33" s="1127"/>
      <c r="F33" s="1127"/>
    </row>
  </sheetData>
  <mergeCells count="58">
    <mergeCell ref="L23:M23"/>
    <mergeCell ref="L24:M24"/>
    <mergeCell ref="L25:M25"/>
    <mergeCell ref="J19:K19"/>
    <mergeCell ref="L19:M19"/>
    <mergeCell ref="L20:M20"/>
    <mergeCell ref="L21:M21"/>
    <mergeCell ref="L22:M22"/>
    <mergeCell ref="J25:K25"/>
    <mergeCell ref="J24:K24"/>
    <mergeCell ref="H20:I20"/>
    <mergeCell ref="H21:I21"/>
    <mergeCell ref="H22:I22"/>
    <mergeCell ref="H23:I23"/>
    <mergeCell ref="J20:K20"/>
    <mergeCell ref="J21:K21"/>
    <mergeCell ref="J22:K22"/>
    <mergeCell ref="J23:K23"/>
    <mergeCell ref="B22:C22"/>
    <mergeCell ref="B23:C23"/>
    <mergeCell ref="D21:E21"/>
    <mergeCell ref="H24:I24"/>
    <mergeCell ref="H25:I25"/>
    <mergeCell ref="F21:G21"/>
    <mergeCell ref="F22:G22"/>
    <mergeCell ref="F23:G23"/>
    <mergeCell ref="H26:M26"/>
    <mergeCell ref="A4:A6"/>
    <mergeCell ref="B4:M4"/>
    <mergeCell ref="N4:N6"/>
    <mergeCell ref="J5:K5"/>
    <mergeCell ref="L5:M5"/>
    <mergeCell ref="J10:N10"/>
    <mergeCell ref="B5:C5"/>
    <mergeCell ref="D5:E5"/>
    <mergeCell ref="F5:G5"/>
    <mergeCell ref="H5:I5"/>
    <mergeCell ref="B18:C19"/>
    <mergeCell ref="F24:G24"/>
    <mergeCell ref="F25:G25"/>
    <mergeCell ref="F18:M18"/>
    <mergeCell ref="B16:M16"/>
    <mergeCell ref="H19:I19"/>
    <mergeCell ref="F19:G19"/>
    <mergeCell ref="D25:E25"/>
    <mergeCell ref="F20:G20"/>
    <mergeCell ref="A1:N1"/>
    <mergeCell ref="A2:N2"/>
    <mergeCell ref="B17:M17"/>
    <mergeCell ref="B24:C24"/>
    <mergeCell ref="B25:C25"/>
    <mergeCell ref="D18:E19"/>
    <mergeCell ref="D20:E20"/>
    <mergeCell ref="D22:E22"/>
    <mergeCell ref="D23:E23"/>
    <mergeCell ref="D24:E24"/>
    <mergeCell ref="B20:C20"/>
    <mergeCell ref="B21:C21"/>
  </mergeCells>
  <phoneticPr fontId="0" type="noConversion"/>
  <printOptions horizontalCentered="1" verticalCentered="1"/>
  <pageMargins left="0.1" right="0.1" top="0.15" bottom="0.1" header="0.15" footer="0.1"/>
  <pageSetup paperSize="9" orientation="landscape" blackAndWhite="1" r:id="rId1"/>
  <headerFooter alignWithMargins="0"/>
</worksheet>
</file>

<file path=xl/worksheets/sheet42.xml><?xml version="1.0" encoding="utf-8"?>
<worksheet xmlns="http://schemas.openxmlformats.org/spreadsheetml/2006/main" xmlns:r="http://schemas.openxmlformats.org/officeDocument/2006/relationships">
  <dimension ref="A1:K40"/>
  <sheetViews>
    <sheetView topLeftCell="A16" workbookViewId="0">
      <selection activeCell="F14" sqref="F14"/>
    </sheetView>
  </sheetViews>
  <sheetFormatPr defaultRowHeight="12.75"/>
  <cols>
    <col min="1" max="1" width="3.7109375" style="723" customWidth="1"/>
    <col min="2" max="2" width="19" style="723" customWidth="1"/>
    <col min="3" max="7" width="13.7109375" style="723" customWidth="1"/>
    <col min="8" max="16384" width="9.140625" style="723"/>
  </cols>
  <sheetData>
    <row r="1" spans="1:11" ht="17.25" customHeight="1">
      <c r="A1" s="1558" t="s">
        <v>665</v>
      </c>
      <c r="B1" s="1558"/>
      <c r="C1" s="1558"/>
      <c r="D1" s="1558"/>
      <c r="E1" s="1558"/>
      <c r="F1" s="1558"/>
      <c r="G1" s="1558"/>
    </row>
    <row r="2" spans="1:11" ht="20.25" customHeight="1">
      <c r="A2" s="1413" t="str">
        <f>CONCATENATE("Area under Principal Crops in the district of ",District!A1)</f>
        <v>Area under Principal Crops in the district of Purulia</v>
      </c>
      <c r="B2" s="1413"/>
      <c r="C2" s="1413"/>
      <c r="D2" s="1413"/>
      <c r="E2" s="1413"/>
      <c r="F2" s="1413"/>
      <c r="G2" s="1413"/>
      <c r="H2" s="21"/>
      <c r="I2" s="21"/>
      <c r="J2" s="21"/>
      <c r="K2" s="21"/>
    </row>
    <row r="3" spans="1:11">
      <c r="F3" s="5"/>
      <c r="G3" s="737" t="s">
        <v>1468</v>
      </c>
    </row>
    <row r="4" spans="1:11" ht="15" customHeight="1">
      <c r="A4" s="1407" t="s">
        <v>1443</v>
      </c>
      <c r="B4" s="1400"/>
      <c r="C4" s="728" t="s">
        <v>1526</v>
      </c>
      <c r="D4" s="728" t="s">
        <v>1525</v>
      </c>
      <c r="E4" s="728" t="s">
        <v>1051</v>
      </c>
      <c r="F4" s="728" t="s">
        <v>1250</v>
      </c>
      <c r="G4" s="728" t="s">
        <v>527</v>
      </c>
    </row>
    <row r="5" spans="1:11" ht="15" customHeight="1">
      <c r="A5" s="1395" t="s">
        <v>1008</v>
      </c>
      <c r="B5" s="1400"/>
      <c r="C5" s="741" t="s">
        <v>1009</v>
      </c>
      <c r="D5" s="729" t="s">
        <v>1010</v>
      </c>
      <c r="E5" s="790" t="s">
        <v>1011</v>
      </c>
      <c r="F5" s="729" t="s">
        <v>1015</v>
      </c>
      <c r="G5" s="742" t="s">
        <v>1016</v>
      </c>
    </row>
    <row r="6" spans="1:11" ht="18" customHeight="1">
      <c r="A6" s="187" t="s">
        <v>1434</v>
      </c>
      <c r="B6" s="876"/>
      <c r="C6" s="1128"/>
      <c r="D6" s="448"/>
      <c r="E6" s="210"/>
      <c r="F6" s="448"/>
      <c r="G6" s="448"/>
    </row>
    <row r="7" spans="1:11" ht="18" customHeight="1">
      <c r="A7" s="592" t="s">
        <v>1435</v>
      </c>
      <c r="B7" s="876" t="s">
        <v>1444</v>
      </c>
      <c r="C7" s="523">
        <f>SUM(C8:C10)</f>
        <v>265.7</v>
      </c>
      <c r="D7" s="523">
        <f>SUM(D8:D10)</f>
        <v>152.89999999999998</v>
      </c>
      <c r="E7" s="523">
        <f>SUM(E8:E10)</f>
        <v>270.60000000000002</v>
      </c>
      <c r="F7" s="523">
        <f>SUM(F8:F10)</f>
        <v>289.10000000000002</v>
      </c>
      <c r="G7" s="523">
        <f>SUM(G8:G10)</f>
        <v>302.88200000000001</v>
      </c>
    </row>
    <row r="8" spans="1:11" ht="18" customHeight="1">
      <c r="A8" s="592"/>
      <c r="B8" s="225" t="s">
        <v>1445</v>
      </c>
      <c r="C8" s="1129">
        <v>0.2</v>
      </c>
      <c r="D8" s="1129">
        <v>0.1</v>
      </c>
      <c r="E8" s="1129">
        <v>0.2</v>
      </c>
      <c r="F8" s="1129">
        <v>0.1</v>
      </c>
      <c r="G8" s="1129">
        <v>9.1999999999999998E-2</v>
      </c>
    </row>
    <row r="9" spans="1:11" ht="18" customHeight="1">
      <c r="A9" s="592"/>
      <c r="B9" s="225" t="s">
        <v>1446</v>
      </c>
      <c r="C9" s="1129">
        <v>265.10000000000002</v>
      </c>
      <c r="D9" s="1129">
        <v>152.69999999999999</v>
      </c>
      <c r="E9" s="1129">
        <v>270.3</v>
      </c>
      <c r="F9" s="1129">
        <v>288.7</v>
      </c>
      <c r="G9" s="1129">
        <v>302.274</v>
      </c>
    </row>
    <row r="10" spans="1:11" ht="18" customHeight="1">
      <c r="A10" s="592"/>
      <c r="B10" s="225" t="s">
        <v>1447</v>
      </c>
      <c r="C10" s="1129">
        <v>0.4</v>
      </c>
      <c r="D10" s="1129">
        <v>0.1</v>
      </c>
      <c r="E10" s="1129">
        <v>0.1</v>
      </c>
      <c r="F10" s="1129">
        <v>0.3</v>
      </c>
      <c r="G10" s="1129">
        <v>0.51600000000000001</v>
      </c>
    </row>
    <row r="11" spans="1:11" ht="18" customHeight="1">
      <c r="A11" s="592" t="s">
        <v>1436</v>
      </c>
      <c r="B11" s="225" t="s">
        <v>1448</v>
      </c>
      <c r="C11" s="1129">
        <v>1.6</v>
      </c>
      <c r="D11" s="1129">
        <v>2</v>
      </c>
      <c r="E11" s="1129">
        <v>1.9</v>
      </c>
      <c r="F11" s="1129">
        <v>1.6</v>
      </c>
      <c r="G11" s="1129">
        <v>1.1870000000000001</v>
      </c>
    </row>
    <row r="12" spans="1:11" ht="18" customHeight="1">
      <c r="A12" s="592" t="s">
        <v>1437</v>
      </c>
      <c r="B12" s="225" t="s">
        <v>1449</v>
      </c>
      <c r="C12" s="744" t="s">
        <v>57</v>
      </c>
      <c r="D12" s="744" t="s">
        <v>57</v>
      </c>
      <c r="E12" s="744" t="s">
        <v>57</v>
      </c>
      <c r="F12" s="744" t="s">
        <v>57</v>
      </c>
      <c r="G12" s="522" t="s">
        <v>57</v>
      </c>
    </row>
    <row r="13" spans="1:11" ht="18" customHeight="1">
      <c r="A13" s="592" t="s">
        <v>1438</v>
      </c>
      <c r="B13" s="225" t="s">
        <v>1450</v>
      </c>
      <c r="C13" s="1129">
        <v>7.4</v>
      </c>
      <c r="D13" s="1129">
        <v>5.4</v>
      </c>
      <c r="E13" s="1129">
        <v>5.9</v>
      </c>
      <c r="F13" s="1129">
        <v>6</v>
      </c>
      <c r="G13" s="1129">
        <v>6.5140000000000002</v>
      </c>
    </row>
    <row r="14" spans="1:11" ht="18" customHeight="1">
      <c r="A14" s="592" t="s">
        <v>1439</v>
      </c>
      <c r="B14" s="225" t="s">
        <v>1451</v>
      </c>
      <c r="C14" s="1129">
        <v>0.3</v>
      </c>
      <c r="D14" s="1129">
        <v>0.4</v>
      </c>
      <c r="E14" s="1129">
        <v>0.3</v>
      </c>
      <c r="F14" s="1129">
        <v>0.7</v>
      </c>
      <c r="G14" s="1129">
        <v>0.30599999999999999</v>
      </c>
    </row>
    <row r="15" spans="1:11" ht="18" customHeight="1">
      <c r="A15" s="125"/>
      <c r="B15" s="876" t="s">
        <v>1452</v>
      </c>
      <c r="C15" s="523">
        <f>SUM(C11:C14)+C7</f>
        <v>275</v>
      </c>
      <c r="D15" s="523">
        <f>SUM(D11:D14)+D7</f>
        <v>160.69999999999999</v>
      </c>
      <c r="E15" s="523">
        <f>SUM(E11:E14)+E7</f>
        <v>278.70000000000005</v>
      </c>
      <c r="F15" s="523">
        <f>SUM(F11:F14)+F7</f>
        <v>297.40000000000003</v>
      </c>
      <c r="G15" s="523">
        <f>SUM(G11:G14)+G7</f>
        <v>310.88900000000001</v>
      </c>
      <c r="H15" s="749"/>
    </row>
    <row r="16" spans="1:11" ht="18" customHeight="1">
      <c r="A16" s="592" t="s">
        <v>1440</v>
      </c>
      <c r="B16" s="225" t="s">
        <v>1048</v>
      </c>
      <c r="C16" s="1129">
        <v>0.1</v>
      </c>
      <c r="D16" s="1129">
        <v>0.1</v>
      </c>
      <c r="E16" s="1129">
        <v>0.1</v>
      </c>
      <c r="F16" s="1129">
        <v>0.2</v>
      </c>
      <c r="G16" s="1129">
        <v>0.19900000000000001</v>
      </c>
    </row>
    <row r="17" spans="1:8" ht="18" customHeight="1">
      <c r="A17" s="592" t="s">
        <v>1441</v>
      </c>
      <c r="B17" s="225" t="s">
        <v>1453</v>
      </c>
      <c r="C17" s="1129">
        <v>0.1</v>
      </c>
      <c r="D17" s="1129">
        <v>0.1</v>
      </c>
      <c r="E17" s="1129">
        <v>0.1</v>
      </c>
      <c r="F17" s="1129">
        <v>0.1</v>
      </c>
      <c r="G17" s="1129">
        <v>0.32200000000000001</v>
      </c>
    </row>
    <row r="18" spans="1:8" ht="18" customHeight="1">
      <c r="A18" s="592" t="s">
        <v>1442</v>
      </c>
      <c r="B18" s="225" t="s">
        <v>1454</v>
      </c>
      <c r="C18" s="1129">
        <v>12.3</v>
      </c>
      <c r="D18" s="1129">
        <v>9.6</v>
      </c>
      <c r="E18" s="1129">
        <v>10.199999999999999</v>
      </c>
      <c r="F18" s="1181">
        <v>10.6</v>
      </c>
      <c r="G18" s="1181">
        <v>14.154</v>
      </c>
    </row>
    <row r="19" spans="1:8" ht="18" customHeight="1">
      <c r="A19" s="125"/>
      <c r="B19" s="876" t="s">
        <v>1455</v>
      </c>
      <c r="C19" s="523">
        <f>SUM(C16:C18)</f>
        <v>12.5</v>
      </c>
      <c r="D19" s="523">
        <f>SUM(D16:D18)</f>
        <v>9.7999999999999989</v>
      </c>
      <c r="E19" s="523">
        <f>SUM(E16:E18)</f>
        <v>10.399999999999999</v>
      </c>
      <c r="F19" s="523">
        <f>SUM(F16:F18)</f>
        <v>10.9</v>
      </c>
      <c r="G19" s="523">
        <f>SUM(G16:G18)</f>
        <v>14.675000000000001</v>
      </c>
      <c r="H19" s="749"/>
    </row>
    <row r="20" spans="1:8" ht="18" customHeight="1">
      <c r="A20" s="125"/>
      <c r="B20" s="876" t="s">
        <v>1456</v>
      </c>
      <c r="C20" s="523">
        <f>C15+C19</f>
        <v>287.5</v>
      </c>
      <c r="D20" s="523">
        <f>D15+D19</f>
        <v>170.5</v>
      </c>
      <c r="E20" s="523">
        <f>E15+E19</f>
        <v>289.10000000000002</v>
      </c>
      <c r="F20" s="523">
        <f>F15+F19</f>
        <v>308.3</v>
      </c>
      <c r="G20" s="523">
        <f>G15+G19</f>
        <v>325.56400000000002</v>
      </c>
      <c r="H20" s="749"/>
    </row>
    <row r="21" spans="1:8" ht="18" customHeight="1">
      <c r="A21" s="187" t="s">
        <v>241</v>
      </c>
      <c r="B21" s="225"/>
      <c r="C21" s="448"/>
      <c r="D21" s="448"/>
      <c r="E21" s="448"/>
      <c r="F21" s="448"/>
      <c r="G21" s="448"/>
    </row>
    <row r="22" spans="1:8" ht="18" customHeight="1">
      <c r="A22" s="592" t="s">
        <v>1435</v>
      </c>
      <c r="B22" s="225" t="s">
        <v>805</v>
      </c>
      <c r="C22" s="1129">
        <v>0.9</v>
      </c>
      <c r="D22" s="1129">
        <v>0.9</v>
      </c>
      <c r="E22" s="1129">
        <v>0.9</v>
      </c>
      <c r="F22" s="1129">
        <v>0.82</v>
      </c>
      <c r="G22" s="1129">
        <v>3.1869999999999998</v>
      </c>
    </row>
    <row r="23" spans="1:8" ht="18" customHeight="1">
      <c r="A23" s="592" t="s">
        <v>1436</v>
      </c>
      <c r="B23" s="225" t="s">
        <v>348</v>
      </c>
      <c r="C23" s="1129">
        <v>0.4</v>
      </c>
      <c r="D23" s="1129">
        <v>0.4</v>
      </c>
      <c r="E23" s="1129">
        <v>0.5</v>
      </c>
      <c r="F23" s="1129">
        <v>0.39300000000000002</v>
      </c>
      <c r="G23" s="1129">
        <v>0.215</v>
      </c>
    </row>
    <row r="24" spans="1:8" ht="18" customHeight="1">
      <c r="A24" s="592" t="s">
        <v>1437</v>
      </c>
      <c r="B24" s="225" t="s">
        <v>1457</v>
      </c>
      <c r="C24" s="1129">
        <v>1.6</v>
      </c>
      <c r="D24" s="1129">
        <v>1.7</v>
      </c>
      <c r="E24" s="1129">
        <v>1.4</v>
      </c>
      <c r="F24" s="1129">
        <v>1.62</v>
      </c>
      <c r="G24" s="1129">
        <v>1.8340000000000001</v>
      </c>
    </row>
    <row r="25" spans="1:8" ht="18" customHeight="1">
      <c r="A25" s="590"/>
      <c r="B25" s="876" t="s">
        <v>1458</v>
      </c>
      <c r="C25" s="523">
        <f>SUM(C22:C24)</f>
        <v>2.9000000000000004</v>
      </c>
      <c r="D25" s="523">
        <f>SUM(D22:D24)</f>
        <v>3</v>
      </c>
      <c r="E25" s="523">
        <f>SUM(E22:E24)</f>
        <v>2.8</v>
      </c>
      <c r="F25" s="523">
        <f>SUM(F22:F24)</f>
        <v>2.8330000000000002</v>
      </c>
      <c r="G25" s="523">
        <f>SUM(G22:G24)</f>
        <v>5.2359999999999998</v>
      </c>
    </row>
    <row r="26" spans="1:8" ht="18" customHeight="1">
      <c r="A26" s="187" t="s">
        <v>242</v>
      </c>
      <c r="B26" s="225"/>
      <c r="C26" s="448"/>
      <c r="D26" s="448"/>
      <c r="E26" s="448"/>
      <c r="F26" s="448"/>
      <c r="G26" s="448"/>
    </row>
    <row r="27" spans="1:8" ht="18" customHeight="1">
      <c r="A27" s="592" t="s">
        <v>1435</v>
      </c>
      <c r="B27" s="210" t="s">
        <v>1459</v>
      </c>
      <c r="C27" s="1129" t="s">
        <v>57</v>
      </c>
      <c r="D27" s="1129" t="s">
        <v>57</v>
      </c>
      <c r="E27" s="1129" t="s">
        <v>57</v>
      </c>
      <c r="F27" s="1129" t="s">
        <v>57</v>
      </c>
      <c r="G27" s="1342" t="s">
        <v>1118</v>
      </c>
    </row>
    <row r="28" spans="1:8" ht="18" customHeight="1">
      <c r="A28" s="592" t="s">
        <v>1436</v>
      </c>
      <c r="B28" s="210" t="s">
        <v>1460</v>
      </c>
      <c r="C28" s="744" t="s">
        <v>1118</v>
      </c>
      <c r="D28" s="744" t="s">
        <v>1118</v>
      </c>
      <c r="E28" s="744" t="s">
        <v>1118</v>
      </c>
      <c r="F28" s="744" t="s">
        <v>57</v>
      </c>
      <c r="G28" s="522" t="s">
        <v>57</v>
      </c>
    </row>
    <row r="29" spans="1:8" ht="18" customHeight="1">
      <c r="A29" s="592" t="s">
        <v>1437</v>
      </c>
      <c r="B29" s="210" t="s">
        <v>124</v>
      </c>
      <c r="C29" s="1129">
        <v>0.7</v>
      </c>
      <c r="D29" s="744" t="s">
        <v>1118</v>
      </c>
      <c r="E29" s="744">
        <v>0.1</v>
      </c>
      <c r="F29" s="1134">
        <v>5.6000000000000001E-2</v>
      </c>
      <c r="G29" s="1134">
        <v>0.11700000000000001</v>
      </c>
    </row>
    <row r="30" spans="1:8" ht="18" customHeight="1">
      <c r="A30" s="590"/>
      <c r="B30" s="890" t="s">
        <v>128</v>
      </c>
      <c r="C30" s="523">
        <f>SUM(C27:C29)</f>
        <v>0.7</v>
      </c>
      <c r="D30" s="523" t="str">
        <f>IF(SUM(D27:D29)=0,"(a)",SUM(D27:D29))</f>
        <v>(a)</v>
      </c>
      <c r="E30" s="523">
        <f>SUM(E27:E29)</f>
        <v>0.1</v>
      </c>
      <c r="F30" s="523">
        <f>SUM(F27:F29)</f>
        <v>5.6000000000000001E-2</v>
      </c>
      <c r="G30" s="523">
        <f>SUM(G27:G29)</f>
        <v>0.11700000000000001</v>
      </c>
    </row>
    <row r="31" spans="1:8" ht="18" customHeight="1">
      <c r="A31" s="187" t="s">
        <v>243</v>
      </c>
      <c r="B31" s="210"/>
      <c r="C31" s="448"/>
      <c r="D31" s="448"/>
      <c r="E31" s="448"/>
      <c r="F31" s="448"/>
      <c r="G31" s="448"/>
    </row>
    <row r="32" spans="1:8" ht="18" customHeight="1">
      <c r="A32" s="592" t="s">
        <v>1435</v>
      </c>
      <c r="B32" s="210" t="s">
        <v>1461</v>
      </c>
      <c r="C32" s="1129">
        <v>0.3</v>
      </c>
      <c r="D32" s="1129">
        <v>0.3</v>
      </c>
      <c r="E32" s="1129">
        <v>0.3</v>
      </c>
      <c r="F32" s="1129">
        <v>0.314</v>
      </c>
      <c r="G32" s="1129">
        <v>0.161</v>
      </c>
    </row>
    <row r="33" spans="1:7" ht="18" customHeight="1">
      <c r="A33" s="592" t="s">
        <v>1436</v>
      </c>
      <c r="B33" s="210" t="s">
        <v>1462</v>
      </c>
      <c r="C33" s="1129">
        <v>1.2</v>
      </c>
      <c r="D33" s="1129">
        <v>1</v>
      </c>
      <c r="E33" s="1129">
        <v>1.1000000000000001</v>
      </c>
      <c r="F33" s="1129">
        <v>0.97699999999999998</v>
      </c>
      <c r="G33" s="1315">
        <v>1.726</v>
      </c>
    </row>
    <row r="34" spans="1:7" ht="18" customHeight="1">
      <c r="A34" s="592" t="s">
        <v>1437</v>
      </c>
      <c r="B34" s="591" t="s">
        <v>1463</v>
      </c>
      <c r="C34" s="1130" t="s">
        <v>1118</v>
      </c>
      <c r="D34" s="1130" t="s">
        <v>57</v>
      </c>
      <c r="E34" s="1130" t="s">
        <v>57</v>
      </c>
      <c r="F34" s="1130" t="s">
        <v>57</v>
      </c>
      <c r="G34" s="1316" t="s">
        <v>57</v>
      </c>
    </row>
    <row r="35" spans="1:7" ht="18" customHeight="1">
      <c r="A35" s="592" t="s">
        <v>1438</v>
      </c>
      <c r="B35" s="225" t="s">
        <v>1464</v>
      </c>
      <c r="C35" s="1129" t="s">
        <v>57</v>
      </c>
      <c r="D35" s="1129" t="s">
        <v>57</v>
      </c>
      <c r="E35" s="1129" t="s">
        <v>57</v>
      </c>
      <c r="F35" s="1129" t="s">
        <v>57</v>
      </c>
      <c r="G35" s="1315" t="s">
        <v>57</v>
      </c>
    </row>
    <row r="36" spans="1:7" ht="18" customHeight="1">
      <c r="A36" s="592" t="s">
        <v>1439</v>
      </c>
      <c r="B36" s="210" t="s">
        <v>1465</v>
      </c>
      <c r="C36" s="1129">
        <v>1.2</v>
      </c>
      <c r="D36" s="1129">
        <v>1.2</v>
      </c>
      <c r="E36" s="1129">
        <v>1.2</v>
      </c>
      <c r="F36" s="1129">
        <v>1.1930000000000001</v>
      </c>
      <c r="G36" s="1129">
        <v>1.2290000000000001</v>
      </c>
    </row>
    <row r="37" spans="1:7" ht="18" customHeight="1">
      <c r="A37" s="592" t="s">
        <v>1440</v>
      </c>
      <c r="B37" s="210" t="s">
        <v>1466</v>
      </c>
      <c r="C37" s="1129">
        <v>0.2</v>
      </c>
      <c r="D37" s="1129">
        <v>0.2</v>
      </c>
      <c r="E37" s="1129">
        <v>0.2</v>
      </c>
      <c r="F37" s="1129">
        <v>0.216</v>
      </c>
      <c r="G37" s="1129">
        <v>0.22</v>
      </c>
    </row>
    <row r="38" spans="1:7" ht="27.75" customHeight="1">
      <c r="A38" s="595"/>
      <c r="B38" s="1131" t="s">
        <v>1467</v>
      </c>
      <c r="C38" s="1132">
        <f>SUM(C32:C37)</f>
        <v>2.9000000000000004</v>
      </c>
      <c r="D38" s="1132">
        <f>SUM(D32:D37)</f>
        <v>2.7</v>
      </c>
      <c r="E38" s="1132">
        <f>SUM(E32:E37)</f>
        <v>2.8000000000000003</v>
      </c>
      <c r="F38" s="1132">
        <f>SUM(F32:F37)</f>
        <v>2.7</v>
      </c>
      <c r="G38" s="1132">
        <f>SUM(G32:G37)</f>
        <v>3.3360000000000003</v>
      </c>
    </row>
    <row r="39" spans="1:7">
      <c r="A39" s="540" t="s">
        <v>402</v>
      </c>
      <c r="B39" s="540"/>
      <c r="D39" s="542" t="s">
        <v>1469</v>
      </c>
      <c r="E39" s="540" t="s">
        <v>716</v>
      </c>
      <c r="F39" s="112"/>
      <c r="G39" s="112"/>
    </row>
    <row r="40" spans="1:7">
      <c r="A40" s="5"/>
      <c r="B40" s="5"/>
      <c r="D40" s="540"/>
      <c r="E40" s="540" t="s">
        <v>1539</v>
      </c>
      <c r="F40" s="112"/>
      <c r="G40" s="112"/>
    </row>
  </sheetData>
  <mergeCells count="4">
    <mergeCell ref="A1:G1"/>
    <mergeCell ref="A4:B4"/>
    <mergeCell ref="A5:B5"/>
    <mergeCell ref="A2:G2"/>
  </mergeCells>
  <phoneticPr fontId="0" type="noConversion"/>
  <printOptions horizontalCentered="1"/>
  <pageMargins left="0.1" right="0.1" top="0.82" bottom="0.1" header="0.5" footer="0.1"/>
  <pageSetup paperSize="9" orientation="portrait" blackAndWhite="1" r:id="rId1"/>
  <headerFooter alignWithMargins="0"/>
</worksheet>
</file>

<file path=xl/worksheets/sheet43.xml><?xml version="1.0" encoding="utf-8"?>
<worksheet xmlns="http://schemas.openxmlformats.org/spreadsheetml/2006/main" xmlns:r="http://schemas.openxmlformats.org/officeDocument/2006/relationships">
  <dimension ref="A1:K42"/>
  <sheetViews>
    <sheetView topLeftCell="A16" workbookViewId="0">
      <selection activeCell="F14" sqref="F14"/>
    </sheetView>
  </sheetViews>
  <sheetFormatPr defaultRowHeight="12.75"/>
  <cols>
    <col min="1" max="1" width="3.42578125" style="723" customWidth="1"/>
    <col min="2" max="2" width="17.85546875" style="723" customWidth="1"/>
    <col min="3" max="4" width="12.7109375" style="723" customWidth="1"/>
    <col min="5" max="5" width="12.85546875" style="723" customWidth="1"/>
    <col min="6" max="7" width="12.7109375" style="723" customWidth="1"/>
    <col min="8" max="16384" width="9.140625" style="723"/>
  </cols>
  <sheetData>
    <row r="1" spans="1:11" ht="15" customHeight="1">
      <c r="A1" s="1558" t="s">
        <v>666</v>
      </c>
      <c r="B1" s="1558"/>
      <c r="C1" s="1558"/>
      <c r="D1" s="1558"/>
      <c r="E1" s="1558"/>
      <c r="F1" s="1558"/>
      <c r="G1" s="1558"/>
    </row>
    <row r="2" spans="1:11" ht="18.75" customHeight="1">
      <c r="A2" s="1413" t="str">
        <f>CONCATENATE("Production of Principal Crops in the district of ",District!A1)</f>
        <v>Production of Principal Crops in the district of Purulia</v>
      </c>
      <c r="B2" s="1413"/>
      <c r="C2" s="1413"/>
      <c r="D2" s="1413"/>
      <c r="E2" s="1413"/>
      <c r="F2" s="1413"/>
      <c r="G2" s="1413"/>
      <c r="H2" s="21"/>
      <c r="I2" s="21"/>
      <c r="J2" s="21"/>
      <c r="K2" s="21"/>
    </row>
    <row r="3" spans="1:11">
      <c r="F3" s="5"/>
      <c r="G3" s="737" t="s">
        <v>1541</v>
      </c>
    </row>
    <row r="4" spans="1:11" ht="15" customHeight="1">
      <c r="A4" s="1407" t="s">
        <v>1443</v>
      </c>
      <c r="B4" s="1401"/>
      <c r="C4" s="728" t="s">
        <v>1526</v>
      </c>
      <c r="D4" s="728" t="s">
        <v>1525</v>
      </c>
      <c r="E4" s="728" t="s">
        <v>1051</v>
      </c>
      <c r="F4" s="728" t="s">
        <v>1250</v>
      </c>
      <c r="G4" s="728" t="s">
        <v>527</v>
      </c>
    </row>
    <row r="5" spans="1:11" ht="15" customHeight="1">
      <c r="A5" s="1395" t="s">
        <v>1008</v>
      </c>
      <c r="B5" s="1401"/>
      <c r="C5" s="790" t="s">
        <v>1009</v>
      </c>
      <c r="D5" s="729" t="s">
        <v>1010</v>
      </c>
      <c r="E5" s="790" t="s">
        <v>1011</v>
      </c>
      <c r="F5" s="729" t="s">
        <v>1015</v>
      </c>
      <c r="G5" s="742" t="s">
        <v>1016</v>
      </c>
    </row>
    <row r="6" spans="1:11" ht="18" customHeight="1">
      <c r="A6" s="187" t="s">
        <v>1434</v>
      </c>
      <c r="B6" s="877"/>
      <c r="C6" s="1002"/>
      <c r="D6" s="448"/>
      <c r="E6" s="210"/>
      <c r="F6" s="448"/>
      <c r="G6" s="1128"/>
    </row>
    <row r="7" spans="1:11" ht="18" customHeight="1">
      <c r="A7" s="592" t="s">
        <v>1435</v>
      </c>
      <c r="B7" s="877" t="s">
        <v>1444</v>
      </c>
      <c r="C7" s="523">
        <f>SUM(C8:C10)</f>
        <v>598.79999999999995</v>
      </c>
      <c r="D7" s="523">
        <f>SUM(D8:D10)</f>
        <v>261.8</v>
      </c>
      <c r="E7" s="523">
        <f>SUM(E8:E10)</f>
        <v>732.3</v>
      </c>
      <c r="F7" s="523">
        <f>SUM(F8:F10)</f>
        <v>730.73299999999995</v>
      </c>
      <c r="G7" s="523">
        <f>SUM(G8:G10)</f>
        <v>731.53800000000001</v>
      </c>
    </row>
    <row r="8" spans="1:11" ht="18" customHeight="1">
      <c r="A8" s="1133"/>
      <c r="B8" s="591" t="s">
        <v>1445</v>
      </c>
      <c r="C8" s="1134">
        <v>0.1</v>
      </c>
      <c r="D8" s="744" t="s">
        <v>1150</v>
      </c>
      <c r="E8" s="744">
        <v>0.2</v>
      </c>
      <c r="F8" s="1134">
        <v>0.308</v>
      </c>
      <c r="G8" s="1134">
        <v>0.128</v>
      </c>
    </row>
    <row r="9" spans="1:11" ht="18" customHeight="1">
      <c r="A9" s="1133"/>
      <c r="B9" s="591" t="s">
        <v>1446</v>
      </c>
      <c r="C9" s="1134">
        <v>597.9</v>
      </c>
      <c r="D9" s="1134">
        <v>261.5</v>
      </c>
      <c r="E9" s="1134">
        <v>731.8</v>
      </c>
      <c r="F9" s="1134">
        <v>729.553</v>
      </c>
      <c r="G9" s="1134">
        <v>730.13599999999997</v>
      </c>
      <c r="K9" s="1135"/>
    </row>
    <row r="10" spans="1:11" ht="18" customHeight="1">
      <c r="A10" s="1133"/>
      <c r="B10" s="591" t="s">
        <v>1447</v>
      </c>
      <c r="C10" s="1134">
        <v>0.8</v>
      </c>
      <c r="D10" s="1134">
        <v>0.3</v>
      </c>
      <c r="E10" s="1134">
        <v>0.3</v>
      </c>
      <c r="F10" s="1134">
        <v>0.872</v>
      </c>
      <c r="G10" s="1134">
        <v>1.274</v>
      </c>
    </row>
    <row r="11" spans="1:11" ht="18" customHeight="1">
      <c r="A11" s="592" t="s">
        <v>1436</v>
      </c>
      <c r="B11" s="591" t="s">
        <v>1448</v>
      </c>
      <c r="C11" s="1134">
        <v>2.6</v>
      </c>
      <c r="D11" s="1134">
        <v>5.2</v>
      </c>
      <c r="E11" s="1134">
        <v>4.2</v>
      </c>
      <c r="F11" s="1134">
        <v>3.31</v>
      </c>
      <c r="G11" s="1134">
        <v>2.6749999999999998</v>
      </c>
    </row>
    <row r="12" spans="1:11" ht="18" customHeight="1">
      <c r="A12" s="592" t="s">
        <v>1437</v>
      </c>
      <c r="B12" s="591" t="s">
        <v>1449</v>
      </c>
      <c r="C12" s="1134" t="s">
        <v>57</v>
      </c>
      <c r="D12" s="1134" t="s">
        <v>57</v>
      </c>
      <c r="E12" s="1134" t="s">
        <v>57</v>
      </c>
      <c r="F12" s="1179" t="s">
        <v>57</v>
      </c>
      <c r="G12" s="1317" t="s">
        <v>57</v>
      </c>
    </row>
    <row r="13" spans="1:11" ht="18" customHeight="1">
      <c r="A13" s="592" t="s">
        <v>1438</v>
      </c>
      <c r="B13" s="591" t="s">
        <v>1450</v>
      </c>
      <c r="C13" s="1134">
        <v>9.8000000000000007</v>
      </c>
      <c r="D13" s="1134">
        <v>9.5</v>
      </c>
      <c r="E13" s="1134">
        <v>9.8000000000000007</v>
      </c>
      <c r="F13" s="1134">
        <v>12.071</v>
      </c>
      <c r="G13" s="1134">
        <v>11.186999999999999</v>
      </c>
    </row>
    <row r="14" spans="1:11" ht="18" customHeight="1">
      <c r="A14" s="592" t="s">
        <v>1439</v>
      </c>
      <c r="B14" s="591" t="s">
        <v>1451</v>
      </c>
      <c r="C14" s="1134">
        <v>0.2</v>
      </c>
      <c r="D14" s="1134">
        <v>0.1</v>
      </c>
      <c r="E14" s="1134">
        <v>0.1</v>
      </c>
      <c r="F14" s="1198">
        <v>0.11899999999999999</v>
      </c>
      <c r="G14" s="1198">
        <v>9.0999999999999998E-2</v>
      </c>
    </row>
    <row r="15" spans="1:11" ht="18" customHeight="1">
      <c r="A15" s="590"/>
      <c r="B15" s="877" t="s">
        <v>1452</v>
      </c>
      <c r="C15" s="523">
        <f>SUM(C11:C14)+C7</f>
        <v>611.4</v>
      </c>
      <c r="D15" s="523">
        <f>SUM(D11:D14)+D7</f>
        <v>276.60000000000002</v>
      </c>
      <c r="E15" s="523">
        <f>SUM(E11:E14)+E7</f>
        <v>746.4</v>
      </c>
      <c r="F15" s="523">
        <f>SUM(F11:F14)+F7</f>
        <v>746.23299999999995</v>
      </c>
      <c r="G15" s="523">
        <f>SUM(G11:G14)+G7</f>
        <v>745.49099999999999</v>
      </c>
      <c r="H15" s="749"/>
    </row>
    <row r="16" spans="1:11" ht="18" customHeight="1">
      <c r="A16" s="592" t="s">
        <v>1440</v>
      </c>
      <c r="B16" s="591" t="s">
        <v>1048</v>
      </c>
      <c r="C16" s="887" t="s">
        <v>1150</v>
      </c>
      <c r="D16" s="744">
        <v>0.1</v>
      </c>
      <c r="E16" s="744">
        <v>0.1</v>
      </c>
      <c r="F16" s="1134">
        <v>0.224</v>
      </c>
      <c r="G16" s="1134">
        <v>0.25</v>
      </c>
    </row>
    <row r="17" spans="1:8" ht="18" customHeight="1">
      <c r="A17" s="592" t="s">
        <v>1441</v>
      </c>
      <c r="B17" s="591" t="s">
        <v>1453</v>
      </c>
      <c r="C17" s="1134">
        <v>0.1</v>
      </c>
      <c r="D17" s="744">
        <v>0.1</v>
      </c>
      <c r="E17" s="744" t="s">
        <v>1150</v>
      </c>
      <c r="F17" s="1134">
        <v>0.24</v>
      </c>
      <c r="G17" s="1134">
        <v>0.40600000000000003</v>
      </c>
    </row>
    <row r="18" spans="1:8" ht="18" customHeight="1">
      <c r="A18" s="592" t="s">
        <v>1442</v>
      </c>
      <c r="B18" s="591" t="s">
        <v>1454</v>
      </c>
      <c r="C18" s="1134">
        <v>4</v>
      </c>
      <c r="D18" s="1134">
        <v>2.4</v>
      </c>
      <c r="E18" s="1134">
        <v>3.6</v>
      </c>
      <c r="F18" s="1198">
        <v>3.65</v>
      </c>
      <c r="G18" s="1198">
        <v>3.5369999999999999</v>
      </c>
    </row>
    <row r="19" spans="1:8" ht="18" customHeight="1">
      <c r="A19" s="590"/>
      <c r="B19" s="877" t="s">
        <v>1455</v>
      </c>
      <c r="C19" s="523">
        <f>SUM(C16:C18)</f>
        <v>4.0999999999999996</v>
      </c>
      <c r="D19" s="523">
        <f>SUM(D16:D18)</f>
        <v>2.6</v>
      </c>
      <c r="E19" s="523">
        <f>SUM(E16:E18)</f>
        <v>3.7</v>
      </c>
      <c r="F19" s="523">
        <f>SUM(F16:F18)</f>
        <v>4.1139999999999999</v>
      </c>
      <c r="G19" s="523">
        <v>4.1929999999999996</v>
      </c>
      <c r="H19" s="749"/>
    </row>
    <row r="20" spans="1:8" ht="18" customHeight="1">
      <c r="A20" s="985"/>
      <c r="B20" s="877" t="s">
        <v>1456</v>
      </c>
      <c r="C20" s="523">
        <f>C15+C19</f>
        <v>615.5</v>
      </c>
      <c r="D20" s="523">
        <f>D15+D19</f>
        <v>279.20000000000005</v>
      </c>
      <c r="E20" s="523">
        <f>E15+E19</f>
        <v>750.1</v>
      </c>
      <c r="F20" s="523">
        <f>F15+F19</f>
        <v>750.34699999999998</v>
      </c>
      <c r="G20" s="523">
        <f>G15+G19</f>
        <v>749.68399999999997</v>
      </c>
      <c r="H20" s="749"/>
    </row>
    <row r="21" spans="1:8" ht="18" customHeight="1">
      <c r="A21" s="187" t="s">
        <v>241</v>
      </c>
      <c r="B21" s="591"/>
      <c r="C21" s="295"/>
      <c r="D21" s="295"/>
      <c r="E21" s="295"/>
      <c r="F21" s="295"/>
      <c r="G21" s="295"/>
    </row>
    <row r="22" spans="1:8" ht="18" customHeight="1">
      <c r="A22" s="1136" t="s">
        <v>1435</v>
      </c>
      <c r="B22" s="591" t="s">
        <v>805</v>
      </c>
      <c r="C22" s="1134">
        <v>0.7</v>
      </c>
      <c r="D22" s="1134">
        <v>0.5</v>
      </c>
      <c r="E22" s="1134">
        <v>0.7</v>
      </c>
      <c r="F22" s="1134">
        <v>0.57099999999999995</v>
      </c>
      <c r="G22" s="1134">
        <v>3.153</v>
      </c>
    </row>
    <row r="23" spans="1:8" ht="18" customHeight="1">
      <c r="A23" s="1136" t="s">
        <v>1436</v>
      </c>
      <c r="B23" s="591" t="s">
        <v>348</v>
      </c>
      <c r="C23" s="1134">
        <v>0.1</v>
      </c>
      <c r="D23" s="1134">
        <v>0.1</v>
      </c>
      <c r="E23" s="1134">
        <v>0.1</v>
      </c>
      <c r="F23" s="1134">
        <v>7.2999999999999995E-2</v>
      </c>
      <c r="G23" s="295" t="s">
        <v>1150</v>
      </c>
    </row>
    <row r="24" spans="1:8" ht="18" customHeight="1">
      <c r="A24" s="1136" t="s">
        <v>1437</v>
      </c>
      <c r="B24" s="591" t="s">
        <v>1457</v>
      </c>
      <c r="C24" s="1134">
        <v>1.1000000000000001</v>
      </c>
      <c r="D24" s="1134">
        <v>1.5</v>
      </c>
      <c r="E24" s="1134">
        <v>1</v>
      </c>
      <c r="F24" s="1134">
        <v>1.2210000000000001</v>
      </c>
      <c r="G24" s="1134">
        <v>1.3169999999999999</v>
      </c>
    </row>
    <row r="25" spans="1:8" ht="18" customHeight="1">
      <c r="A25" s="590"/>
      <c r="B25" s="877" t="s">
        <v>1458</v>
      </c>
      <c r="C25" s="523">
        <f>SUM(C22:C24)</f>
        <v>1.9</v>
      </c>
      <c r="D25" s="523">
        <f>SUM(D22:D24)</f>
        <v>2.1</v>
      </c>
      <c r="E25" s="523">
        <f>SUM(E22:E24)</f>
        <v>1.7999999999999998</v>
      </c>
      <c r="F25" s="523">
        <f>SUM(F22:F24)</f>
        <v>1.865</v>
      </c>
      <c r="G25" s="523">
        <f>SUM(G22:G24)</f>
        <v>4.47</v>
      </c>
    </row>
    <row r="26" spans="1:8" s="5" customFormat="1" ht="18" customHeight="1">
      <c r="A26" s="187" t="s">
        <v>1585</v>
      </c>
      <c r="B26" s="591"/>
      <c r="C26" s="295"/>
      <c r="D26" s="295"/>
      <c r="E26" s="295"/>
      <c r="F26" s="295"/>
      <c r="G26" s="295"/>
    </row>
    <row r="27" spans="1:8" ht="18" customHeight="1">
      <c r="A27" s="1136" t="s">
        <v>1435</v>
      </c>
      <c r="B27" s="591" t="s">
        <v>1459</v>
      </c>
      <c r="C27" s="1134" t="s">
        <v>57</v>
      </c>
      <c r="D27" s="1134" t="s">
        <v>57</v>
      </c>
      <c r="E27" s="1134" t="s">
        <v>57</v>
      </c>
      <c r="F27" s="1134" t="s">
        <v>57</v>
      </c>
      <c r="G27" s="1134">
        <v>0.215</v>
      </c>
    </row>
    <row r="28" spans="1:8" ht="18" customHeight="1">
      <c r="A28" s="1136" t="s">
        <v>1436</v>
      </c>
      <c r="B28" s="591" t="s">
        <v>1460</v>
      </c>
      <c r="C28" s="1134">
        <v>0.1</v>
      </c>
      <c r="D28" s="1134">
        <v>0.1</v>
      </c>
      <c r="E28" s="1130" t="s">
        <v>1150</v>
      </c>
      <c r="F28" s="1180" t="s">
        <v>57</v>
      </c>
      <c r="G28" s="1318" t="s">
        <v>57</v>
      </c>
    </row>
    <row r="29" spans="1:8" ht="18" customHeight="1">
      <c r="A29" s="1136" t="s">
        <v>1437</v>
      </c>
      <c r="B29" s="591" t="s">
        <v>124</v>
      </c>
      <c r="C29" s="1134">
        <v>2.4</v>
      </c>
      <c r="D29" s="1130" t="s">
        <v>1150</v>
      </c>
      <c r="E29" s="1130">
        <v>0.4</v>
      </c>
      <c r="F29" s="1130">
        <v>0.23799999999999999</v>
      </c>
      <c r="G29" s="1130">
        <v>0.70599999999999996</v>
      </c>
    </row>
    <row r="30" spans="1:8" ht="18" customHeight="1">
      <c r="A30" s="985"/>
      <c r="B30" s="877" t="s">
        <v>128</v>
      </c>
      <c r="C30" s="523">
        <f>SUM(C27:C29)</f>
        <v>2.5</v>
      </c>
      <c r="D30" s="523">
        <f>SUM(D27:D29)</f>
        <v>0.1</v>
      </c>
      <c r="E30" s="523">
        <f>SUM(E27:E29)</f>
        <v>0.4</v>
      </c>
      <c r="F30" s="523">
        <f>SUM(F27:F29)</f>
        <v>0.23799999999999999</v>
      </c>
      <c r="G30" s="523">
        <f>SUM(G27:G29)</f>
        <v>0.92099999999999993</v>
      </c>
    </row>
    <row r="31" spans="1:8" ht="18" customHeight="1">
      <c r="A31" s="187" t="s">
        <v>243</v>
      </c>
      <c r="B31" s="591"/>
      <c r="C31" s="295"/>
      <c r="D31" s="295"/>
      <c r="E31" s="295"/>
      <c r="F31" s="295"/>
      <c r="G31" s="295"/>
    </row>
    <row r="32" spans="1:8" ht="18" customHeight="1">
      <c r="A32" s="1136" t="s">
        <v>1435</v>
      </c>
      <c r="B32" s="591" t="s">
        <v>1461</v>
      </c>
      <c r="C32" s="1134">
        <v>25.3</v>
      </c>
      <c r="D32" s="1134">
        <v>11.5</v>
      </c>
      <c r="E32" s="1134">
        <v>20.3</v>
      </c>
      <c r="F32" s="1134">
        <v>11.199</v>
      </c>
      <c r="G32" s="1134">
        <v>7.94</v>
      </c>
    </row>
    <row r="33" spans="1:7" ht="18" customHeight="1">
      <c r="A33" s="1136" t="s">
        <v>1436</v>
      </c>
      <c r="B33" s="591" t="s">
        <v>1462</v>
      </c>
      <c r="C33" s="1134">
        <v>24.9</v>
      </c>
      <c r="D33" s="1134">
        <v>15.9</v>
      </c>
      <c r="E33" s="1134">
        <v>17.399999999999999</v>
      </c>
      <c r="F33" s="1134">
        <v>17.202999999999999</v>
      </c>
      <c r="G33" s="1134">
        <v>43.703000000000003</v>
      </c>
    </row>
    <row r="34" spans="1:7" ht="18" customHeight="1">
      <c r="A34" s="1136" t="s">
        <v>1437</v>
      </c>
      <c r="B34" s="591" t="s">
        <v>1463</v>
      </c>
      <c r="C34" s="1130" t="s">
        <v>1150</v>
      </c>
      <c r="D34" s="1130" t="s">
        <v>57</v>
      </c>
      <c r="E34" s="1130" t="s">
        <v>57</v>
      </c>
      <c r="F34" s="1180" t="s">
        <v>57</v>
      </c>
      <c r="G34" s="1318" t="s">
        <v>57</v>
      </c>
    </row>
    <row r="35" spans="1:7" ht="18" customHeight="1">
      <c r="A35" s="1136" t="s">
        <v>1438</v>
      </c>
      <c r="B35" s="591" t="s">
        <v>1464</v>
      </c>
      <c r="C35" s="1130" t="s">
        <v>57</v>
      </c>
      <c r="D35" s="1130" t="s">
        <v>57</v>
      </c>
      <c r="E35" s="1130" t="s">
        <v>57</v>
      </c>
      <c r="F35" s="1130" t="s">
        <v>57</v>
      </c>
      <c r="G35" s="1316" t="s">
        <v>57</v>
      </c>
    </row>
    <row r="36" spans="1:7" ht="18" customHeight="1">
      <c r="A36" s="1136" t="s">
        <v>1439</v>
      </c>
      <c r="B36" s="591" t="s">
        <v>1465</v>
      </c>
      <c r="C36" s="1134">
        <v>2.1</v>
      </c>
      <c r="D36" s="1134">
        <v>2.1</v>
      </c>
      <c r="E36" s="1134">
        <v>1.7</v>
      </c>
      <c r="F36" s="1134">
        <v>1.78</v>
      </c>
      <c r="G36" s="1134">
        <v>1.8</v>
      </c>
    </row>
    <row r="37" spans="1:7" ht="18" customHeight="1">
      <c r="A37" s="1136" t="s">
        <v>1440</v>
      </c>
      <c r="B37" s="591" t="s">
        <v>1466</v>
      </c>
      <c r="C37" s="1134">
        <v>0.2</v>
      </c>
      <c r="D37" s="1134">
        <v>0.2</v>
      </c>
      <c r="E37" s="1134">
        <v>0.2</v>
      </c>
      <c r="F37" s="1134">
        <v>0.19700000000000001</v>
      </c>
      <c r="G37" s="1134">
        <v>0.2</v>
      </c>
    </row>
    <row r="38" spans="1:7" ht="27.75" customHeight="1">
      <c r="A38" s="1137"/>
      <c r="B38" s="1138" t="s">
        <v>1467</v>
      </c>
      <c r="C38" s="1132">
        <f>SUM(C32:C37)</f>
        <v>52.500000000000007</v>
      </c>
      <c r="D38" s="1132">
        <f>SUM(D32:D37)</f>
        <v>29.7</v>
      </c>
      <c r="E38" s="1132">
        <f>SUM(E32:E37)</f>
        <v>39.600000000000009</v>
      </c>
      <c r="F38" s="1132">
        <f>SUM(F32:F37)</f>
        <v>30.379000000000001</v>
      </c>
      <c r="G38" s="1132">
        <f>SUM(G32:G37)</f>
        <v>53.643000000000001</v>
      </c>
    </row>
    <row r="39" spans="1:7">
      <c r="A39" s="1642" t="s">
        <v>100</v>
      </c>
      <c r="B39" s="1642"/>
      <c r="C39" s="1642"/>
      <c r="D39" s="542" t="s">
        <v>1469</v>
      </c>
      <c r="E39" s="540" t="s">
        <v>716</v>
      </c>
      <c r="F39" s="112"/>
      <c r="G39" s="112"/>
    </row>
    <row r="40" spans="1:7">
      <c r="A40" s="540" t="s">
        <v>403</v>
      </c>
      <c r="B40" s="540"/>
      <c r="C40" s="540"/>
      <c r="D40" s="540"/>
      <c r="E40" s="540" t="s">
        <v>1539</v>
      </c>
      <c r="F40" s="112"/>
      <c r="G40" s="112"/>
    </row>
    <row r="41" spans="1:7">
      <c r="B41" s="540"/>
      <c r="C41" s="540"/>
      <c r="D41" s="112"/>
      <c r="E41" s="112"/>
      <c r="F41" s="112"/>
      <c r="G41" s="112"/>
    </row>
    <row r="42" spans="1:7">
      <c r="C42" s="5"/>
      <c r="D42" s="5"/>
      <c r="E42" s="5"/>
      <c r="F42" s="5"/>
      <c r="G42" s="5"/>
    </row>
  </sheetData>
  <mergeCells count="5">
    <mergeCell ref="A39:C39"/>
    <mergeCell ref="A1:G1"/>
    <mergeCell ref="A2:G2"/>
    <mergeCell ref="A4:B4"/>
    <mergeCell ref="A5:B5"/>
  </mergeCells>
  <phoneticPr fontId="0" type="noConversion"/>
  <printOptions horizontalCentered="1"/>
  <pageMargins left="0.1" right="0.1" top="0.84" bottom="0.1" header="0.81" footer="0.1"/>
  <pageSetup paperSize="9" orientation="portrait" blackAndWhite="1" r:id="rId1"/>
  <headerFooter alignWithMargins="0"/>
</worksheet>
</file>

<file path=xl/worksheets/sheet44.xml><?xml version="1.0" encoding="utf-8"?>
<worksheet xmlns="http://schemas.openxmlformats.org/spreadsheetml/2006/main" xmlns:r="http://schemas.openxmlformats.org/officeDocument/2006/relationships">
  <dimension ref="A1:J40"/>
  <sheetViews>
    <sheetView workbookViewId="0">
      <selection activeCell="F14" sqref="F14"/>
    </sheetView>
  </sheetViews>
  <sheetFormatPr defaultRowHeight="12.75"/>
  <cols>
    <col min="1" max="1" width="3.42578125" style="723" customWidth="1"/>
    <col min="2" max="2" width="17.85546875" style="723" customWidth="1"/>
    <col min="3" max="7" width="12.7109375" style="723" customWidth="1"/>
    <col min="8" max="16384" width="9.140625" style="723"/>
  </cols>
  <sheetData>
    <row r="1" spans="1:10" ht="14.25" customHeight="1">
      <c r="A1" s="1558" t="s">
        <v>667</v>
      </c>
      <c r="B1" s="1558"/>
      <c r="C1" s="1558"/>
      <c r="D1" s="1558"/>
      <c r="E1" s="1558"/>
      <c r="F1" s="1558"/>
      <c r="G1" s="1558"/>
    </row>
    <row r="2" spans="1:10" ht="17.25" customHeight="1">
      <c r="A2" s="1413" t="str">
        <f>CONCATENATE("Yield rates of Principal Crops in the district of ",District!A1)</f>
        <v>Yield rates of Principal Crops in the district of Purulia</v>
      </c>
      <c r="B2" s="1413"/>
      <c r="C2" s="1413"/>
      <c r="D2" s="1413"/>
      <c r="E2" s="1413"/>
      <c r="F2" s="1413"/>
      <c r="G2" s="1413"/>
      <c r="H2" s="21"/>
      <c r="I2" s="21"/>
      <c r="J2" s="21"/>
    </row>
    <row r="3" spans="1:10">
      <c r="F3" s="5"/>
      <c r="G3" s="737" t="s">
        <v>1544</v>
      </c>
    </row>
    <row r="4" spans="1:10" ht="15" customHeight="1">
      <c r="A4" s="1407" t="s">
        <v>1443</v>
      </c>
      <c r="B4" s="1400"/>
      <c r="C4" s="728" t="s">
        <v>1526</v>
      </c>
      <c r="D4" s="728" t="s">
        <v>1525</v>
      </c>
      <c r="E4" s="728" t="s">
        <v>1051</v>
      </c>
      <c r="F4" s="728" t="s">
        <v>1250</v>
      </c>
      <c r="G4" s="728" t="s">
        <v>527</v>
      </c>
    </row>
    <row r="5" spans="1:10" ht="15" customHeight="1">
      <c r="A5" s="1395" t="s">
        <v>1008</v>
      </c>
      <c r="B5" s="1400"/>
      <c r="C5" s="741" t="s">
        <v>1009</v>
      </c>
      <c r="D5" s="729" t="s">
        <v>1010</v>
      </c>
      <c r="E5" s="790" t="s">
        <v>1011</v>
      </c>
      <c r="F5" s="729" t="s">
        <v>1015</v>
      </c>
      <c r="G5" s="742" t="s">
        <v>1016</v>
      </c>
    </row>
    <row r="6" spans="1:10" ht="18" customHeight="1">
      <c r="A6" s="187" t="s">
        <v>1434</v>
      </c>
      <c r="B6" s="876"/>
      <c r="C6" s="126"/>
      <c r="D6" s="123"/>
      <c r="E6" s="126"/>
      <c r="F6" s="491"/>
      <c r="G6" s="491"/>
    </row>
    <row r="7" spans="1:10" ht="18" customHeight="1">
      <c r="A7" s="592" t="s">
        <v>1435</v>
      </c>
      <c r="B7" s="876" t="s">
        <v>1444</v>
      </c>
      <c r="C7" s="164">
        <v>2254</v>
      </c>
      <c r="D7" s="164">
        <v>1712</v>
      </c>
      <c r="E7" s="164">
        <v>2706</v>
      </c>
      <c r="F7" s="164">
        <v>2527</v>
      </c>
      <c r="G7" s="164">
        <v>2415</v>
      </c>
    </row>
    <row r="8" spans="1:10" ht="18" customHeight="1">
      <c r="A8" s="592"/>
      <c r="B8" s="225" t="s">
        <v>1445</v>
      </c>
      <c r="C8" s="744">
        <v>825</v>
      </c>
      <c r="D8" s="744">
        <v>285</v>
      </c>
      <c r="E8" s="744">
        <v>1225</v>
      </c>
      <c r="F8" s="744">
        <v>2504</v>
      </c>
      <c r="G8" s="744">
        <v>1391</v>
      </c>
    </row>
    <row r="9" spans="1:10" ht="18" customHeight="1">
      <c r="A9" s="592"/>
      <c r="B9" s="225" t="s">
        <v>1446</v>
      </c>
      <c r="C9" s="744">
        <v>2255</v>
      </c>
      <c r="D9" s="744">
        <v>1712</v>
      </c>
      <c r="E9" s="744">
        <v>2708</v>
      </c>
      <c r="F9" s="744">
        <v>2527</v>
      </c>
      <c r="G9" s="744">
        <v>2415</v>
      </c>
    </row>
    <row r="10" spans="1:10" ht="18" customHeight="1">
      <c r="A10" s="592"/>
      <c r="B10" s="225" t="s">
        <v>1447</v>
      </c>
      <c r="C10" s="744">
        <v>2126</v>
      </c>
      <c r="D10" s="744">
        <v>2671</v>
      </c>
      <c r="E10" s="744">
        <v>2467</v>
      </c>
      <c r="F10" s="744">
        <v>2678</v>
      </c>
      <c r="G10" s="744">
        <v>2671</v>
      </c>
    </row>
    <row r="11" spans="1:10" ht="18" customHeight="1">
      <c r="A11" s="592" t="s">
        <v>1436</v>
      </c>
      <c r="B11" s="225" t="s">
        <v>1448</v>
      </c>
      <c r="C11" s="744">
        <v>1614</v>
      </c>
      <c r="D11" s="744">
        <v>2559</v>
      </c>
      <c r="E11" s="744">
        <v>2237</v>
      </c>
      <c r="F11" s="744">
        <v>2008</v>
      </c>
      <c r="G11" s="744">
        <v>2254</v>
      </c>
    </row>
    <row r="12" spans="1:10" ht="18" customHeight="1">
      <c r="A12" s="592" t="s">
        <v>1437</v>
      </c>
      <c r="B12" s="225" t="s">
        <v>1449</v>
      </c>
      <c r="C12" s="744" t="s">
        <v>57</v>
      </c>
      <c r="D12" s="744" t="s">
        <v>57</v>
      </c>
      <c r="E12" s="744" t="s">
        <v>57</v>
      </c>
      <c r="F12" s="99" t="s">
        <v>57</v>
      </c>
      <c r="G12" s="676" t="s">
        <v>57</v>
      </c>
    </row>
    <row r="13" spans="1:10" ht="18" customHeight="1">
      <c r="A13" s="592" t="s">
        <v>1438</v>
      </c>
      <c r="B13" s="225" t="s">
        <v>1450</v>
      </c>
      <c r="C13" s="744">
        <v>1323</v>
      </c>
      <c r="D13" s="744">
        <v>1764</v>
      </c>
      <c r="E13" s="744">
        <v>1672</v>
      </c>
      <c r="F13" s="744">
        <v>2023</v>
      </c>
      <c r="G13" s="522">
        <v>1717</v>
      </c>
    </row>
    <row r="14" spans="1:10" ht="18" customHeight="1">
      <c r="A14" s="592" t="s">
        <v>1439</v>
      </c>
      <c r="B14" s="225" t="s">
        <v>1451</v>
      </c>
      <c r="C14" s="744">
        <v>317</v>
      </c>
      <c r="D14" s="744">
        <v>296</v>
      </c>
      <c r="E14" s="744">
        <v>338</v>
      </c>
      <c r="F14" s="783">
        <v>143</v>
      </c>
      <c r="G14" s="783">
        <v>297</v>
      </c>
    </row>
    <row r="15" spans="1:10" ht="18" customHeight="1">
      <c r="A15" s="590"/>
      <c r="B15" s="877" t="s">
        <v>1452</v>
      </c>
      <c r="C15" s="164">
        <v>2223</v>
      </c>
      <c r="D15" s="164">
        <v>1721</v>
      </c>
      <c r="E15" s="164">
        <v>2679</v>
      </c>
      <c r="F15" s="164">
        <v>2512</v>
      </c>
      <c r="G15" s="164">
        <v>2398</v>
      </c>
    </row>
    <row r="16" spans="1:10" ht="18" customHeight="1">
      <c r="A16" s="592" t="s">
        <v>1440</v>
      </c>
      <c r="B16" s="591" t="s">
        <v>1048</v>
      </c>
      <c r="C16" s="744">
        <v>506</v>
      </c>
      <c r="D16" s="744">
        <v>1210</v>
      </c>
      <c r="E16" s="744">
        <v>1000</v>
      </c>
      <c r="F16" s="744">
        <v>1238</v>
      </c>
      <c r="G16" s="744">
        <v>1256</v>
      </c>
    </row>
    <row r="17" spans="1:7" ht="18" customHeight="1">
      <c r="A17" s="592" t="s">
        <v>1441</v>
      </c>
      <c r="B17" s="591" t="s">
        <v>1453</v>
      </c>
      <c r="C17" s="744">
        <v>684</v>
      </c>
      <c r="D17" s="744">
        <v>902</v>
      </c>
      <c r="E17" s="744">
        <v>679</v>
      </c>
      <c r="F17" s="744">
        <v>2243</v>
      </c>
      <c r="G17" s="744">
        <v>1223</v>
      </c>
    </row>
    <row r="18" spans="1:7" ht="18" customHeight="1">
      <c r="A18" s="592" t="s">
        <v>1442</v>
      </c>
      <c r="B18" s="591" t="s">
        <v>1454</v>
      </c>
      <c r="C18" s="744">
        <v>330</v>
      </c>
      <c r="D18" s="744">
        <v>254</v>
      </c>
      <c r="E18" s="744">
        <v>348</v>
      </c>
      <c r="F18" s="783">
        <v>349</v>
      </c>
      <c r="G18" s="783">
        <v>250</v>
      </c>
    </row>
    <row r="19" spans="1:7" ht="18" customHeight="1">
      <c r="A19" s="590"/>
      <c r="B19" s="877" t="s">
        <v>1455</v>
      </c>
      <c r="C19" s="164">
        <v>333</v>
      </c>
      <c r="D19" s="164">
        <v>266</v>
      </c>
      <c r="E19" s="164">
        <v>353</v>
      </c>
      <c r="F19" s="164">
        <v>377</v>
      </c>
      <c r="G19" s="164">
        <v>286</v>
      </c>
    </row>
    <row r="20" spans="1:7" ht="18" customHeight="1">
      <c r="A20" s="590"/>
      <c r="B20" s="877" t="s">
        <v>1456</v>
      </c>
      <c r="C20" s="164">
        <v>2141</v>
      </c>
      <c r="D20" s="164">
        <v>1637</v>
      </c>
      <c r="E20" s="164">
        <v>2595</v>
      </c>
      <c r="F20" s="164">
        <v>2436</v>
      </c>
      <c r="G20" s="164">
        <v>2303</v>
      </c>
    </row>
    <row r="21" spans="1:7" ht="18" customHeight="1">
      <c r="A21" s="187" t="s">
        <v>241</v>
      </c>
      <c r="B21" s="591"/>
      <c r="C21" s="744"/>
      <c r="D21" s="744"/>
      <c r="E21" s="744"/>
      <c r="F21" s="744"/>
      <c r="G21" s="744"/>
    </row>
    <row r="22" spans="1:7" ht="18" customHeight="1">
      <c r="A22" s="1136" t="s">
        <v>1435</v>
      </c>
      <c r="B22" s="591" t="s">
        <v>805</v>
      </c>
      <c r="C22" s="744">
        <v>735</v>
      </c>
      <c r="D22" s="744">
        <v>612</v>
      </c>
      <c r="E22" s="744">
        <v>689</v>
      </c>
      <c r="F22" s="744">
        <v>696</v>
      </c>
      <c r="G22" s="744">
        <v>989</v>
      </c>
    </row>
    <row r="23" spans="1:7" ht="18" customHeight="1">
      <c r="A23" s="1136" t="s">
        <v>1436</v>
      </c>
      <c r="B23" s="591" t="s">
        <v>348</v>
      </c>
      <c r="C23" s="744">
        <v>195</v>
      </c>
      <c r="D23" s="744">
        <v>343</v>
      </c>
      <c r="E23" s="744">
        <v>191</v>
      </c>
      <c r="F23" s="744">
        <v>186</v>
      </c>
      <c r="G23" s="744">
        <v>195</v>
      </c>
    </row>
    <row r="24" spans="1:7" ht="18" customHeight="1">
      <c r="A24" s="1136" t="s">
        <v>1437</v>
      </c>
      <c r="B24" s="591" t="s">
        <v>1457</v>
      </c>
      <c r="C24" s="744">
        <v>734</v>
      </c>
      <c r="D24" s="744">
        <v>793</v>
      </c>
      <c r="E24" s="744">
        <v>746</v>
      </c>
      <c r="F24" s="783">
        <v>750</v>
      </c>
      <c r="G24" s="783">
        <v>718</v>
      </c>
    </row>
    <row r="25" spans="1:7" ht="18" customHeight="1">
      <c r="A25" s="590"/>
      <c r="B25" s="877" t="s">
        <v>1458</v>
      </c>
      <c r="C25" s="164">
        <v>657</v>
      </c>
      <c r="D25" s="164">
        <v>689</v>
      </c>
      <c r="E25" s="164">
        <v>642</v>
      </c>
      <c r="F25" s="164">
        <v>658</v>
      </c>
      <c r="G25" s="164">
        <v>862</v>
      </c>
    </row>
    <row r="26" spans="1:7" ht="18" customHeight="1">
      <c r="A26" s="187" t="s">
        <v>1585</v>
      </c>
      <c r="B26" s="591"/>
      <c r="C26" s="744"/>
      <c r="D26" s="744"/>
      <c r="E26" s="744"/>
      <c r="F26" s="744"/>
      <c r="G26" s="744"/>
    </row>
    <row r="27" spans="1:7" ht="18" customHeight="1">
      <c r="A27" s="1136" t="s">
        <v>1435</v>
      </c>
      <c r="B27" s="591" t="s">
        <v>1459</v>
      </c>
      <c r="C27" s="744" t="s">
        <v>57</v>
      </c>
      <c r="D27" s="744" t="s">
        <v>57</v>
      </c>
      <c r="E27" s="744" t="s">
        <v>57</v>
      </c>
      <c r="F27" s="99" t="s">
        <v>57</v>
      </c>
      <c r="G27" s="99">
        <v>19.55</v>
      </c>
    </row>
    <row r="28" spans="1:7" ht="18" customHeight="1">
      <c r="A28" s="1136" t="s">
        <v>1436</v>
      </c>
      <c r="B28" s="591" t="s">
        <v>1460</v>
      </c>
      <c r="C28" s="744">
        <v>2.7</v>
      </c>
      <c r="D28" s="1134">
        <v>2</v>
      </c>
      <c r="E28" s="1134">
        <v>0.88</v>
      </c>
      <c r="F28" s="1179" t="s">
        <v>57</v>
      </c>
      <c r="G28" s="1317" t="s">
        <v>57</v>
      </c>
    </row>
    <row r="29" spans="1:7" ht="18" customHeight="1">
      <c r="A29" s="1136" t="s">
        <v>1437</v>
      </c>
      <c r="B29" s="591" t="s">
        <v>124</v>
      </c>
      <c r="C29" s="744">
        <v>3.7</v>
      </c>
      <c r="D29" s="744">
        <v>5.8</v>
      </c>
      <c r="E29" s="744">
        <v>4</v>
      </c>
      <c r="F29" s="1134">
        <v>4.25</v>
      </c>
      <c r="G29" s="1134">
        <v>6.03</v>
      </c>
    </row>
    <row r="30" spans="1:7" ht="18" customHeight="1">
      <c r="A30" s="590"/>
      <c r="B30" s="877" t="s">
        <v>128</v>
      </c>
      <c r="C30" s="164">
        <v>3.6</v>
      </c>
      <c r="D30" s="164">
        <v>2.9</v>
      </c>
      <c r="E30" s="164">
        <v>4</v>
      </c>
      <c r="F30" s="1204">
        <v>4.3</v>
      </c>
      <c r="G30" s="1319">
        <v>7.2</v>
      </c>
    </row>
    <row r="31" spans="1:7" ht="18" customHeight="1">
      <c r="A31" s="187" t="s">
        <v>243</v>
      </c>
      <c r="B31" s="591"/>
      <c r="C31" s="744"/>
      <c r="D31" s="744"/>
      <c r="E31" s="744"/>
      <c r="F31" s="744"/>
      <c r="G31" s="744"/>
    </row>
    <row r="32" spans="1:7" ht="18" customHeight="1">
      <c r="A32" s="1136" t="s">
        <v>1435</v>
      </c>
      <c r="B32" s="591" t="s">
        <v>1461</v>
      </c>
      <c r="C32" s="744">
        <v>83097</v>
      </c>
      <c r="D32" s="744">
        <v>38089</v>
      </c>
      <c r="E32" s="744">
        <v>66873</v>
      </c>
      <c r="F32" s="744">
        <v>35666</v>
      </c>
      <c r="G32" s="744">
        <v>49365</v>
      </c>
    </row>
    <row r="33" spans="1:7" ht="18" customHeight="1">
      <c r="A33" s="1136" t="s">
        <v>1436</v>
      </c>
      <c r="B33" s="591" t="s">
        <v>1462</v>
      </c>
      <c r="C33" s="744">
        <v>20997</v>
      </c>
      <c r="D33" s="744">
        <v>16295</v>
      </c>
      <c r="E33" s="744">
        <v>16167</v>
      </c>
      <c r="F33" s="744">
        <v>18842</v>
      </c>
      <c r="G33" s="744">
        <v>25320</v>
      </c>
    </row>
    <row r="34" spans="1:7" ht="18" customHeight="1">
      <c r="A34" s="1136" t="s">
        <v>1437</v>
      </c>
      <c r="B34" s="591" t="s">
        <v>1463</v>
      </c>
      <c r="C34" s="744">
        <v>300</v>
      </c>
      <c r="D34" s="744" t="s">
        <v>57</v>
      </c>
      <c r="E34" s="744" t="s">
        <v>57</v>
      </c>
      <c r="F34" s="99" t="s">
        <v>57</v>
      </c>
      <c r="G34" s="676" t="s">
        <v>57</v>
      </c>
    </row>
    <row r="35" spans="1:7" ht="18" customHeight="1">
      <c r="A35" s="1136" t="s">
        <v>1438</v>
      </c>
      <c r="B35" s="591" t="s">
        <v>1464</v>
      </c>
      <c r="C35" s="744" t="s">
        <v>57</v>
      </c>
      <c r="D35" s="744" t="s">
        <v>57</v>
      </c>
      <c r="E35" s="744" t="s">
        <v>57</v>
      </c>
      <c r="F35" s="99" t="s">
        <v>57</v>
      </c>
      <c r="G35" s="676" t="s">
        <v>57</v>
      </c>
    </row>
    <row r="36" spans="1:7" ht="18" customHeight="1">
      <c r="A36" s="1136" t="s">
        <v>1439</v>
      </c>
      <c r="B36" s="591" t="s">
        <v>1465</v>
      </c>
      <c r="C36" s="744">
        <v>1710</v>
      </c>
      <c r="D36" s="744">
        <v>1714</v>
      </c>
      <c r="E36" s="744">
        <v>1416</v>
      </c>
      <c r="F36" s="783">
        <v>1459</v>
      </c>
      <c r="G36" s="783">
        <v>1465</v>
      </c>
    </row>
    <row r="37" spans="1:7" ht="18" customHeight="1">
      <c r="A37" s="1136" t="s">
        <v>1440</v>
      </c>
      <c r="B37" s="591" t="s">
        <v>1466</v>
      </c>
      <c r="C37" s="744">
        <v>908</v>
      </c>
      <c r="D37" s="744">
        <v>908</v>
      </c>
      <c r="E37" s="744">
        <v>902</v>
      </c>
      <c r="F37" s="744">
        <v>912</v>
      </c>
      <c r="G37" s="744">
        <v>909</v>
      </c>
    </row>
    <row r="38" spans="1:7" ht="25.5" customHeight="1">
      <c r="A38" s="1139"/>
      <c r="B38" s="1140" t="s">
        <v>1467</v>
      </c>
      <c r="C38" s="1141">
        <v>18103</v>
      </c>
      <c r="D38" s="1141">
        <v>11000</v>
      </c>
      <c r="E38" s="1141">
        <v>14143</v>
      </c>
      <c r="F38" s="1141">
        <v>11259</v>
      </c>
      <c r="G38" s="1141">
        <v>16242</v>
      </c>
    </row>
    <row r="39" spans="1:7">
      <c r="A39" s="540" t="s">
        <v>717</v>
      </c>
      <c r="B39" s="561"/>
      <c r="C39" s="561"/>
      <c r="D39" s="542" t="s">
        <v>1469</v>
      </c>
      <c r="E39" s="540" t="s">
        <v>716</v>
      </c>
      <c r="F39" s="540"/>
      <c r="G39" s="112"/>
    </row>
    <row r="40" spans="1:7">
      <c r="A40" s="540"/>
      <c r="B40" s="540"/>
      <c r="C40" s="540"/>
      <c r="D40" s="540"/>
      <c r="E40" s="540" t="s">
        <v>1539</v>
      </c>
      <c r="F40" s="540"/>
      <c r="G40" s="112"/>
    </row>
  </sheetData>
  <mergeCells count="4">
    <mergeCell ref="A1:G1"/>
    <mergeCell ref="A4:B4"/>
    <mergeCell ref="A5:B5"/>
    <mergeCell ref="A2:G2"/>
  </mergeCells>
  <phoneticPr fontId="0" type="noConversion"/>
  <printOptions horizontalCentered="1"/>
  <pageMargins left="0.1" right="0.1" top="0.94" bottom="0.1" header="0.5" footer="0.1"/>
  <pageSetup paperSize="9" orientation="portrait" blackAndWhite="1" r:id="rId1"/>
  <headerFooter alignWithMargins="0"/>
</worksheet>
</file>

<file path=xl/worksheets/sheet45.xml><?xml version="1.0" encoding="utf-8"?>
<worksheet xmlns="http://schemas.openxmlformats.org/spreadsheetml/2006/main" xmlns:r="http://schemas.openxmlformats.org/officeDocument/2006/relationships">
  <dimension ref="A1:K42"/>
  <sheetViews>
    <sheetView workbookViewId="0">
      <selection activeCell="M13" sqref="M13"/>
    </sheetView>
  </sheetViews>
  <sheetFormatPr defaultRowHeight="12.75"/>
  <cols>
    <col min="1" max="1" width="13.7109375" style="723" customWidth="1"/>
    <col min="2" max="2" width="10.7109375" style="723" customWidth="1"/>
    <col min="3" max="3" width="11.85546875" style="723" customWidth="1"/>
    <col min="4" max="4" width="10.7109375" style="723" customWidth="1"/>
    <col min="5" max="5" width="11.85546875" style="723" customWidth="1"/>
    <col min="6" max="6" width="10.7109375" style="723" customWidth="1"/>
    <col min="7" max="7" width="12.140625" style="723" customWidth="1"/>
    <col min="8" max="8" width="10.7109375" style="723" customWidth="1"/>
    <col min="9" max="9" width="11.85546875" style="723" customWidth="1"/>
    <col min="10" max="10" width="10.7109375" style="723" customWidth="1"/>
    <col min="11" max="11" width="14.5703125" style="723" customWidth="1"/>
    <col min="12" max="16384" width="9.140625" style="723"/>
  </cols>
  <sheetData>
    <row r="1" spans="1:11" ht="15" customHeight="1">
      <c r="A1" s="1558" t="s">
        <v>1545</v>
      </c>
      <c r="B1" s="1558"/>
      <c r="C1" s="1558"/>
      <c r="D1" s="1558"/>
      <c r="E1" s="1558"/>
      <c r="F1" s="1558"/>
      <c r="G1" s="1558"/>
      <c r="H1" s="1558"/>
      <c r="I1" s="1558"/>
      <c r="J1" s="1558"/>
      <c r="K1" s="1558"/>
    </row>
    <row r="2" spans="1:11" ht="18" customHeight="1">
      <c r="A2" s="1413" t="str">
        <f>CONCATENATE("Yield rates of some Selected Crops in the district of ",District!A1," and West Bengal")</f>
        <v>Yield rates of some Selected Crops in the district of Purulia and West Bengal</v>
      </c>
      <c r="B2" s="1413"/>
      <c r="C2" s="1413"/>
      <c r="D2" s="1413"/>
      <c r="E2" s="1413"/>
      <c r="F2" s="1413"/>
      <c r="G2" s="1413"/>
      <c r="H2" s="1413"/>
      <c r="I2" s="1413"/>
      <c r="J2" s="1413"/>
      <c r="K2" s="1413"/>
    </row>
    <row r="3" spans="1:11" ht="12" customHeight="1">
      <c r="J3" s="5"/>
      <c r="K3" s="737" t="s">
        <v>1544</v>
      </c>
    </row>
    <row r="4" spans="1:11" ht="15.95" customHeight="1">
      <c r="A4" s="1410" t="s">
        <v>1443</v>
      </c>
      <c r="B4" s="1407" t="s">
        <v>1526</v>
      </c>
      <c r="C4" s="1401"/>
      <c r="D4" s="1407" t="s">
        <v>1525</v>
      </c>
      <c r="E4" s="1401"/>
      <c r="F4" s="1407" t="s">
        <v>1051</v>
      </c>
      <c r="G4" s="1401"/>
      <c r="H4" s="1407" t="s">
        <v>1250</v>
      </c>
      <c r="I4" s="1573"/>
      <c r="J4" s="1407" t="s">
        <v>527</v>
      </c>
      <c r="K4" s="1573"/>
    </row>
    <row r="5" spans="1:11" ht="15.95" customHeight="1">
      <c r="A5" s="1411"/>
      <c r="B5" s="129" t="s">
        <v>1547</v>
      </c>
      <c r="C5" s="728" t="s">
        <v>1548</v>
      </c>
      <c r="D5" s="587" t="s">
        <v>1547</v>
      </c>
      <c r="E5" s="728" t="s">
        <v>1548</v>
      </c>
      <c r="F5" s="587" t="s">
        <v>1547</v>
      </c>
      <c r="G5" s="728" t="s">
        <v>1548</v>
      </c>
      <c r="H5" s="587" t="s">
        <v>1547</v>
      </c>
      <c r="I5" s="728" t="s">
        <v>1548</v>
      </c>
      <c r="J5" s="587" t="s">
        <v>1547</v>
      </c>
      <c r="K5" s="128" t="s">
        <v>1548</v>
      </c>
    </row>
    <row r="6" spans="1:11" ht="15.95" customHeight="1">
      <c r="A6" s="739" t="s">
        <v>1008</v>
      </c>
      <c r="B6" s="597" t="s">
        <v>1009</v>
      </c>
      <c r="C6" s="1142" t="s">
        <v>1010</v>
      </c>
      <c r="D6" s="1142" t="s">
        <v>1011</v>
      </c>
      <c r="E6" s="1143" t="s">
        <v>1015</v>
      </c>
      <c r="F6" s="1142" t="s">
        <v>1016</v>
      </c>
      <c r="G6" s="731" t="s">
        <v>1017</v>
      </c>
      <c r="H6" s="730" t="s">
        <v>1039</v>
      </c>
      <c r="I6" s="731" t="s">
        <v>1040</v>
      </c>
      <c r="J6" s="731" t="s">
        <v>1041</v>
      </c>
      <c r="K6" s="731" t="s">
        <v>1042</v>
      </c>
    </row>
    <row r="7" spans="1:11" ht="23.25" customHeight="1">
      <c r="A7" s="126" t="s">
        <v>1444</v>
      </c>
      <c r="B7" s="775">
        <v>2254</v>
      </c>
      <c r="C7" s="775">
        <v>2547</v>
      </c>
      <c r="D7" s="774">
        <v>1712</v>
      </c>
      <c r="E7" s="1101">
        <v>2708</v>
      </c>
      <c r="F7" s="774">
        <v>2706</v>
      </c>
      <c r="G7" s="1101">
        <v>2688</v>
      </c>
      <c r="H7" s="774">
        <v>2527</v>
      </c>
      <c r="I7" s="1101">
        <v>2745</v>
      </c>
      <c r="J7" s="774">
        <v>2415</v>
      </c>
      <c r="K7" s="1363">
        <v>2789</v>
      </c>
    </row>
    <row r="8" spans="1:11" ht="21" customHeight="1">
      <c r="A8" s="126" t="s">
        <v>1448</v>
      </c>
      <c r="B8" s="776">
        <v>1614</v>
      </c>
      <c r="C8" s="776">
        <v>2680</v>
      </c>
      <c r="D8" s="744">
        <v>2559</v>
      </c>
      <c r="E8" s="795">
        <v>2760</v>
      </c>
      <c r="F8" s="744">
        <v>2237</v>
      </c>
      <c r="G8" s="887">
        <v>2765</v>
      </c>
      <c r="H8" s="744">
        <v>2008</v>
      </c>
      <c r="I8" s="887">
        <v>2786</v>
      </c>
      <c r="J8" s="744">
        <v>2254</v>
      </c>
      <c r="K8" s="1364">
        <v>2799</v>
      </c>
    </row>
    <row r="9" spans="1:11" ht="21.75" customHeight="1">
      <c r="A9" s="126" t="s">
        <v>1048</v>
      </c>
      <c r="B9" s="776">
        <v>506</v>
      </c>
      <c r="C9" s="776">
        <v>1110</v>
      </c>
      <c r="D9" s="744">
        <v>1210</v>
      </c>
      <c r="E9" s="744">
        <v>1069</v>
      </c>
      <c r="F9" s="744">
        <v>1000</v>
      </c>
      <c r="G9" s="744">
        <v>1049</v>
      </c>
      <c r="H9" s="744">
        <v>1238</v>
      </c>
      <c r="I9" s="744">
        <v>1176</v>
      </c>
      <c r="J9" s="744">
        <v>1256</v>
      </c>
      <c r="K9" s="1365">
        <v>1175</v>
      </c>
    </row>
    <row r="10" spans="1:11" ht="22.5" customHeight="1">
      <c r="A10" s="826" t="s">
        <v>1459</v>
      </c>
      <c r="B10" s="776" t="s">
        <v>57</v>
      </c>
      <c r="C10" s="776">
        <v>2573</v>
      </c>
      <c r="D10" s="744" t="s">
        <v>57</v>
      </c>
      <c r="E10" s="744">
        <v>2576</v>
      </c>
      <c r="F10" s="744" t="s">
        <v>57</v>
      </c>
      <c r="G10" s="744">
        <v>2572</v>
      </c>
      <c r="H10" s="99" t="s">
        <v>57</v>
      </c>
      <c r="I10" s="744">
        <v>2569</v>
      </c>
      <c r="J10" s="99">
        <v>3519</v>
      </c>
      <c r="K10" s="1365">
        <v>2788</v>
      </c>
    </row>
    <row r="11" spans="1:11" ht="31.5" customHeight="1">
      <c r="A11" s="826" t="s">
        <v>805</v>
      </c>
      <c r="B11" s="776">
        <v>735</v>
      </c>
      <c r="C11" s="776">
        <v>850</v>
      </c>
      <c r="D11" s="744">
        <v>612</v>
      </c>
      <c r="E11" s="744">
        <v>1021</v>
      </c>
      <c r="F11" s="744">
        <v>689</v>
      </c>
      <c r="G11" s="744">
        <v>908</v>
      </c>
      <c r="H11" s="744">
        <v>696</v>
      </c>
      <c r="I11" s="744">
        <v>1062</v>
      </c>
      <c r="J11" s="744">
        <v>989</v>
      </c>
      <c r="K11" s="1365">
        <v>1066</v>
      </c>
    </row>
    <row r="12" spans="1:11" ht="24.75" customHeight="1">
      <c r="A12" s="126" t="s">
        <v>1462</v>
      </c>
      <c r="B12" s="776">
        <v>20997</v>
      </c>
      <c r="C12" s="744">
        <v>35768</v>
      </c>
      <c r="D12" s="744">
        <v>16295</v>
      </c>
      <c r="E12" s="887">
        <v>32831</v>
      </c>
      <c r="F12" s="744">
        <v>16167</v>
      </c>
      <c r="G12" s="887">
        <v>25641</v>
      </c>
      <c r="H12" s="744">
        <v>18842</v>
      </c>
      <c r="I12" s="887">
        <v>29869</v>
      </c>
      <c r="J12" s="744">
        <v>25320</v>
      </c>
      <c r="K12" s="1364">
        <v>21955</v>
      </c>
    </row>
    <row r="13" spans="1:11" ht="24" customHeight="1">
      <c r="A13" s="128" t="s">
        <v>1464</v>
      </c>
      <c r="B13" s="1359" t="s">
        <v>57</v>
      </c>
      <c r="C13" s="1354" t="s">
        <v>1236</v>
      </c>
      <c r="D13" s="1360" t="s">
        <v>57</v>
      </c>
      <c r="E13" s="89" t="s">
        <v>1237</v>
      </c>
      <c r="F13" s="1361" t="s">
        <v>57</v>
      </c>
      <c r="G13" s="1362" t="s">
        <v>1684</v>
      </c>
      <c r="H13" s="1361" t="s">
        <v>57</v>
      </c>
      <c r="I13" s="1362">
        <v>2046</v>
      </c>
      <c r="J13" s="1361" t="s">
        <v>57</v>
      </c>
      <c r="K13" s="89">
        <v>2222</v>
      </c>
    </row>
    <row r="14" spans="1:11">
      <c r="C14" s="749"/>
      <c r="H14" s="542" t="s">
        <v>1469</v>
      </c>
      <c r="I14" s="540" t="s">
        <v>716</v>
      </c>
      <c r="J14" s="112"/>
      <c r="K14" s="112"/>
    </row>
    <row r="15" spans="1:11">
      <c r="H15" s="540"/>
      <c r="I15" s="540" t="s">
        <v>1539</v>
      </c>
      <c r="J15" s="112"/>
      <c r="K15" s="1144"/>
    </row>
    <row r="16" spans="1:11">
      <c r="H16" s="540"/>
      <c r="I16" s="540" t="s">
        <v>1572</v>
      </c>
      <c r="J16" s="112"/>
      <c r="K16" s="112"/>
    </row>
    <row r="17" spans="1:11">
      <c r="H17" s="540"/>
      <c r="I17" s="540"/>
      <c r="J17" s="112"/>
      <c r="K17" s="112"/>
    </row>
    <row r="18" spans="1:11" ht="13.5" customHeight="1">
      <c r="C18" s="1558" t="s">
        <v>947</v>
      </c>
      <c r="D18" s="1558"/>
      <c r="E18" s="1558"/>
      <c r="F18" s="1558"/>
      <c r="G18" s="1558"/>
      <c r="H18" s="1558"/>
      <c r="I18" s="1558"/>
      <c r="J18" s="5"/>
      <c r="K18" s="5"/>
    </row>
    <row r="19" spans="1:11" ht="15.75" customHeight="1">
      <c r="A19" s="1648" t="str">
        <f>CONCATENATE("Index Numbers of Agricultural Area, Production &amp; Productivity
 in the district of ",District!$A$1)</f>
        <v>Index Numbers of Agricultural Area, Production &amp; Productivity
 in the district of Purulia</v>
      </c>
      <c r="B19" s="1648"/>
      <c r="C19" s="1648"/>
      <c r="D19" s="1648"/>
      <c r="E19" s="1648"/>
      <c r="F19" s="1648"/>
      <c r="G19" s="1648"/>
      <c r="H19" s="1648"/>
      <c r="I19" s="1648"/>
      <c r="J19" s="1648"/>
      <c r="K19" s="1648"/>
    </row>
    <row r="20" spans="1:11" ht="15.75" customHeight="1">
      <c r="A20" s="1648"/>
      <c r="B20" s="1648"/>
      <c r="C20" s="1648"/>
      <c r="D20" s="1648"/>
      <c r="E20" s="1648"/>
      <c r="F20" s="1648"/>
      <c r="G20" s="1648"/>
      <c r="H20" s="1648"/>
      <c r="I20" s="1648"/>
      <c r="J20" s="1648"/>
      <c r="K20" s="1648"/>
    </row>
    <row r="21" spans="1:11" ht="15" customHeight="1">
      <c r="A21" s="1535" t="s">
        <v>946</v>
      </c>
      <c r="B21" s="1535"/>
      <c r="C21" s="1535"/>
      <c r="D21" s="1535"/>
      <c r="E21" s="1535"/>
      <c r="F21" s="1535"/>
      <c r="G21" s="1535"/>
      <c r="H21" s="1535"/>
      <c r="I21" s="1535"/>
      <c r="J21" s="1535"/>
      <c r="K21" s="1535"/>
    </row>
    <row r="22" spans="1:11" ht="15" customHeight="1">
      <c r="A22" s="1403" t="s">
        <v>951</v>
      </c>
      <c r="B22" s="1404"/>
      <c r="C22" s="1407" t="s">
        <v>354</v>
      </c>
      <c r="D22" s="1400"/>
      <c r="E22" s="1401"/>
      <c r="F22" s="1407" t="s">
        <v>1574</v>
      </c>
      <c r="G22" s="1400"/>
      <c r="H22" s="1401"/>
      <c r="I22" s="1407" t="s">
        <v>949</v>
      </c>
      <c r="J22" s="1400"/>
      <c r="K22" s="1401"/>
    </row>
    <row r="23" spans="1:11" ht="24" customHeight="1">
      <c r="A23" s="1405"/>
      <c r="B23" s="1406"/>
      <c r="C23" s="728" t="s">
        <v>948</v>
      </c>
      <c r="D23" s="1456" t="s">
        <v>129</v>
      </c>
      <c r="E23" s="1457"/>
      <c r="F23" s="587" t="s">
        <v>948</v>
      </c>
      <c r="G23" s="1456" t="s">
        <v>129</v>
      </c>
      <c r="H23" s="1457"/>
      <c r="I23" s="728" t="s">
        <v>948</v>
      </c>
      <c r="J23" s="1456" t="s">
        <v>129</v>
      </c>
      <c r="K23" s="1457"/>
    </row>
    <row r="24" spans="1:11" ht="15" customHeight="1">
      <c r="A24" s="1395" t="s">
        <v>1008</v>
      </c>
      <c r="B24" s="1643"/>
      <c r="C24" s="741" t="s">
        <v>1009</v>
      </c>
      <c r="D24" s="1395" t="s">
        <v>1010</v>
      </c>
      <c r="E24" s="1396"/>
      <c r="F24" s="741" t="s">
        <v>1011</v>
      </c>
      <c r="G24" s="1395" t="s">
        <v>1015</v>
      </c>
      <c r="H24" s="1396"/>
      <c r="I24" s="741" t="s">
        <v>1016</v>
      </c>
      <c r="J24" s="1395" t="s">
        <v>1017</v>
      </c>
      <c r="K24" s="1396"/>
    </row>
    <row r="25" spans="1:11" ht="20.100000000000001" customHeight="1">
      <c r="A25" s="1649" t="s">
        <v>1526</v>
      </c>
      <c r="B25" s="1650"/>
      <c r="C25" s="1145">
        <v>110.34</v>
      </c>
      <c r="D25" s="1646">
        <v>108.45</v>
      </c>
      <c r="E25" s="1647"/>
      <c r="F25" s="1145">
        <v>244.43</v>
      </c>
      <c r="G25" s="1646">
        <v>239.73</v>
      </c>
      <c r="H25" s="1647"/>
      <c r="I25" s="1146">
        <v>221.52</v>
      </c>
      <c r="J25" s="1646">
        <v>221.05</v>
      </c>
      <c r="K25" s="1647"/>
    </row>
    <row r="26" spans="1:11" ht="20.100000000000001" customHeight="1">
      <c r="A26" s="1397" t="s">
        <v>1525</v>
      </c>
      <c r="B26" s="1398"/>
      <c r="C26" s="1145">
        <v>64.599999999999994</v>
      </c>
      <c r="D26" s="1644">
        <v>65.5</v>
      </c>
      <c r="E26" s="1645"/>
      <c r="F26" s="1145">
        <v>110.11</v>
      </c>
      <c r="G26" s="1644">
        <v>112.13</v>
      </c>
      <c r="H26" s="1645"/>
      <c r="I26" s="1147">
        <v>170.45</v>
      </c>
      <c r="J26" s="1644">
        <v>171.19</v>
      </c>
      <c r="K26" s="1645"/>
    </row>
    <row r="27" spans="1:11" ht="20.100000000000001" customHeight="1">
      <c r="A27" s="1397" t="s">
        <v>1051</v>
      </c>
      <c r="B27" s="1398"/>
      <c r="C27" s="1145">
        <v>111.82</v>
      </c>
      <c r="D27" s="1644">
        <v>109.25</v>
      </c>
      <c r="E27" s="1645"/>
      <c r="F27" s="1145">
        <v>298.42</v>
      </c>
      <c r="G27" s="1644">
        <v>287.27</v>
      </c>
      <c r="H27" s="1645"/>
      <c r="I27" s="1147">
        <v>266.88</v>
      </c>
      <c r="J27" s="1644">
        <v>262.95</v>
      </c>
      <c r="K27" s="1645"/>
    </row>
    <row r="28" spans="1:11" ht="20.100000000000001" customHeight="1">
      <c r="A28" s="1397" t="s">
        <v>1250</v>
      </c>
      <c r="B28" s="1398"/>
      <c r="C28" s="1145">
        <v>119.21</v>
      </c>
      <c r="D28" s="1644">
        <v>116.27</v>
      </c>
      <c r="E28" s="1645"/>
      <c r="F28" s="1145">
        <v>298.33999999999997</v>
      </c>
      <c r="G28" s="1644">
        <v>287.29000000000002</v>
      </c>
      <c r="H28" s="1645"/>
      <c r="I28" s="1147">
        <v>250.26</v>
      </c>
      <c r="J28" s="1644">
        <v>247.09</v>
      </c>
      <c r="K28" s="1645"/>
    </row>
    <row r="29" spans="1:11" ht="20.100000000000001" customHeight="1">
      <c r="A29" s="1651" t="s">
        <v>527</v>
      </c>
      <c r="B29" s="1652"/>
      <c r="C29" s="1148">
        <v>124.75</v>
      </c>
      <c r="D29" s="1653">
        <v>123.92</v>
      </c>
      <c r="E29" s="1654"/>
      <c r="F29" s="1148">
        <v>298.11</v>
      </c>
      <c r="G29" s="1653">
        <v>293.68</v>
      </c>
      <c r="H29" s="1654"/>
      <c r="I29" s="1149">
        <v>238.97</v>
      </c>
      <c r="J29" s="1653">
        <v>236.99</v>
      </c>
      <c r="K29" s="1654"/>
    </row>
    <row r="30" spans="1:11">
      <c r="C30" s="753"/>
      <c r="D30" s="753"/>
      <c r="E30" s="753"/>
      <c r="F30" s="753"/>
      <c r="G30" s="198"/>
      <c r="H30" s="5"/>
      <c r="K30" s="545" t="s">
        <v>772</v>
      </c>
    </row>
    <row r="35" spans="2:11">
      <c r="B35" s="123"/>
      <c r="C35" s="123"/>
      <c r="D35" s="123"/>
      <c r="E35" s="123"/>
      <c r="F35" s="123"/>
      <c r="G35" s="1028"/>
      <c r="H35" s="1028"/>
      <c r="I35" s="123"/>
      <c r="J35" s="123"/>
      <c r="K35" s="123"/>
    </row>
    <row r="36" spans="2:11">
      <c r="B36" s="736"/>
      <c r="C36" s="123"/>
      <c r="D36" s="875"/>
      <c r="E36" s="875"/>
      <c r="F36" s="123"/>
      <c r="G36" s="875"/>
      <c r="H36" s="875"/>
      <c r="I36" s="123"/>
      <c r="J36" s="123"/>
      <c r="K36" s="875"/>
    </row>
    <row r="37" spans="2:11">
      <c r="B37" s="593"/>
      <c r="C37" s="593"/>
      <c r="D37" s="593"/>
      <c r="E37" s="593"/>
      <c r="F37" s="593"/>
      <c r="G37" s="593"/>
      <c r="H37" s="593"/>
      <c r="I37" s="593"/>
      <c r="J37" s="593"/>
      <c r="K37" s="593"/>
    </row>
    <row r="38" spans="2:11">
      <c r="B38" s="123"/>
      <c r="C38" s="1145"/>
      <c r="D38" s="854"/>
      <c r="E38" s="854"/>
      <c r="F38" s="854"/>
      <c r="G38" s="854"/>
      <c r="H38" s="854"/>
      <c r="I38" s="1145"/>
      <c r="J38" s="1145"/>
      <c r="K38" s="1145"/>
    </row>
    <row r="39" spans="2:11">
      <c r="B39" s="623"/>
      <c r="C39" s="854"/>
      <c r="D39" s="854"/>
      <c r="E39" s="854"/>
      <c r="F39" s="854"/>
      <c r="G39" s="854"/>
      <c r="H39" s="854"/>
      <c r="I39" s="854"/>
      <c r="J39" s="854"/>
      <c r="K39" s="854"/>
    </row>
    <row r="40" spans="2:11">
      <c r="B40" s="623"/>
      <c r="C40" s="1145"/>
      <c r="D40" s="1145"/>
      <c r="E40" s="1145"/>
      <c r="F40" s="1145"/>
      <c r="G40" s="1145"/>
      <c r="H40" s="1145"/>
      <c r="I40" s="1145"/>
      <c r="J40" s="1145"/>
      <c r="K40" s="1145"/>
    </row>
    <row r="41" spans="2:11">
      <c r="B41" s="623"/>
      <c r="C41" s="1145"/>
      <c r="D41" s="1145"/>
      <c r="E41" s="1145"/>
      <c r="F41" s="1145"/>
      <c r="G41" s="1145"/>
      <c r="H41" s="1145"/>
      <c r="I41" s="1145"/>
      <c r="J41" s="1145"/>
      <c r="K41" s="1145"/>
    </row>
    <row r="42" spans="2:11">
      <c r="B42" s="623"/>
      <c r="C42" s="1145"/>
      <c r="D42" s="1145"/>
      <c r="E42" s="1145"/>
      <c r="F42" s="1145"/>
      <c r="G42" s="1145"/>
      <c r="H42" s="1145"/>
      <c r="I42" s="1145"/>
      <c r="J42" s="1145"/>
      <c r="K42" s="1145"/>
    </row>
  </sheetData>
  <mergeCells count="42">
    <mergeCell ref="J29:K29"/>
    <mergeCell ref="G24:H24"/>
    <mergeCell ref="G25:H25"/>
    <mergeCell ref="G26:H26"/>
    <mergeCell ref="G27:H27"/>
    <mergeCell ref="G28:H28"/>
    <mergeCell ref="G29:H29"/>
    <mergeCell ref="J26:K26"/>
    <mergeCell ref="J27:K27"/>
    <mergeCell ref="J28:K28"/>
    <mergeCell ref="D28:E28"/>
    <mergeCell ref="A26:B26"/>
    <mergeCell ref="A28:B28"/>
    <mergeCell ref="A27:B27"/>
    <mergeCell ref="A29:B29"/>
    <mergeCell ref="D29:E29"/>
    <mergeCell ref="D26:E26"/>
    <mergeCell ref="A24:B24"/>
    <mergeCell ref="D27:E27"/>
    <mergeCell ref="C18:I18"/>
    <mergeCell ref="C22:E22"/>
    <mergeCell ref="D24:E24"/>
    <mergeCell ref="D25:E25"/>
    <mergeCell ref="A19:K20"/>
    <mergeCell ref="A21:K21"/>
    <mergeCell ref="F22:H22"/>
    <mergeCell ref="G23:H23"/>
    <mergeCell ref="I22:K22"/>
    <mergeCell ref="J23:K23"/>
    <mergeCell ref="J24:K24"/>
    <mergeCell ref="J25:K25"/>
    <mergeCell ref="A22:B23"/>
    <mergeCell ref="A25:B25"/>
    <mergeCell ref="D23:E23"/>
    <mergeCell ref="A1:K1"/>
    <mergeCell ref="A2:K2"/>
    <mergeCell ref="B4:C4"/>
    <mergeCell ref="D4:E4"/>
    <mergeCell ref="F4:G4"/>
    <mergeCell ref="A4:A5"/>
    <mergeCell ref="H4:I4"/>
    <mergeCell ref="J4:K4"/>
  </mergeCells>
  <phoneticPr fontId="0" type="noConversion"/>
  <printOptions horizontalCentered="1" verticalCentered="1"/>
  <pageMargins left="0.1" right="0.1" top="0" bottom="0" header="0.15" footer="0.1"/>
  <pageSetup paperSize="9" orientation="landscape" blackAndWhite="1" r:id="rId1"/>
  <headerFooter alignWithMargins="0"/>
</worksheet>
</file>

<file path=xl/worksheets/sheet46.xml><?xml version="1.0" encoding="utf-8"?>
<worksheet xmlns="http://schemas.openxmlformats.org/spreadsheetml/2006/main" xmlns:r="http://schemas.openxmlformats.org/officeDocument/2006/relationships">
  <dimension ref="A1:N31"/>
  <sheetViews>
    <sheetView workbookViewId="0">
      <selection activeCell="F14" sqref="F14"/>
    </sheetView>
  </sheetViews>
  <sheetFormatPr defaultRowHeight="12.75"/>
  <cols>
    <col min="1" max="1" width="3.42578125" style="723" customWidth="1"/>
    <col min="2" max="2" width="18" style="723" customWidth="1"/>
    <col min="3" max="12" width="10.7109375" style="723" customWidth="1"/>
    <col min="13" max="16384" width="9.140625" style="723"/>
  </cols>
  <sheetData>
    <row r="1" spans="1:14" ht="13.5" customHeight="1">
      <c r="A1" s="1399" t="s">
        <v>668</v>
      </c>
      <c r="B1" s="1399"/>
      <c r="C1" s="1399"/>
      <c r="D1" s="1399"/>
      <c r="E1" s="1399"/>
      <c r="F1" s="1399"/>
      <c r="G1" s="1399"/>
      <c r="H1" s="1399"/>
      <c r="I1" s="1399"/>
      <c r="J1" s="1399"/>
      <c r="K1" s="1399"/>
      <c r="L1" s="1399"/>
    </row>
    <row r="2" spans="1:14" ht="18" customHeight="1">
      <c r="A2" s="1413" t="str">
        <f>CONCATENATE("Area and Production of Fruits and Vegetables in the district of ",District!A1)</f>
        <v>Area and Production of Fruits and Vegetables in the district of Purulia</v>
      </c>
      <c r="B2" s="1413"/>
      <c r="C2" s="1413"/>
      <c r="D2" s="1413"/>
      <c r="E2" s="1413"/>
      <c r="F2" s="1413"/>
      <c r="G2" s="1413"/>
      <c r="H2" s="1413"/>
      <c r="I2" s="1413"/>
      <c r="J2" s="1413"/>
      <c r="K2" s="1413"/>
      <c r="L2" s="1413"/>
    </row>
    <row r="3" spans="1:14" ht="15.75" customHeight="1">
      <c r="A3" s="1490" t="s">
        <v>718</v>
      </c>
      <c r="B3" s="1492"/>
      <c r="C3" s="1407" t="s">
        <v>1549</v>
      </c>
      <c r="D3" s="1400"/>
      <c r="E3" s="1400"/>
      <c r="F3" s="1400"/>
      <c r="G3" s="1401"/>
      <c r="H3" s="1407" t="s">
        <v>1573</v>
      </c>
      <c r="I3" s="1400"/>
      <c r="J3" s="1400"/>
      <c r="K3" s="1400"/>
      <c r="L3" s="1401"/>
      <c r="M3" s="4"/>
    </row>
    <row r="4" spans="1:14" ht="15.75" customHeight="1">
      <c r="A4" s="1493"/>
      <c r="B4" s="1495"/>
      <c r="C4" s="124" t="s">
        <v>1526</v>
      </c>
      <c r="D4" s="124" t="s">
        <v>1525</v>
      </c>
      <c r="E4" s="124" t="s">
        <v>1051</v>
      </c>
      <c r="F4" s="728" t="s">
        <v>1250</v>
      </c>
      <c r="G4" s="728" t="s">
        <v>527</v>
      </c>
      <c r="H4" s="124" t="s">
        <v>1526</v>
      </c>
      <c r="I4" s="124" t="s">
        <v>1525</v>
      </c>
      <c r="J4" s="124" t="s">
        <v>1051</v>
      </c>
      <c r="K4" s="728" t="s">
        <v>1250</v>
      </c>
      <c r="L4" s="728" t="s">
        <v>527</v>
      </c>
      <c r="M4" s="4"/>
    </row>
    <row r="5" spans="1:14" ht="15.75" customHeight="1">
      <c r="A5" s="1395" t="s">
        <v>1008</v>
      </c>
      <c r="B5" s="1400"/>
      <c r="C5" s="741" t="s">
        <v>1009</v>
      </c>
      <c r="D5" s="729" t="s">
        <v>1010</v>
      </c>
      <c r="E5" s="790" t="s">
        <v>1011</v>
      </c>
      <c r="F5" s="729" t="s">
        <v>1015</v>
      </c>
      <c r="G5" s="742" t="s">
        <v>1016</v>
      </c>
      <c r="H5" s="790" t="s">
        <v>1017</v>
      </c>
      <c r="I5" s="729" t="s">
        <v>1039</v>
      </c>
      <c r="J5" s="790" t="s">
        <v>1040</v>
      </c>
      <c r="K5" s="729" t="s">
        <v>1041</v>
      </c>
      <c r="L5" s="742" t="s">
        <v>1042</v>
      </c>
      <c r="M5" s="4"/>
    </row>
    <row r="6" spans="1:14" ht="18.75" customHeight="1">
      <c r="A6" s="187" t="s">
        <v>1153</v>
      </c>
      <c r="B6" s="876" t="s">
        <v>1297</v>
      </c>
      <c r="C6" s="1150"/>
      <c r="D6" s="816"/>
      <c r="E6" s="951"/>
      <c r="F6" s="1128"/>
      <c r="G6" s="816"/>
      <c r="H6" s="981"/>
      <c r="I6" s="816"/>
      <c r="J6" s="1151"/>
      <c r="K6" s="1128"/>
      <c r="L6" s="1128"/>
      <c r="M6" s="4"/>
    </row>
    <row r="7" spans="1:14" ht="18.75" customHeight="1">
      <c r="A7" s="1133"/>
      <c r="B7" s="591" t="s">
        <v>1550</v>
      </c>
      <c r="C7" s="796">
        <v>2.2650000000000001</v>
      </c>
      <c r="D7" s="1152">
        <v>2.4700000000000002</v>
      </c>
      <c r="E7" s="1089">
        <v>2.67</v>
      </c>
      <c r="F7" s="589">
        <v>2.72</v>
      </c>
      <c r="G7" s="589">
        <v>2.7349999999999999</v>
      </c>
      <c r="H7" s="796">
        <v>5.05</v>
      </c>
      <c r="I7" s="796">
        <v>5.25</v>
      </c>
      <c r="J7" s="796">
        <v>6</v>
      </c>
      <c r="K7" s="796">
        <v>6.95</v>
      </c>
      <c r="L7" s="796">
        <v>5.05</v>
      </c>
      <c r="M7" s="4"/>
      <c r="N7" s="1145"/>
    </row>
    <row r="8" spans="1:14" ht="18.75" customHeight="1">
      <c r="A8" s="1133"/>
      <c r="B8" s="591" t="s">
        <v>1551</v>
      </c>
      <c r="C8" s="796">
        <v>3.4000000000000002E-2</v>
      </c>
      <c r="D8" s="1152">
        <v>3.4000000000000002E-2</v>
      </c>
      <c r="E8" s="1089">
        <v>0.05</v>
      </c>
      <c r="F8" s="589">
        <v>0.05</v>
      </c>
      <c r="G8" s="589">
        <v>5.0999999999999997E-2</v>
      </c>
      <c r="H8" s="796">
        <v>0.37</v>
      </c>
      <c r="I8" s="796">
        <v>0.37</v>
      </c>
      <c r="J8" s="796">
        <v>0.47</v>
      </c>
      <c r="K8" s="796">
        <v>0.54</v>
      </c>
      <c r="L8" s="796">
        <v>0.55200000000000005</v>
      </c>
      <c r="M8" s="4"/>
      <c r="N8" s="1153"/>
    </row>
    <row r="9" spans="1:14" ht="18.75" customHeight="1">
      <c r="A9" s="1133"/>
      <c r="B9" s="591" t="s">
        <v>1552</v>
      </c>
      <c r="C9" s="796">
        <v>3.4000000000000002E-2</v>
      </c>
      <c r="D9" s="1152">
        <v>3.5000000000000003E-2</v>
      </c>
      <c r="E9" s="1089">
        <v>0.02</v>
      </c>
      <c r="F9" s="589">
        <v>0.02</v>
      </c>
      <c r="G9" s="589">
        <v>1.6E-2</v>
      </c>
      <c r="H9" s="796">
        <v>0.59</v>
      </c>
      <c r="I9" s="796">
        <v>0.59</v>
      </c>
      <c r="J9" s="796">
        <v>0.31</v>
      </c>
      <c r="K9" s="796">
        <v>0.21</v>
      </c>
      <c r="L9" s="796">
        <v>0.22</v>
      </c>
      <c r="M9" s="4"/>
      <c r="N9" s="1145"/>
    </row>
    <row r="10" spans="1:14" ht="18.75" customHeight="1">
      <c r="A10" s="1133"/>
      <c r="B10" s="591" t="s">
        <v>1553</v>
      </c>
      <c r="C10" s="796">
        <v>0.40899999999999997</v>
      </c>
      <c r="D10" s="1152">
        <v>0.41</v>
      </c>
      <c r="E10" s="1089">
        <v>0.41</v>
      </c>
      <c r="F10" s="589">
        <v>0.42</v>
      </c>
      <c r="G10" s="589">
        <v>0.42899999999999999</v>
      </c>
      <c r="H10" s="796">
        <v>10.78</v>
      </c>
      <c r="I10" s="796">
        <v>10.86</v>
      </c>
      <c r="J10" s="796">
        <v>11.06</v>
      </c>
      <c r="K10" s="796">
        <v>11.07</v>
      </c>
      <c r="L10" s="796">
        <v>14.02</v>
      </c>
      <c r="M10" s="4"/>
      <c r="N10" s="1145"/>
    </row>
    <row r="11" spans="1:14" ht="18.75" customHeight="1">
      <c r="A11" s="1133"/>
      <c r="B11" s="591" t="s">
        <v>1554</v>
      </c>
      <c r="C11" s="796">
        <v>0.70499999999999996</v>
      </c>
      <c r="D11" s="1152">
        <v>0.76</v>
      </c>
      <c r="E11" s="1089">
        <v>0.76</v>
      </c>
      <c r="F11" s="589">
        <v>0.78</v>
      </c>
      <c r="G11" s="589">
        <v>0.8</v>
      </c>
      <c r="H11" s="796">
        <v>8.23</v>
      </c>
      <c r="I11" s="796">
        <v>9.23</v>
      </c>
      <c r="J11" s="796">
        <v>9.23</v>
      </c>
      <c r="K11" s="796">
        <v>9.6</v>
      </c>
      <c r="L11" s="796">
        <v>10</v>
      </c>
      <c r="M11" s="4"/>
      <c r="N11" s="1145"/>
    </row>
    <row r="12" spans="1:14" ht="18.75" customHeight="1">
      <c r="A12" s="1133"/>
      <c r="B12" s="591" t="s">
        <v>1555</v>
      </c>
      <c r="C12" s="796">
        <v>0.29199999999999998</v>
      </c>
      <c r="D12" s="1152">
        <v>0.28999999999999998</v>
      </c>
      <c r="E12" s="1089">
        <v>0.28999999999999998</v>
      </c>
      <c r="F12" s="589">
        <v>0.3</v>
      </c>
      <c r="G12" s="589">
        <v>0.30499999999999999</v>
      </c>
      <c r="H12" s="796">
        <v>3.48</v>
      </c>
      <c r="I12" s="796">
        <v>3.48</v>
      </c>
      <c r="J12" s="796">
        <v>3.5</v>
      </c>
      <c r="K12" s="796">
        <v>3.8</v>
      </c>
      <c r="L12" s="796">
        <v>3.89</v>
      </c>
      <c r="M12" s="4"/>
      <c r="N12" s="1153"/>
    </row>
    <row r="13" spans="1:14" ht="18.75" customHeight="1">
      <c r="A13" s="1133"/>
      <c r="B13" s="591" t="s">
        <v>1556</v>
      </c>
      <c r="C13" s="796">
        <v>6.3E-2</v>
      </c>
      <c r="D13" s="796">
        <v>6.3E-2</v>
      </c>
      <c r="E13" s="796">
        <v>0.06</v>
      </c>
      <c r="F13" s="589">
        <v>0.06</v>
      </c>
      <c r="G13" s="589">
        <v>6.4000000000000001E-2</v>
      </c>
      <c r="H13" s="796">
        <v>0.44</v>
      </c>
      <c r="I13" s="796">
        <v>0.44</v>
      </c>
      <c r="J13" s="796">
        <v>0.45</v>
      </c>
      <c r="K13" s="796">
        <v>0.4</v>
      </c>
      <c r="L13" s="796">
        <v>0.42</v>
      </c>
      <c r="M13" s="4"/>
      <c r="N13" s="1145"/>
    </row>
    <row r="14" spans="1:14" ht="18.75" customHeight="1">
      <c r="A14" s="1133"/>
      <c r="B14" s="591" t="s">
        <v>1557</v>
      </c>
      <c r="C14" s="1088" t="s">
        <v>57</v>
      </c>
      <c r="D14" s="1089" t="s">
        <v>57</v>
      </c>
      <c r="E14" s="1089" t="s">
        <v>57</v>
      </c>
      <c r="F14" s="589" t="s">
        <v>57</v>
      </c>
      <c r="G14" s="1323" t="s">
        <v>57</v>
      </c>
      <c r="H14" s="796" t="s">
        <v>57</v>
      </c>
      <c r="I14" s="796" t="s">
        <v>57</v>
      </c>
      <c r="J14" s="796" t="s">
        <v>57</v>
      </c>
      <c r="K14" s="796" t="s">
        <v>57</v>
      </c>
      <c r="L14" s="834" t="s">
        <v>57</v>
      </c>
      <c r="M14" s="4"/>
      <c r="N14" s="1145"/>
    </row>
    <row r="15" spans="1:14" ht="18.75" customHeight="1">
      <c r="A15" s="985"/>
      <c r="B15" s="591" t="s">
        <v>1558</v>
      </c>
      <c r="C15" s="796">
        <v>0.309</v>
      </c>
      <c r="D15" s="796">
        <v>0.309</v>
      </c>
      <c r="E15" s="796">
        <v>0.32</v>
      </c>
      <c r="F15" s="589">
        <v>0.34</v>
      </c>
      <c r="G15" s="589">
        <v>0.34200000000000003</v>
      </c>
      <c r="H15" s="796">
        <v>2.96</v>
      </c>
      <c r="I15" s="796">
        <v>2.96</v>
      </c>
      <c r="J15" s="796">
        <v>3.17</v>
      </c>
      <c r="K15" s="796">
        <v>3.2</v>
      </c>
      <c r="L15" s="796">
        <v>3.3</v>
      </c>
      <c r="M15" s="4"/>
      <c r="N15" s="1145"/>
    </row>
    <row r="16" spans="1:14" ht="18.75" customHeight="1">
      <c r="A16" s="1133"/>
      <c r="B16" s="591" t="s">
        <v>1559</v>
      </c>
      <c r="C16" s="796">
        <v>0.20799999999999999</v>
      </c>
      <c r="D16" s="796">
        <v>0.20799999999999999</v>
      </c>
      <c r="E16" s="796">
        <v>0.21</v>
      </c>
      <c r="F16" s="589">
        <v>0.22</v>
      </c>
      <c r="G16" s="589">
        <v>0.216</v>
      </c>
      <c r="H16" s="796">
        <v>2.11</v>
      </c>
      <c r="I16" s="796">
        <v>2.11</v>
      </c>
      <c r="J16" s="796">
        <v>2.11</v>
      </c>
      <c r="K16" s="796">
        <v>2.2000000000000002</v>
      </c>
      <c r="L16" s="796">
        <v>2.2999999999999998</v>
      </c>
      <c r="M16" s="4"/>
      <c r="N16" s="1145"/>
    </row>
    <row r="17" spans="1:13" ht="18.75" customHeight="1">
      <c r="A17" s="1133"/>
      <c r="B17" s="591" t="s">
        <v>1162</v>
      </c>
      <c r="C17" s="1094">
        <v>0.57999999999999996</v>
      </c>
      <c r="D17" s="1094">
        <v>0.57999999999999996</v>
      </c>
      <c r="E17" s="1094">
        <v>0.57999999999999996</v>
      </c>
      <c r="F17" s="589">
        <v>0.6</v>
      </c>
      <c r="G17" s="589">
        <v>0.60399999999999998</v>
      </c>
      <c r="H17" s="1094">
        <v>4.47</v>
      </c>
      <c r="I17" s="1094">
        <v>5.48</v>
      </c>
      <c r="J17" s="1094">
        <v>5.46</v>
      </c>
      <c r="K17" s="1094">
        <v>5.7</v>
      </c>
      <c r="L17" s="1094">
        <v>5.8</v>
      </c>
      <c r="M17" s="4"/>
    </row>
    <row r="18" spans="1:13" ht="18.75" customHeight="1">
      <c r="A18" s="741"/>
      <c r="B18" s="1154" t="s">
        <v>1035</v>
      </c>
      <c r="C18" s="1155">
        <f t="shared" ref="C18:L18" si="0">SUM(C7:C17)</f>
        <v>4.899</v>
      </c>
      <c r="D18" s="1156">
        <f t="shared" si="0"/>
        <v>5.1590000000000007</v>
      </c>
      <c r="E18" s="1157">
        <f t="shared" si="0"/>
        <v>5.37</v>
      </c>
      <c r="F18" s="1155">
        <f t="shared" si="0"/>
        <v>5.5099999999999989</v>
      </c>
      <c r="G18" s="1155">
        <f t="shared" si="0"/>
        <v>5.5619999999999994</v>
      </c>
      <c r="H18" s="1155">
        <f t="shared" si="0"/>
        <v>38.480000000000004</v>
      </c>
      <c r="I18" s="1155">
        <f t="shared" si="0"/>
        <v>40.769999999999996</v>
      </c>
      <c r="J18" s="1155">
        <f t="shared" si="0"/>
        <v>41.76</v>
      </c>
      <c r="K18" s="1155">
        <f t="shared" si="0"/>
        <v>43.67</v>
      </c>
      <c r="L18" s="1155">
        <f t="shared" si="0"/>
        <v>45.551999999999992</v>
      </c>
      <c r="M18" s="4"/>
    </row>
    <row r="19" spans="1:13" s="5" customFormat="1" ht="18.75" customHeight="1">
      <c r="A19" s="187" t="s">
        <v>1560</v>
      </c>
      <c r="B19" s="877" t="s">
        <v>1299</v>
      </c>
      <c r="C19" s="608"/>
      <c r="D19" s="183"/>
      <c r="E19" s="183"/>
      <c r="F19" s="183"/>
      <c r="G19" s="183"/>
      <c r="H19" s="608"/>
      <c r="I19" s="608"/>
      <c r="J19" s="608"/>
      <c r="K19" s="608"/>
      <c r="L19" s="608"/>
      <c r="M19" s="4"/>
    </row>
    <row r="20" spans="1:13" ht="18.75" customHeight="1">
      <c r="A20" s="1158"/>
      <c r="B20" s="591" t="s">
        <v>1561</v>
      </c>
      <c r="C20" s="796">
        <v>5.3209999999999997</v>
      </c>
      <c r="D20" s="1152">
        <v>5.39</v>
      </c>
      <c r="E20" s="1089">
        <v>5.4</v>
      </c>
      <c r="F20" s="589">
        <v>5.43</v>
      </c>
      <c r="G20" s="589">
        <v>5.5</v>
      </c>
      <c r="H20" s="796">
        <v>76.69</v>
      </c>
      <c r="I20" s="1159">
        <v>77.69</v>
      </c>
      <c r="J20" s="1159">
        <v>77.89</v>
      </c>
      <c r="K20" s="1159">
        <v>77.900000000000006</v>
      </c>
      <c r="L20" s="1159">
        <v>78.430000000000007</v>
      </c>
      <c r="M20" s="4"/>
    </row>
    <row r="21" spans="1:13" ht="18.75" customHeight="1">
      <c r="A21" s="1158"/>
      <c r="B21" s="591" t="s">
        <v>1562</v>
      </c>
      <c r="C21" s="796">
        <v>2.1030000000000002</v>
      </c>
      <c r="D21" s="1152">
        <v>2.13</v>
      </c>
      <c r="E21" s="1089">
        <v>2.15</v>
      </c>
      <c r="F21" s="589">
        <v>2.17</v>
      </c>
      <c r="G21" s="589">
        <v>2.1739999999999999</v>
      </c>
      <c r="H21" s="796">
        <v>61.77</v>
      </c>
      <c r="I21" s="796">
        <v>62.64</v>
      </c>
      <c r="J21" s="796">
        <v>62.8</v>
      </c>
      <c r="K21" s="796">
        <v>63.5</v>
      </c>
      <c r="L21" s="796">
        <v>64.209999999999994</v>
      </c>
      <c r="M21" s="4"/>
    </row>
    <row r="22" spans="1:13" ht="18.75" customHeight="1">
      <c r="A22" s="1158"/>
      <c r="B22" s="591" t="s">
        <v>1565</v>
      </c>
      <c r="C22" s="796">
        <v>1.2290000000000001</v>
      </c>
      <c r="D22" s="1152">
        <v>1.24</v>
      </c>
      <c r="E22" s="1089">
        <v>1.28</v>
      </c>
      <c r="F22" s="589">
        <v>1.36</v>
      </c>
      <c r="G22" s="589">
        <v>1.39</v>
      </c>
      <c r="H22" s="796">
        <v>31.45</v>
      </c>
      <c r="I22" s="796">
        <v>31.86</v>
      </c>
      <c r="J22" s="796">
        <v>31.96</v>
      </c>
      <c r="K22" s="796">
        <v>33.4</v>
      </c>
      <c r="L22" s="796">
        <v>34.76</v>
      </c>
      <c r="M22" s="4"/>
    </row>
    <row r="23" spans="1:13" ht="18.75" customHeight="1">
      <c r="A23" s="985"/>
      <c r="B23" s="591" t="s">
        <v>1566</v>
      </c>
      <c r="C23" s="796">
        <v>0.21299999999999999</v>
      </c>
      <c r="D23" s="794">
        <v>0.21299999999999999</v>
      </c>
      <c r="E23" s="796">
        <v>0.21</v>
      </c>
      <c r="F23" s="589">
        <v>0.22</v>
      </c>
      <c r="G23" s="589">
        <v>0.23</v>
      </c>
      <c r="H23" s="796">
        <v>1.17</v>
      </c>
      <c r="I23" s="796">
        <v>1.17</v>
      </c>
      <c r="J23" s="796">
        <v>1.05</v>
      </c>
      <c r="K23" s="796">
        <v>1.2</v>
      </c>
      <c r="L23" s="796">
        <v>1.26</v>
      </c>
      <c r="M23" s="4"/>
    </row>
    <row r="24" spans="1:13" ht="18.75" customHeight="1">
      <c r="A24" s="187"/>
      <c r="B24" s="591" t="s">
        <v>1567</v>
      </c>
      <c r="C24" s="796">
        <v>8.51</v>
      </c>
      <c r="D24" s="1152">
        <v>7.23</v>
      </c>
      <c r="E24" s="1089">
        <v>8.61</v>
      </c>
      <c r="F24" s="589">
        <v>8.61</v>
      </c>
      <c r="G24" s="589">
        <v>8.26</v>
      </c>
      <c r="H24" s="796">
        <v>168.75</v>
      </c>
      <c r="I24" s="796">
        <v>149.1</v>
      </c>
      <c r="J24" s="796">
        <v>175.9</v>
      </c>
      <c r="K24" s="796">
        <v>176.1</v>
      </c>
      <c r="L24" s="796">
        <v>165</v>
      </c>
      <c r="M24" s="4"/>
    </row>
    <row r="25" spans="1:13" ht="18.75" customHeight="1">
      <c r="A25" s="1158"/>
      <c r="B25" s="591" t="s">
        <v>1568</v>
      </c>
      <c r="C25" s="796">
        <v>0.45800000000000002</v>
      </c>
      <c r="D25" s="794">
        <v>0.45800000000000002</v>
      </c>
      <c r="E25" s="796">
        <v>0.47</v>
      </c>
      <c r="F25" s="589">
        <v>0.47</v>
      </c>
      <c r="G25" s="589">
        <v>0.56000000000000005</v>
      </c>
      <c r="H25" s="796">
        <v>4.8899999999999997</v>
      </c>
      <c r="I25" s="796">
        <v>5.0199999999999996</v>
      </c>
      <c r="J25" s="796">
        <v>5.05</v>
      </c>
      <c r="K25" s="796">
        <v>5.0999999999999996</v>
      </c>
      <c r="L25" s="796">
        <v>6.2</v>
      </c>
      <c r="M25" s="4"/>
    </row>
    <row r="26" spans="1:13" ht="18.75" customHeight="1">
      <c r="A26" s="1158"/>
      <c r="B26" s="591" t="s">
        <v>1569</v>
      </c>
      <c r="C26" s="796">
        <v>8.6460000000000008</v>
      </c>
      <c r="D26" s="1152">
        <v>8.77</v>
      </c>
      <c r="E26" s="1089">
        <v>8.75</v>
      </c>
      <c r="F26" s="589">
        <v>8.7799999999999994</v>
      </c>
      <c r="G26" s="589">
        <v>8.7899999999999991</v>
      </c>
      <c r="H26" s="796">
        <v>105.934</v>
      </c>
      <c r="I26" s="796">
        <v>109.65</v>
      </c>
      <c r="J26" s="796">
        <v>109.66</v>
      </c>
      <c r="K26" s="796">
        <v>109.8</v>
      </c>
      <c r="L26" s="796">
        <v>110.06</v>
      </c>
      <c r="M26" s="4"/>
    </row>
    <row r="27" spans="1:13" ht="18.75" customHeight="1">
      <c r="A27" s="1158"/>
      <c r="B27" s="591" t="s">
        <v>1570</v>
      </c>
      <c r="C27" s="796">
        <v>3.0289999999999999</v>
      </c>
      <c r="D27" s="1152">
        <v>3.07</v>
      </c>
      <c r="E27" s="1089">
        <v>3.07</v>
      </c>
      <c r="F27" s="589">
        <v>3.09</v>
      </c>
      <c r="G27" s="589">
        <v>3.1</v>
      </c>
      <c r="H27" s="796">
        <v>37.738999999999997</v>
      </c>
      <c r="I27" s="796">
        <v>38.81</v>
      </c>
      <c r="J27" s="796">
        <v>38.11</v>
      </c>
      <c r="K27" s="796">
        <v>38.299999999999997</v>
      </c>
      <c r="L27" s="796">
        <v>35.4</v>
      </c>
      <c r="M27" s="4"/>
    </row>
    <row r="28" spans="1:13" ht="18.75" customHeight="1">
      <c r="A28" s="985"/>
      <c r="B28" s="591" t="s">
        <v>1571</v>
      </c>
      <c r="C28" s="796">
        <v>0.73</v>
      </c>
      <c r="D28" s="851">
        <v>0.16</v>
      </c>
      <c r="E28" s="796">
        <v>0.74</v>
      </c>
      <c r="F28" s="589">
        <v>0.74</v>
      </c>
      <c r="G28" s="589">
        <v>0.73</v>
      </c>
      <c r="H28" s="796">
        <v>7.5880000000000001</v>
      </c>
      <c r="I28" s="796">
        <v>2.0299999999999998</v>
      </c>
      <c r="J28" s="796">
        <v>7.88</v>
      </c>
      <c r="K28" s="796">
        <v>8.0399999999999991</v>
      </c>
      <c r="L28" s="796">
        <v>7.6</v>
      </c>
      <c r="M28" s="4"/>
    </row>
    <row r="29" spans="1:13" ht="18.75" customHeight="1">
      <c r="A29" s="187"/>
      <c r="B29" s="591" t="s">
        <v>1162</v>
      </c>
      <c r="C29" s="1094">
        <v>4.6100000000000003</v>
      </c>
      <c r="D29" s="1152">
        <v>12.48</v>
      </c>
      <c r="E29" s="1089">
        <v>4.67</v>
      </c>
      <c r="F29" s="589">
        <v>4.96</v>
      </c>
      <c r="G29" s="589">
        <v>4.923</v>
      </c>
      <c r="H29" s="1094">
        <v>26.757000000000001</v>
      </c>
      <c r="I29" s="796">
        <v>57.57</v>
      </c>
      <c r="J29" s="796">
        <v>28.25</v>
      </c>
      <c r="K29" s="796">
        <v>29.768999999999998</v>
      </c>
      <c r="L29" s="796">
        <v>30.16</v>
      </c>
      <c r="M29" s="4"/>
    </row>
    <row r="30" spans="1:13" ht="18.75" customHeight="1">
      <c r="A30" s="871"/>
      <c r="B30" s="1154" t="s">
        <v>1035</v>
      </c>
      <c r="C30" s="859">
        <f t="shared" ref="C30:L30" si="1">SUM(C20:C29)</f>
        <v>34.848999999999997</v>
      </c>
      <c r="D30" s="858">
        <f t="shared" si="1"/>
        <v>41.140999999999998</v>
      </c>
      <c r="E30" s="799">
        <f t="shared" si="1"/>
        <v>35.349999999999994</v>
      </c>
      <c r="F30" s="859">
        <f t="shared" si="1"/>
        <v>35.83</v>
      </c>
      <c r="G30" s="859">
        <f t="shared" si="1"/>
        <v>35.657000000000004</v>
      </c>
      <c r="H30" s="859">
        <f t="shared" si="1"/>
        <v>522.73799999999994</v>
      </c>
      <c r="I30" s="859">
        <f t="shared" si="1"/>
        <v>535.54</v>
      </c>
      <c r="J30" s="859">
        <f t="shared" si="1"/>
        <v>538.55000000000007</v>
      </c>
      <c r="K30" s="859">
        <f t="shared" si="1"/>
        <v>543.10900000000004</v>
      </c>
      <c r="L30" s="859">
        <f t="shared" si="1"/>
        <v>533.07999999999993</v>
      </c>
      <c r="M30" s="4"/>
    </row>
    <row r="31" spans="1:13">
      <c r="A31" s="753"/>
      <c r="B31" s="753"/>
      <c r="C31" s="753"/>
      <c r="D31" s="1160"/>
      <c r="F31" s="903"/>
      <c r="G31" s="903"/>
      <c r="H31" s="903"/>
      <c r="I31" s="903"/>
      <c r="J31" s="903"/>
      <c r="K31" s="903"/>
      <c r="L31" s="536" t="s">
        <v>1387</v>
      </c>
    </row>
  </sheetData>
  <mergeCells count="6">
    <mergeCell ref="A1:L1"/>
    <mergeCell ref="H3:L3"/>
    <mergeCell ref="A2:L2"/>
    <mergeCell ref="A5:B5"/>
    <mergeCell ref="A3:B4"/>
    <mergeCell ref="C3:G3"/>
  </mergeCells>
  <phoneticPr fontId="0" type="noConversion"/>
  <printOptions horizontalCentered="1" verticalCentered="1"/>
  <pageMargins left="0.1" right="0.1" top="0.15" bottom="0.1" header="0.2" footer="0.1"/>
  <pageSetup paperSize="9" scale="96" orientation="landscape" blackAndWhite="1" r:id="rId1"/>
  <headerFooter alignWithMargins="0"/>
</worksheet>
</file>

<file path=xl/worksheets/sheet47.xml><?xml version="1.0" encoding="utf-8"?>
<worksheet xmlns="http://schemas.openxmlformats.org/spreadsheetml/2006/main" xmlns:r="http://schemas.openxmlformats.org/officeDocument/2006/relationships">
  <dimension ref="A1:M14"/>
  <sheetViews>
    <sheetView topLeftCell="A10" workbookViewId="0">
      <selection activeCell="F14" sqref="F14"/>
    </sheetView>
  </sheetViews>
  <sheetFormatPr defaultRowHeight="12.75"/>
  <cols>
    <col min="1" max="1" width="15" style="723" customWidth="1"/>
    <col min="2" max="2" width="11.7109375" style="723" customWidth="1"/>
    <col min="3" max="7" width="9.42578125" style="723" customWidth="1"/>
    <col min="8" max="8" width="10.7109375" style="723" customWidth="1"/>
    <col min="9" max="13" width="9.5703125" style="723" customWidth="1"/>
    <col min="14" max="16384" width="9.140625" style="723"/>
  </cols>
  <sheetData>
    <row r="1" spans="1:13">
      <c r="A1" s="1508" t="s">
        <v>841</v>
      </c>
      <c r="B1" s="1508"/>
      <c r="C1" s="1508"/>
      <c r="D1" s="1508"/>
      <c r="E1" s="1508"/>
      <c r="F1" s="1508"/>
      <c r="G1" s="1508"/>
      <c r="H1" s="1508"/>
      <c r="I1" s="1508"/>
      <c r="J1" s="1508"/>
      <c r="K1" s="1508"/>
      <c r="L1" s="1508"/>
      <c r="M1" s="1508"/>
    </row>
    <row r="2" spans="1:13" ht="16.5">
      <c r="A2" s="1467" t="s">
        <v>1300</v>
      </c>
      <c r="B2" s="1467"/>
      <c r="C2" s="1467"/>
      <c r="D2" s="1467"/>
      <c r="E2" s="1467"/>
      <c r="F2" s="1467"/>
      <c r="G2" s="1467"/>
      <c r="H2" s="1467"/>
      <c r="I2" s="1467"/>
      <c r="J2" s="1467"/>
      <c r="K2" s="1467"/>
      <c r="L2" s="1467"/>
      <c r="M2" s="1467"/>
    </row>
    <row r="3" spans="1:13" ht="22.5" customHeight="1">
      <c r="A3" s="1410" t="s">
        <v>842</v>
      </c>
      <c r="B3" s="1400" t="s">
        <v>964</v>
      </c>
      <c r="C3" s="1400"/>
      <c r="D3" s="1400"/>
      <c r="E3" s="1400"/>
      <c r="F3" s="1400"/>
      <c r="G3" s="1401"/>
      <c r="H3" s="1407" t="s">
        <v>1574</v>
      </c>
      <c r="I3" s="1400"/>
      <c r="J3" s="1400"/>
      <c r="K3" s="1400"/>
      <c r="L3" s="1400"/>
      <c r="M3" s="1401"/>
    </row>
    <row r="4" spans="1:13" ht="22.5" customHeight="1">
      <c r="A4" s="1411"/>
      <c r="B4" s="728" t="s">
        <v>952</v>
      </c>
      <c r="C4" s="124" t="s">
        <v>1526</v>
      </c>
      <c r="D4" s="124" t="s">
        <v>1525</v>
      </c>
      <c r="E4" s="124" t="s">
        <v>1051</v>
      </c>
      <c r="F4" s="728" t="s">
        <v>1250</v>
      </c>
      <c r="G4" s="728" t="s">
        <v>527</v>
      </c>
      <c r="H4" s="728" t="s">
        <v>952</v>
      </c>
      <c r="I4" s="124" t="s">
        <v>1526</v>
      </c>
      <c r="J4" s="124" t="s">
        <v>1525</v>
      </c>
      <c r="K4" s="124" t="s">
        <v>1051</v>
      </c>
      <c r="L4" s="728" t="s">
        <v>1250</v>
      </c>
      <c r="M4" s="728" t="s">
        <v>527</v>
      </c>
    </row>
    <row r="5" spans="1:13" ht="22.5" customHeight="1">
      <c r="A5" s="1161" t="s">
        <v>1008</v>
      </c>
      <c r="B5" s="790" t="s">
        <v>1009</v>
      </c>
      <c r="C5" s="729" t="s">
        <v>1010</v>
      </c>
      <c r="D5" s="790" t="s">
        <v>1011</v>
      </c>
      <c r="E5" s="729" t="s">
        <v>1015</v>
      </c>
      <c r="F5" s="729" t="s">
        <v>1016</v>
      </c>
      <c r="G5" s="742" t="s">
        <v>1017</v>
      </c>
      <c r="H5" s="729" t="s">
        <v>1039</v>
      </c>
      <c r="I5" s="742" t="s">
        <v>1040</v>
      </c>
      <c r="J5" s="790" t="s">
        <v>1041</v>
      </c>
      <c r="K5" s="731" t="s">
        <v>1042</v>
      </c>
      <c r="L5" s="731" t="s">
        <v>1076</v>
      </c>
      <c r="M5" s="1084" t="s">
        <v>1077</v>
      </c>
    </row>
    <row r="6" spans="1:13" ht="41.25" customHeight="1">
      <c r="A6" s="1162" t="s">
        <v>843</v>
      </c>
      <c r="B6" s="1163" t="s">
        <v>851</v>
      </c>
      <c r="C6" s="774">
        <v>1E-3</v>
      </c>
      <c r="D6" s="774">
        <v>1E-3</v>
      </c>
      <c r="E6" s="774">
        <v>1E-3</v>
      </c>
      <c r="F6" s="774">
        <v>1E-3</v>
      </c>
      <c r="G6" s="774">
        <v>2E-3</v>
      </c>
      <c r="H6" s="721" t="s">
        <v>346</v>
      </c>
      <c r="I6" s="496">
        <v>0.01</v>
      </c>
      <c r="J6" s="1164">
        <v>1.6E-2</v>
      </c>
      <c r="K6" s="1164">
        <v>1.6E-2</v>
      </c>
      <c r="L6" s="1164">
        <v>1.7000000000000001E-2</v>
      </c>
      <c r="M6" s="1164">
        <v>3.3000000000000002E-2</v>
      </c>
    </row>
    <row r="7" spans="1:13" ht="41.25" customHeight="1">
      <c r="A7" s="441" t="s">
        <v>844</v>
      </c>
      <c r="B7" s="126" t="s">
        <v>966</v>
      </c>
      <c r="C7" s="744" t="s">
        <v>57</v>
      </c>
      <c r="D7" s="744" t="s">
        <v>57</v>
      </c>
      <c r="E7" s="744" t="s">
        <v>57</v>
      </c>
      <c r="F7" s="744" t="s">
        <v>57</v>
      </c>
      <c r="G7" s="522" t="s">
        <v>57</v>
      </c>
      <c r="H7" s="126" t="s">
        <v>966</v>
      </c>
      <c r="I7" s="497" t="s">
        <v>57</v>
      </c>
      <c r="J7" s="1165" t="s">
        <v>57</v>
      </c>
      <c r="K7" s="1165" t="s">
        <v>57</v>
      </c>
      <c r="L7" s="1165" t="s">
        <v>57</v>
      </c>
      <c r="M7" s="1299" t="s">
        <v>57</v>
      </c>
    </row>
    <row r="8" spans="1:13" ht="41.25" customHeight="1">
      <c r="A8" s="448" t="s">
        <v>845</v>
      </c>
      <c r="B8" s="126" t="s">
        <v>966</v>
      </c>
      <c r="C8" s="744" t="s">
        <v>57</v>
      </c>
      <c r="D8" s="744" t="s">
        <v>57</v>
      </c>
      <c r="E8" s="744" t="s">
        <v>57</v>
      </c>
      <c r="F8" s="744" t="s">
        <v>57</v>
      </c>
      <c r="G8" s="744">
        <v>2E-3</v>
      </c>
      <c r="H8" s="126" t="s">
        <v>966</v>
      </c>
      <c r="I8" s="1165" t="s">
        <v>57</v>
      </c>
      <c r="J8" s="1165" t="s">
        <v>57</v>
      </c>
      <c r="K8" s="1165" t="s">
        <v>57</v>
      </c>
      <c r="L8" s="1165" t="s">
        <v>57</v>
      </c>
      <c r="M8" s="1165">
        <v>0.02</v>
      </c>
    </row>
    <row r="9" spans="1:13" ht="41.25" customHeight="1">
      <c r="A9" s="448" t="s">
        <v>846</v>
      </c>
      <c r="B9" s="126" t="s">
        <v>966</v>
      </c>
      <c r="C9" s="1165" t="s">
        <v>57</v>
      </c>
      <c r="D9" s="1165" t="s">
        <v>57</v>
      </c>
      <c r="E9" s="1165" t="s">
        <v>57</v>
      </c>
      <c r="F9" s="1165">
        <v>5.0000000000000001E-3</v>
      </c>
      <c r="G9" s="1165">
        <v>6.0000000000000001E-3</v>
      </c>
      <c r="H9" s="126" t="s">
        <v>966</v>
      </c>
      <c r="I9" s="1165" t="s">
        <v>57</v>
      </c>
      <c r="J9" s="1165" t="s">
        <v>57</v>
      </c>
      <c r="K9" s="1165" t="s">
        <v>57</v>
      </c>
      <c r="L9" s="1165">
        <v>4.1000000000000002E-2</v>
      </c>
      <c r="M9" s="1165">
        <v>0.05</v>
      </c>
    </row>
    <row r="10" spans="1:13" ht="41.25" customHeight="1">
      <c r="A10" s="448" t="s">
        <v>847</v>
      </c>
      <c r="B10" s="126" t="s">
        <v>966</v>
      </c>
      <c r="C10" s="1165">
        <v>5.0000000000000001E-3</v>
      </c>
      <c r="D10" s="1165">
        <v>5.0000000000000001E-3</v>
      </c>
      <c r="E10" s="1165">
        <v>6.0000000000000001E-3</v>
      </c>
      <c r="F10" s="1165">
        <v>0.01</v>
      </c>
      <c r="G10" s="1165">
        <v>1.4E-2</v>
      </c>
      <c r="H10" s="522" t="s">
        <v>1254</v>
      </c>
      <c r="I10" s="1165">
        <v>1.4999999999999999E-2</v>
      </c>
      <c r="J10" s="1165">
        <v>1.9E-2</v>
      </c>
      <c r="K10" s="1165">
        <v>2.3E-2</v>
      </c>
      <c r="L10" s="1165">
        <v>3.5000000000000003E-2</v>
      </c>
      <c r="M10" s="1165">
        <v>0.04</v>
      </c>
    </row>
    <row r="11" spans="1:13" ht="41.25" customHeight="1">
      <c r="A11" s="448" t="s">
        <v>848</v>
      </c>
      <c r="B11" s="126" t="s">
        <v>966</v>
      </c>
      <c r="C11" s="1165" t="s">
        <v>57</v>
      </c>
      <c r="D11" s="1165" t="s">
        <v>57</v>
      </c>
      <c r="E11" s="1165" t="s">
        <v>57</v>
      </c>
      <c r="F11" s="1165" t="s">
        <v>57</v>
      </c>
      <c r="G11" s="1299" t="s">
        <v>57</v>
      </c>
      <c r="H11" s="126" t="s">
        <v>966</v>
      </c>
      <c r="I11" s="1165" t="s">
        <v>57</v>
      </c>
      <c r="J11" s="1165" t="s">
        <v>57</v>
      </c>
      <c r="K11" s="1165" t="s">
        <v>57</v>
      </c>
      <c r="L11" s="1165" t="s">
        <v>57</v>
      </c>
      <c r="M11" s="1299" t="s">
        <v>57</v>
      </c>
    </row>
    <row r="12" spans="1:13" ht="41.25" customHeight="1">
      <c r="A12" s="448" t="s">
        <v>849</v>
      </c>
      <c r="B12" s="126" t="s">
        <v>966</v>
      </c>
      <c r="C12" s="1165" t="s">
        <v>57</v>
      </c>
      <c r="D12" s="1165" t="s">
        <v>57</v>
      </c>
      <c r="E12" s="1165" t="s">
        <v>57</v>
      </c>
      <c r="F12" s="1165" t="s">
        <v>57</v>
      </c>
      <c r="G12" s="1299" t="s">
        <v>57</v>
      </c>
      <c r="H12" s="126" t="s">
        <v>966</v>
      </c>
      <c r="I12" s="1165" t="s">
        <v>57</v>
      </c>
      <c r="J12" s="1165" t="s">
        <v>57</v>
      </c>
      <c r="K12" s="1165" t="s">
        <v>57</v>
      </c>
      <c r="L12" s="1165" t="s">
        <v>57</v>
      </c>
      <c r="M12" s="1299" t="s">
        <v>57</v>
      </c>
    </row>
    <row r="13" spans="1:13" ht="41.25" customHeight="1">
      <c r="A13" s="722" t="s">
        <v>850</v>
      </c>
      <c r="B13" s="128" t="s">
        <v>966</v>
      </c>
      <c r="C13" s="1166">
        <v>5.0000000000000001E-3</v>
      </c>
      <c r="D13" s="1166">
        <v>5.0000000000000001E-3</v>
      </c>
      <c r="E13" s="1166">
        <v>0.01</v>
      </c>
      <c r="F13" s="1166">
        <v>1.4E-2</v>
      </c>
      <c r="G13" s="1166">
        <v>1.4999999999999999E-2</v>
      </c>
      <c r="H13" s="128" t="s">
        <v>966</v>
      </c>
      <c r="I13" s="1166">
        <v>6.0000000000000001E-3</v>
      </c>
      <c r="J13" s="1166">
        <v>7.0000000000000001E-3</v>
      </c>
      <c r="K13" s="1166">
        <v>1.2E-2</v>
      </c>
      <c r="L13" s="1166">
        <v>1.4E-2</v>
      </c>
      <c r="M13" s="1166">
        <v>1.4999999999999999E-2</v>
      </c>
    </row>
    <row r="14" spans="1:13">
      <c r="A14" s="1167"/>
      <c r="D14" s="749"/>
      <c r="F14" s="1001"/>
      <c r="G14" s="1001"/>
      <c r="H14" s="1001"/>
      <c r="I14" s="1001"/>
      <c r="J14" s="1001"/>
      <c r="K14" s="1001"/>
      <c r="L14" s="1001"/>
      <c r="M14" s="536" t="s">
        <v>1387</v>
      </c>
    </row>
  </sheetData>
  <mergeCells count="5">
    <mergeCell ref="H3:M3"/>
    <mergeCell ref="A1:M1"/>
    <mergeCell ref="A2:M2"/>
    <mergeCell ref="A3:A4"/>
    <mergeCell ref="B3:G3"/>
  </mergeCells>
  <phoneticPr fontId="0" type="noConversion"/>
  <conditionalFormatting sqref="A1:XFD1048576">
    <cfRule type="cellIs" dxfId="4" priority="1" stopIfTrue="1" operator="equal">
      <formula>".."</formula>
    </cfRule>
  </conditionalFormatting>
  <printOptions horizontalCentered="1" verticalCentered="1"/>
  <pageMargins left="0" right="0" top="0" bottom="0" header="0.5" footer="0.5"/>
  <pageSetup orientation="landscape" blackAndWhite="1" r:id="rId1"/>
  <headerFooter alignWithMargins="0"/>
</worksheet>
</file>

<file path=xl/worksheets/sheet48.xml><?xml version="1.0" encoding="utf-8"?>
<worksheet xmlns="http://schemas.openxmlformats.org/spreadsheetml/2006/main" xmlns:r="http://schemas.openxmlformats.org/officeDocument/2006/relationships">
  <dimension ref="A1:L28"/>
  <sheetViews>
    <sheetView topLeftCell="A16" workbookViewId="0">
      <selection activeCell="F14" sqref="F14"/>
    </sheetView>
  </sheetViews>
  <sheetFormatPr defaultRowHeight="12.75"/>
  <cols>
    <col min="1" max="1" width="30.7109375" style="753" customWidth="1"/>
    <col min="2" max="2" width="16.28515625" style="753" customWidth="1"/>
    <col min="3" max="7" width="12.7109375" style="753" customWidth="1"/>
    <col min="8" max="16384" width="9.140625" style="753"/>
  </cols>
  <sheetData>
    <row r="1" spans="1:12" ht="15" customHeight="1">
      <c r="A1" s="1399" t="s">
        <v>669</v>
      </c>
      <c r="B1" s="1399"/>
      <c r="C1" s="1399"/>
      <c r="D1" s="1399"/>
      <c r="E1" s="1399"/>
      <c r="F1" s="1399"/>
      <c r="G1" s="1399"/>
    </row>
    <row r="2" spans="1:12" ht="33" customHeight="1">
      <c r="A2" s="1655" t="str">
        <f>CONCATENATE("Classification of Forest Area, Out-turn of Forest Produce, Revenue and Expenditure 
of Forest Department in the district of ",District!A1)</f>
        <v>Classification of Forest Area, Out-turn of Forest Produce, Revenue and Expenditure 
of Forest Department in the district of Purulia</v>
      </c>
      <c r="B2" s="1655"/>
      <c r="C2" s="1655"/>
      <c r="D2" s="1655"/>
      <c r="E2" s="1655"/>
      <c r="F2" s="1655"/>
      <c r="G2" s="1655"/>
      <c r="H2" s="23"/>
      <c r="I2" s="23"/>
      <c r="J2" s="23"/>
      <c r="K2" s="23"/>
      <c r="L2" s="23"/>
    </row>
    <row r="3" spans="1:12" ht="15" customHeight="1">
      <c r="A3" s="728" t="s">
        <v>1575</v>
      </c>
      <c r="B3" s="728" t="s">
        <v>952</v>
      </c>
      <c r="C3" s="740" t="s">
        <v>1526</v>
      </c>
      <c r="D3" s="740" t="s">
        <v>1525</v>
      </c>
      <c r="E3" s="740" t="s">
        <v>1051</v>
      </c>
      <c r="F3" s="740" t="s">
        <v>1250</v>
      </c>
      <c r="G3" s="740" t="s">
        <v>527</v>
      </c>
    </row>
    <row r="4" spans="1:12" ht="15" customHeight="1">
      <c r="A4" s="729" t="s">
        <v>1008</v>
      </c>
      <c r="B4" s="790" t="s">
        <v>1009</v>
      </c>
      <c r="C4" s="729" t="s">
        <v>1010</v>
      </c>
      <c r="D4" s="790" t="s">
        <v>1011</v>
      </c>
      <c r="E4" s="729" t="s">
        <v>1015</v>
      </c>
      <c r="F4" s="790" t="s">
        <v>1016</v>
      </c>
      <c r="G4" s="729" t="s">
        <v>1017</v>
      </c>
    </row>
    <row r="5" spans="1:12" ht="15.75" customHeight="1">
      <c r="A5" s="1168" t="s">
        <v>1301</v>
      </c>
      <c r="B5" s="1169"/>
      <c r="C5" s="1170"/>
      <c r="D5" s="1170"/>
      <c r="E5" s="1171"/>
      <c r="F5" s="1170"/>
      <c r="G5" s="1128"/>
    </row>
    <row r="6" spans="1:12" ht="18" customHeight="1">
      <c r="A6" s="448" t="s">
        <v>1576</v>
      </c>
      <c r="B6" s="123" t="s">
        <v>18</v>
      </c>
      <c r="C6" s="957">
        <v>10435.620000000001</v>
      </c>
      <c r="D6" s="957">
        <v>10435.620000000001</v>
      </c>
      <c r="E6" s="957">
        <v>10435.620000000001</v>
      </c>
      <c r="F6" s="957">
        <v>10435.620000000001</v>
      </c>
      <c r="G6" s="957">
        <v>10435.620000000001</v>
      </c>
    </row>
    <row r="7" spans="1:12" ht="18" customHeight="1">
      <c r="A7" s="448" t="s">
        <v>1577</v>
      </c>
      <c r="B7" s="123" t="s">
        <v>966</v>
      </c>
      <c r="C7" s="1172">
        <v>56264</v>
      </c>
      <c r="D7" s="1172">
        <v>56264.66</v>
      </c>
      <c r="E7" s="1172">
        <v>56264.66</v>
      </c>
      <c r="F7" s="1172">
        <v>56264.66</v>
      </c>
      <c r="G7" s="1172">
        <v>58830.87</v>
      </c>
    </row>
    <row r="8" spans="1:12" ht="18" customHeight="1">
      <c r="A8" s="448" t="s">
        <v>1578</v>
      </c>
      <c r="B8" s="123" t="s">
        <v>966</v>
      </c>
      <c r="C8" s="957">
        <v>26596.65</v>
      </c>
      <c r="D8" s="1172">
        <v>26441.4</v>
      </c>
      <c r="E8" s="1172">
        <v>26441.4</v>
      </c>
      <c r="F8" s="1172">
        <v>26441.4</v>
      </c>
      <c r="G8" s="1172">
        <v>23173.279999999999</v>
      </c>
    </row>
    <row r="9" spans="1:12" ht="18" customHeight="1">
      <c r="A9" s="448" t="s">
        <v>1579</v>
      </c>
      <c r="B9" s="123" t="s">
        <v>966</v>
      </c>
      <c r="C9" s="957">
        <v>22274.99</v>
      </c>
      <c r="D9" s="957">
        <v>34191.050000000003</v>
      </c>
      <c r="E9" s="957">
        <v>34191.050000000003</v>
      </c>
      <c r="F9" s="957">
        <v>34191.050000000003</v>
      </c>
      <c r="G9" s="957">
        <v>22274.99</v>
      </c>
    </row>
    <row r="10" spans="1:12" ht="18" customHeight="1">
      <c r="A10" s="448" t="s">
        <v>131</v>
      </c>
      <c r="B10" s="123" t="s">
        <v>966</v>
      </c>
      <c r="C10" s="957" t="s">
        <v>57</v>
      </c>
      <c r="D10" s="957">
        <v>175.64</v>
      </c>
      <c r="E10" s="957">
        <v>175.64</v>
      </c>
      <c r="F10" s="957">
        <v>175.64</v>
      </c>
      <c r="G10" s="630" t="s">
        <v>57</v>
      </c>
    </row>
    <row r="11" spans="1:12" ht="18" customHeight="1">
      <c r="A11" s="448" t="s">
        <v>1588</v>
      </c>
      <c r="B11" s="123" t="s">
        <v>966</v>
      </c>
      <c r="C11" s="1172" t="s">
        <v>57</v>
      </c>
      <c r="D11" s="1172" t="s">
        <v>57</v>
      </c>
      <c r="E11" s="1172" t="s">
        <v>57</v>
      </c>
      <c r="F11" s="1172" t="s">
        <v>57</v>
      </c>
      <c r="G11" s="1172" t="s">
        <v>57</v>
      </c>
    </row>
    <row r="12" spans="1:12" ht="18" customHeight="1">
      <c r="A12" s="448" t="s">
        <v>1587</v>
      </c>
      <c r="B12" s="123" t="s">
        <v>966</v>
      </c>
      <c r="C12" s="1172">
        <v>1660</v>
      </c>
      <c r="D12" s="1172" t="s">
        <v>57</v>
      </c>
      <c r="E12" s="1172" t="s">
        <v>57</v>
      </c>
      <c r="F12" s="1172" t="s">
        <v>57</v>
      </c>
      <c r="G12" s="1172" t="s">
        <v>57</v>
      </c>
    </row>
    <row r="13" spans="1:12" ht="18" customHeight="1">
      <c r="A13" s="448" t="s">
        <v>1586</v>
      </c>
      <c r="B13" s="123" t="s">
        <v>966</v>
      </c>
      <c r="C13" s="746" t="s">
        <v>57</v>
      </c>
      <c r="D13" s="746" t="s">
        <v>57</v>
      </c>
      <c r="E13" s="746" t="s">
        <v>57</v>
      </c>
      <c r="F13" s="746" t="s">
        <v>57</v>
      </c>
      <c r="G13" s="746" t="s">
        <v>57</v>
      </c>
    </row>
    <row r="14" spans="1:12" ht="15" customHeight="1">
      <c r="A14" s="822" t="s">
        <v>1035</v>
      </c>
      <c r="B14" s="728"/>
      <c r="C14" s="735">
        <f>SUM(C6:C13)</f>
        <v>117231.26</v>
      </c>
      <c r="D14" s="735">
        <f>SUM(D6:D13)</f>
        <v>127508.37</v>
      </c>
      <c r="E14" s="735">
        <f>SUM(E6:E13)</f>
        <v>127508.37</v>
      </c>
      <c r="F14" s="735">
        <f>SUM(F6:F13)</f>
        <v>127508.37</v>
      </c>
      <c r="G14" s="735">
        <f>SUM(G6:G13)</f>
        <v>114714.76000000001</v>
      </c>
    </row>
    <row r="15" spans="1:12" ht="15" customHeight="1">
      <c r="A15" s="1173" t="s">
        <v>449</v>
      </c>
      <c r="B15" s="491"/>
      <c r="C15" s="1170"/>
      <c r="D15" s="1128"/>
      <c r="E15" s="1128"/>
      <c r="F15" s="1128"/>
      <c r="G15" s="1128"/>
    </row>
    <row r="16" spans="1:12" ht="18" customHeight="1">
      <c r="A16" s="448" t="s">
        <v>1589</v>
      </c>
      <c r="B16" s="1174" t="s">
        <v>17</v>
      </c>
      <c r="C16" s="1175">
        <v>0.33200000000000002</v>
      </c>
      <c r="D16" s="1175">
        <v>6.9000000000000006E-2</v>
      </c>
      <c r="E16" s="1175">
        <v>6.6000000000000003E-2</v>
      </c>
      <c r="F16" s="1175">
        <v>0.62325200000000003</v>
      </c>
      <c r="G16" s="1175">
        <v>0.61607100000000004</v>
      </c>
    </row>
    <row r="17" spans="1:8" ht="18" customHeight="1">
      <c r="A17" s="448" t="s">
        <v>1590</v>
      </c>
      <c r="B17" s="123" t="s">
        <v>966</v>
      </c>
      <c r="C17" s="957">
        <v>11.659000000000001</v>
      </c>
      <c r="D17" s="1175">
        <v>2.2170000000000001</v>
      </c>
      <c r="E17" s="1175">
        <v>1.526</v>
      </c>
      <c r="F17" s="1175">
        <v>4.7190139999999996</v>
      </c>
      <c r="G17" s="1175">
        <v>6.3243499999999999</v>
      </c>
    </row>
    <row r="18" spans="1:8" ht="18" customHeight="1">
      <c r="A18" s="448" t="s">
        <v>1591</v>
      </c>
      <c r="B18" s="123" t="s">
        <v>966</v>
      </c>
      <c r="C18" s="1175">
        <v>2.2509999999999999</v>
      </c>
      <c r="D18" s="1175">
        <v>1.931</v>
      </c>
      <c r="E18" s="1175">
        <v>1.44</v>
      </c>
      <c r="F18" s="1175">
        <v>2.6203750000000001</v>
      </c>
      <c r="G18" s="1175">
        <v>3.65245</v>
      </c>
    </row>
    <row r="19" spans="1:8" ht="18" customHeight="1">
      <c r="A19" s="448" t="s">
        <v>1592</v>
      </c>
      <c r="B19" s="123" t="s">
        <v>955</v>
      </c>
      <c r="C19" s="957">
        <v>4118</v>
      </c>
      <c r="D19" s="1176">
        <v>3702</v>
      </c>
      <c r="E19" s="1176">
        <v>678</v>
      </c>
      <c r="F19" s="1176">
        <v>42270</v>
      </c>
      <c r="G19" s="1176">
        <v>36691</v>
      </c>
    </row>
    <row r="20" spans="1:8" ht="18" customHeight="1">
      <c r="A20" s="441" t="s">
        <v>130</v>
      </c>
      <c r="B20" s="123" t="s">
        <v>1056</v>
      </c>
      <c r="C20" s="957">
        <v>1218</v>
      </c>
      <c r="D20" s="1176">
        <v>14405</v>
      </c>
      <c r="E20" s="744">
        <v>6272</v>
      </c>
      <c r="F20" s="744">
        <v>10702</v>
      </c>
      <c r="G20" s="744">
        <v>2096</v>
      </c>
    </row>
    <row r="21" spans="1:8" ht="15" customHeight="1">
      <c r="A21" s="1173" t="s">
        <v>450</v>
      </c>
      <c r="B21" s="123"/>
      <c r="C21" s="630"/>
      <c r="D21" s="1205"/>
      <c r="E21" s="1205"/>
      <c r="F21" s="1205"/>
      <c r="G21" s="1205"/>
    </row>
    <row r="22" spans="1:8" ht="18" customHeight="1">
      <c r="A22" s="448" t="s">
        <v>1593</v>
      </c>
      <c r="B22" s="123" t="s">
        <v>1595</v>
      </c>
      <c r="C22" s="957">
        <v>7227</v>
      </c>
      <c r="D22" s="957">
        <v>9653</v>
      </c>
      <c r="E22" s="957">
        <v>15162</v>
      </c>
      <c r="F22" s="1176">
        <v>4192</v>
      </c>
      <c r="G22" s="1176">
        <v>17598.716</v>
      </c>
    </row>
    <row r="23" spans="1:8" ht="18" customHeight="1">
      <c r="A23" s="722" t="s">
        <v>1594</v>
      </c>
      <c r="B23" s="123" t="s">
        <v>966</v>
      </c>
      <c r="C23" s="1109">
        <v>326512</v>
      </c>
      <c r="D23" s="1177">
        <v>502559</v>
      </c>
      <c r="E23" s="1177">
        <v>258205</v>
      </c>
      <c r="F23" s="1177">
        <v>104791</v>
      </c>
      <c r="G23" s="1177">
        <v>116327.79399999999</v>
      </c>
    </row>
    <row r="24" spans="1:8">
      <c r="A24" s="210"/>
      <c r="B24" s="1206"/>
      <c r="C24" s="1206"/>
      <c r="E24" s="1112" t="s">
        <v>1469</v>
      </c>
      <c r="F24" s="637" t="s">
        <v>1303</v>
      </c>
      <c r="G24" s="1207"/>
      <c r="H24" s="1207"/>
    </row>
    <row r="25" spans="1:8">
      <c r="E25" s="637" t="s">
        <v>1620</v>
      </c>
      <c r="F25" s="637" t="s">
        <v>1388</v>
      </c>
      <c r="G25" s="1207"/>
      <c r="H25" s="1207"/>
    </row>
    <row r="26" spans="1:8">
      <c r="E26" s="637" t="s">
        <v>1620</v>
      </c>
      <c r="F26" s="637" t="s">
        <v>116</v>
      </c>
      <c r="G26" s="1207"/>
      <c r="H26" s="1207"/>
    </row>
    <row r="27" spans="1:8">
      <c r="E27" s="637" t="s">
        <v>1620</v>
      </c>
      <c r="F27" s="637" t="s">
        <v>117</v>
      </c>
      <c r="G27" s="1207"/>
      <c r="H27" s="1207"/>
    </row>
    <row r="28" spans="1:8">
      <c r="E28" s="637" t="s">
        <v>1620</v>
      </c>
      <c r="F28" s="637" t="s">
        <v>1302</v>
      </c>
      <c r="G28" s="1207"/>
      <c r="H28" s="1207"/>
    </row>
  </sheetData>
  <mergeCells count="2">
    <mergeCell ref="A2:G2"/>
    <mergeCell ref="A1:G1"/>
  </mergeCells>
  <phoneticPr fontId="0" type="noConversion"/>
  <conditionalFormatting sqref="C3:G3">
    <cfRule type="cellIs" dxfId="3" priority="1" stopIfTrue="1" operator="equal">
      <formula>".."</formula>
    </cfRule>
  </conditionalFormatting>
  <printOptions horizontalCentered="1" verticalCentered="1"/>
  <pageMargins left="0.1" right="0.1" top="0.2" bottom="0.1" header="0.2" footer="0.1"/>
  <pageSetup paperSize="9" orientation="landscape" blackAndWhite="1" r:id="rId1"/>
  <headerFooter alignWithMargins="0"/>
</worksheet>
</file>

<file path=xl/worksheets/sheet49.xml><?xml version="1.0" encoding="utf-8"?>
<worksheet xmlns="http://schemas.openxmlformats.org/spreadsheetml/2006/main" xmlns:r="http://schemas.openxmlformats.org/officeDocument/2006/relationships">
  <dimension ref="A1:L36"/>
  <sheetViews>
    <sheetView workbookViewId="0">
      <selection activeCell="F14" sqref="F14"/>
    </sheetView>
  </sheetViews>
  <sheetFormatPr defaultRowHeight="12.75"/>
  <cols>
    <col min="1" max="1" width="12.7109375" customWidth="1"/>
    <col min="2" max="2" width="13.28515625" customWidth="1"/>
    <col min="3" max="3" width="12.28515625" customWidth="1"/>
    <col min="4" max="4" width="11.42578125" customWidth="1"/>
    <col min="5" max="7" width="11.7109375" customWidth="1"/>
    <col min="8" max="11" width="12.28515625" customWidth="1"/>
  </cols>
  <sheetData>
    <row r="1" spans="1:12" ht="12.75" customHeight="1">
      <c r="A1" s="1658" t="s">
        <v>670</v>
      </c>
      <c r="B1" s="1658"/>
      <c r="C1" s="1658"/>
      <c r="D1" s="1658"/>
      <c r="E1" s="1658"/>
      <c r="F1" s="1658"/>
      <c r="G1" s="1658"/>
      <c r="H1" s="1658"/>
      <c r="I1" s="1658"/>
      <c r="J1" s="1658"/>
      <c r="K1" s="1658"/>
    </row>
    <row r="2" spans="1:12" ht="13.5" customHeight="1">
      <c r="A2" s="1660" t="str">
        <f>CONCATENATE("Area Irrigated by different sources in the district of ",District!A1)</f>
        <v>Area Irrigated by different sources in the district of Purulia</v>
      </c>
      <c r="B2" s="1660"/>
      <c r="C2" s="1660"/>
      <c r="D2" s="1660"/>
      <c r="E2" s="1660"/>
      <c r="F2" s="1660"/>
      <c r="G2" s="1660"/>
      <c r="H2" s="1660"/>
      <c r="I2" s="1660"/>
      <c r="J2" s="1660"/>
      <c r="K2" s="1660"/>
    </row>
    <row r="3" spans="1:12" ht="13.5" customHeight="1">
      <c r="A3" s="49"/>
      <c r="B3" s="158"/>
      <c r="C3" s="158"/>
      <c r="D3" s="158"/>
      <c r="E3" s="158"/>
      <c r="F3" s="158"/>
      <c r="G3" s="158"/>
      <c r="H3" s="158"/>
      <c r="I3" s="158"/>
      <c r="J3" s="315"/>
      <c r="K3" s="315" t="s">
        <v>1468</v>
      </c>
    </row>
    <row r="4" spans="1:12" ht="15" customHeight="1">
      <c r="A4" s="1661" t="s">
        <v>951</v>
      </c>
      <c r="B4" s="1663" t="s">
        <v>1604</v>
      </c>
      <c r="C4" s="1664"/>
      <c r="D4" s="1664"/>
      <c r="E4" s="1664"/>
      <c r="F4" s="1664"/>
      <c r="G4" s="1664"/>
      <c r="H4" s="1664"/>
      <c r="I4" s="1664"/>
      <c r="J4" s="1664"/>
      <c r="K4" s="1665"/>
    </row>
    <row r="5" spans="1:12" ht="15" customHeight="1">
      <c r="A5" s="1662"/>
      <c r="B5" s="314" t="s">
        <v>719</v>
      </c>
      <c r="C5" s="300" t="s">
        <v>1596</v>
      </c>
      <c r="D5" s="310" t="s">
        <v>1597</v>
      </c>
      <c r="E5" s="300" t="s">
        <v>1598</v>
      </c>
      <c r="F5" s="310" t="s">
        <v>1599</v>
      </c>
      <c r="G5" s="300" t="s">
        <v>1600</v>
      </c>
      <c r="H5" s="310" t="s">
        <v>1601</v>
      </c>
      <c r="I5" s="300" t="s">
        <v>1602</v>
      </c>
      <c r="J5" s="310" t="s">
        <v>1162</v>
      </c>
      <c r="K5" s="76" t="s">
        <v>1035</v>
      </c>
    </row>
    <row r="6" spans="1:12" ht="15" customHeight="1">
      <c r="A6" s="277" t="s">
        <v>1008</v>
      </c>
      <c r="B6" s="277" t="s">
        <v>1009</v>
      </c>
      <c r="C6" s="293" t="s">
        <v>1010</v>
      </c>
      <c r="D6" s="278" t="s">
        <v>1011</v>
      </c>
      <c r="E6" s="293" t="s">
        <v>1015</v>
      </c>
      <c r="F6" s="278" t="s">
        <v>1016</v>
      </c>
      <c r="G6" s="293" t="s">
        <v>1017</v>
      </c>
      <c r="H6" s="278" t="s">
        <v>1039</v>
      </c>
      <c r="I6" s="293" t="s">
        <v>1040</v>
      </c>
      <c r="J6" s="331" t="s">
        <v>1041</v>
      </c>
      <c r="K6" s="325" t="s">
        <v>1042</v>
      </c>
    </row>
    <row r="7" spans="1:12" ht="18.95" customHeight="1">
      <c r="A7" s="342" t="s">
        <v>1526</v>
      </c>
      <c r="B7" s="226">
        <v>27.66</v>
      </c>
      <c r="C7" s="147">
        <v>53.16</v>
      </c>
      <c r="D7" s="98" t="s">
        <v>57</v>
      </c>
      <c r="E7" s="41" t="s">
        <v>57</v>
      </c>
      <c r="F7" s="98" t="s">
        <v>57</v>
      </c>
      <c r="G7" s="41" t="s">
        <v>57</v>
      </c>
      <c r="H7" s="220">
        <v>0.73</v>
      </c>
      <c r="I7" s="147">
        <v>3.45</v>
      </c>
      <c r="J7" s="220">
        <v>10.84</v>
      </c>
      <c r="K7" s="115">
        <f>SUM(B7:J7)</f>
        <v>95.84</v>
      </c>
    </row>
    <row r="8" spans="1:12" ht="18.95" customHeight="1">
      <c r="A8" s="342" t="s">
        <v>1525</v>
      </c>
      <c r="B8" s="226" t="s">
        <v>573</v>
      </c>
      <c r="C8" s="147">
        <v>60.21</v>
      </c>
      <c r="D8" s="98" t="s">
        <v>57</v>
      </c>
      <c r="E8" s="41" t="s">
        <v>57</v>
      </c>
      <c r="F8" s="98" t="s">
        <v>57</v>
      </c>
      <c r="G8" s="41" t="s">
        <v>57</v>
      </c>
      <c r="H8" s="220">
        <v>1.1399999999999999</v>
      </c>
      <c r="I8" s="147">
        <v>3.45</v>
      </c>
      <c r="J8" s="220">
        <v>12.13</v>
      </c>
      <c r="K8" s="115">
        <f>SUM( B8:J8)+8.9</f>
        <v>85.83</v>
      </c>
    </row>
    <row r="9" spans="1:12" ht="18.95" customHeight="1">
      <c r="A9" s="342" t="s">
        <v>1051</v>
      </c>
      <c r="B9" s="226">
        <v>30.79</v>
      </c>
      <c r="C9" s="147">
        <v>70.75</v>
      </c>
      <c r="D9" s="98" t="s">
        <v>57</v>
      </c>
      <c r="E9" s="41" t="s">
        <v>57</v>
      </c>
      <c r="F9" s="98" t="s">
        <v>57</v>
      </c>
      <c r="G9" s="41" t="s">
        <v>57</v>
      </c>
      <c r="H9" s="220">
        <v>8.1199999999999992</v>
      </c>
      <c r="I9" s="147">
        <v>3.45</v>
      </c>
      <c r="J9" s="220">
        <v>13.48</v>
      </c>
      <c r="K9" s="115">
        <f>SUM( B9:J9)</f>
        <v>126.59</v>
      </c>
    </row>
    <row r="10" spans="1:12" ht="18.95" customHeight="1">
      <c r="A10" s="342" t="s">
        <v>1250</v>
      </c>
      <c r="B10" s="226">
        <v>31.85</v>
      </c>
      <c r="C10" s="147">
        <v>82.22</v>
      </c>
      <c r="D10" s="98" t="s">
        <v>57</v>
      </c>
      <c r="E10" s="114" t="s">
        <v>57</v>
      </c>
      <c r="F10" s="114" t="s">
        <v>57</v>
      </c>
      <c r="G10" s="114" t="s">
        <v>57</v>
      </c>
      <c r="H10" s="147">
        <v>0.92</v>
      </c>
      <c r="I10" s="147">
        <v>3.45</v>
      </c>
      <c r="J10" s="220">
        <v>15.31</v>
      </c>
      <c r="K10" s="115">
        <f>SUM( B10:J10)</f>
        <v>133.75</v>
      </c>
    </row>
    <row r="11" spans="1:12" ht="18.95" customHeight="1">
      <c r="A11" s="343" t="s">
        <v>527</v>
      </c>
      <c r="B11" s="311">
        <v>36.799999999999997</v>
      </c>
      <c r="C11" s="148">
        <v>93.76</v>
      </c>
      <c r="D11" s="98" t="s">
        <v>57</v>
      </c>
      <c r="E11" s="622" t="s">
        <v>57</v>
      </c>
      <c r="F11" s="622" t="s">
        <v>57</v>
      </c>
      <c r="G11" s="42" t="s">
        <v>57</v>
      </c>
      <c r="H11" s="148">
        <v>0.87</v>
      </c>
      <c r="I11" s="148">
        <v>3.415</v>
      </c>
      <c r="J11" s="148">
        <v>17.2</v>
      </c>
      <c r="K11" s="350">
        <v>167.37</v>
      </c>
    </row>
    <row r="12" spans="1:12" ht="12.75" customHeight="1">
      <c r="A12" s="562" t="s">
        <v>63</v>
      </c>
      <c r="B12" s="563" t="s">
        <v>767</v>
      </c>
      <c r="C12" s="510"/>
      <c r="D12" s="662"/>
      <c r="E12" s="661"/>
      <c r="F12" s="661"/>
      <c r="G12" s="661"/>
      <c r="H12" s="554" t="s">
        <v>776</v>
      </c>
      <c r="I12" s="555" t="s">
        <v>773</v>
      </c>
      <c r="J12" s="309"/>
      <c r="K12" s="309"/>
      <c r="L12" s="72"/>
    </row>
    <row r="13" spans="1:12">
      <c r="A13" s="562" t="s">
        <v>1389</v>
      </c>
      <c r="B13" s="564" t="s">
        <v>1393</v>
      </c>
      <c r="C13" s="511"/>
      <c r="D13" s="244"/>
      <c r="F13" s="244"/>
      <c r="G13" s="244"/>
      <c r="H13" s="554" t="s">
        <v>778</v>
      </c>
      <c r="I13" s="555" t="s">
        <v>777</v>
      </c>
      <c r="J13" s="309"/>
      <c r="K13" s="309"/>
      <c r="L13" s="72"/>
    </row>
    <row r="14" spans="1:12">
      <c r="A14" s="562" t="s">
        <v>1390</v>
      </c>
      <c r="B14" s="564" t="s">
        <v>1394</v>
      </c>
      <c r="C14" s="511"/>
      <c r="H14" s="554" t="s">
        <v>779</v>
      </c>
      <c r="I14" s="555" t="s">
        <v>780</v>
      </c>
      <c r="J14" s="309"/>
      <c r="K14" s="309"/>
      <c r="L14" s="72"/>
    </row>
    <row r="15" spans="1:12">
      <c r="A15" s="562" t="s">
        <v>808</v>
      </c>
      <c r="B15" s="564" t="s">
        <v>1605</v>
      </c>
      <c r="C15" s="511"/>
      <c r="D15" s="330"/>
      <c r="E15" s="330"/>
      <c r="F15" s="330"/>
      <c r="G15" s="330"/>
      <c r="H15" s="555"/>
      <c r="I15" s="555" t="s">
        <v>781</v>
      </c>
      <c r="J15" s="330"/>
      <c r="K15" s="330"/>
    </row>
    <row r="16" spans="1:12">
      <c r="A16" s="562" t="s">
        <v>1392</v>
      </c>
      <c r="B16" s="564" t="s">
        <v>1396</v>
      </c>
      <c r="C16" s="511"/>
      <c r="D16" s="330"/>
      <c r="E16" s="330"/>
      <c r="F16" s="330"/>
      <c r="G16" s="330"/>
      <c r="H16" s="330"/>
      <c r="I16" s="330"/>
      <c r="J16" s="330"/>
      <c r="K16" s="330"/>
    </row>
    <row r="17" spans="1:12">
      <c r="A17" s="562" t="s">
        <v>807</v>
      </c>
      <c r="B17" s="564" t="s">
        <v>1397</v>
      </c>
      <c r="C17" s="511"/>
      <c r="D17" s="511"/>
      <c r="E17" s="330"/>
      <c r="F17" s="330"/>
      <c r="G17" s="330"/>
      <c r="H17" s="330"/>
      <c r="I17" s="330"/>
      <c r="J17" s="330"/>
      <c r="K17" s="330"/>
    </row>
    <row r="18" spans="1:12" ht="12.75" customHeight="1">
      <c r="A18" s="206" t="s">
        <v>574</v>
      </c>
      <c r="B18" s="111"/>
      <c r="C18" s="111"/>
      <c r="D18" s="111"/>
      <c r="E18" s="188"/>
      <c r="F18" s="49"/>
      <c r="G18" s="49"/>
      <c r="H18" s="49"/>
      <c r="I18" s="49"/>
      <c r="J18" s="49"/>
      <c r="K18" s="49"/>
    </row>
    <row r="19" spans="1:12" ht="12.75" customHeight="1">
      <c r="E19" s="188"/>
      <c r="F19" s="49"/>
      <c r="G19" s="49"/>
      <c r="H19" s="49"/>
      <c r="I19" s="49"/>
      <c r="J19" s="49"/>
      <c r="K19" s="49"/>
    </row>
    <row r="20" spans="1:12" ht="13.5" customHeight="1">
      <c r="A20" s="49"/>
      <c r="B20" s="1659" t="s">
        <v>671</v>
      </c>
      <c r="C20" s="1659"/>
      <c r="D20" s="1659"/>
      <c r="E20" s="1659"/>
      <c r="F20" s="1659"/>
      <c r="G20" s="1659"/>
      <c r="H20" s="1659"/>
      <c r="I20" s="1659"/>
      <c r="J20" s="1659"/>
      <c r="K20" s="49"/>
      <c r="L20" s="4"/>
    </row>
    <row r="21" spans="1:12" ht="15.75" customHeight="1">
      <c r="A21" s="49"/>
      <c r="B21" s="255"/>
      <c r="C21" s="1660" t="str">
        <f>CONCATENATE("Sources of Irrigation in the district of ",District!A1)</f>
        <v>Sources of Irrigation in the district of Purulia</v>
      </c>
      <c r="D21" s="1660"/>
      <c r="E21" s="1660"/>
      <c r="F21" s="1660"/>
      <c r="G21" s="1660"/>
      <c r="H21" s="1660"/>
      <c r="I21" s="1660"/>
      <c r="J21" s="256"/>
      <c r="K21" s="49"/>
    </row>
    <row r="22" spans="1:12" ht="12.75" customHeight="1">
      <c r="A22" s="49"/>
      <c r="B22" s="49"/>
      <c r="C22" s="49"/>
      <c r="D22" s="49"/>
      <c r="E22" s="49"/>
      <c r="F22" s="49"/>
      <c r="G22" s="49"/>
      <c r="H22" s="49"/>
      <c r="I22" s="49"/>
      <c r="J22" s="291" t="s">
        <v>1058</v>
      </c>
      <c r="K22" s="49"/>
    </row>
    <row r="23" spans="1:12" ht="15" customHeight="1">
      <c r="A23" s="49"/>
      <c r="B23" s="322" t="s">
        <v>951</v>
      </c>
      <c r="C23" s="322" t="s">
        <v>1596</v>
      </c>
      <c r="D23" s="300" t="s">
        <v>1597</v>
      </c>
      <c r="E23" s="317" t="s">
        <v>1598</v>
      </c>
      <c r="F23" s="300" t="s">
        <v>1599</v>
      </c>
      <c r="G23" s="317" t="s">
        <v>1600</v>
      </c>
      <c r="H23" s="300" t="s">
        <v>1601</v>
      </c>
      <c r="I23" s="317" t="s">
        <v>1602</v>
      </c>
      <c r="J23" s="300" t="s">
        <v>1162</v>
      </c>
      <c r="K23" s="49"/>
    </row>
    <row r="24" spans="1:12" ht="15" customHeight="1">
      <c r="A24" s="49"/>
      <c r="B24" s="277" t="s">
        <v>1008</v>
      </c>
      <c r="C24" s="277" t="s">
        <v>1009</v>
      </c>
      <c r="D24" s="293" t="s">
        <v>1010</v>
      </c>
      <c r="E24" s="278" t="s">
        <v>1011</v>
      </c>
      <c r="F24" s="293" t="s">
        <v>1015</v>
      </c>
      <c r="G24" s="278" t="s">
        <v>1016</v>
      </c>
      <c r="H24" s="293" t="s">
        <v>1017</v>
      </c>
      <c r="I24" s="278" t="s">
        <v>1039</v>
      </c>
      <c r="J24" s="293" t="s">
        <v>1040</v>
      </c>
      <c r="K24" s="49"/>
    </row>
    <row r="25" spans="1:12" ht="18.95" customHeight="1">
      <c r="A25" s="49"/>
      <c r="B25" s="333" t="s">
        <v>1526</v>
      </c>
      <c r="C25" s="104">
        <v>9963</v>
      </c>
      <c r="D25" s="106" t="s">
        <v>57</v>
      </c>
      <c r="E25" s="104" t="s">
        <v>57</v>
      </c>
      <c r="F25" s="106" t="s">
        <v>57</v>
      </c>
      <c r="G25" s="104" t="s">
        <v>57</v>
      </c>
      <c r="H25" s="106">
        <v>135</v>
      </c>
      <c r="I25" s="104">
        <v>4312</v>
      </c>
      <c r="J25" s="105">
        <v>750</v>
      </c>
      <c r="K25" s="49"/>
    </row>
    <row r="26" spans="1:12" ht="18.95" customHeight="1">
      <c r="A26" s="49"/>
      <c r="B26" s="333" t="s">
        <v>1525</v>
      </c>
      <c r="C26" s="104">
        <v>9972</v>
      </c>
      <c r="D26" s="106" t="s">
        <v>57</v>
      </c>
      <c r="E26" s="104" t="s">
        <v>57</v>
      </c>
      <c r="F26" s="106" t="s">
        <v>57</v>
      </c>
      <c r="G26" s="104" t="s">
        <v>57</v>
      </c>
      <c r="H26" s="106">
        <v>135</v>
      </c>
      <c r="I26" s="104">
        <v>4312</v>
      </c>
      <c r="J26" s="105">
        <v>772</v>
      </c>
      <c r="K26" s="49"/>
    </row>
    <row r="27" spans="1:12" ht="18.95" customHeight="1">
      <c r="A27" s="49"/>
      <c r="B27" s="333" t="s">
        <v>1051</v>
      </c>
      <c r="C27" s="104">
        <v>10190</v>
      </c>
      <c r="D27" s="106" t="s">
        <v>57</v>
      </c>
      <c r="E27" s="104" t="s">
        <v>57</v>
      </c>
      <c r="F27" s="106" t="s">
        <v>57</v>
      </c>
      <c r="G27" s="104" t="s">
        <v>57</v>
      </c>
      <c r="H27" s="106">
        <v>135</v>
      </c>
      <c r="I27" s="104">
        <v>4312</v>
      </c>
      <c r="J27" s="105">
        <v>802</v>
      </c>
      <c r="K27" s="49"/>
    </row>
    <row r="28" spans="1:12" ht="18.95" customHeight="1">
      <c r="A28" s="49"/>
      <c r="B28" s="333" t="s">
        <v>1250</v>
      </c>
      <c r="C28" s="104">
        <v>10441</v>
      </c>
      <c r="D28" s="106" t="s">
        <v>57</v>
      </c>
      <c r="E28" s="104" t="s">
        <v>57</v>
      </c>
      <c r="F28" s="106" t="s">
        <v>57</v>
      </c>
      <c r="G28" s="104" t="s">
        <v>57</v>
      </c>
      <c r="H28" s="106">
        <v>135</v>
      </c>
      <c r="I28" s="104">
        <v>4312</v>
      </c>
      <c r="J28" s="105">
        <v>835</v>
      </c>
      <c r="K28" s="49"/>
    </row>
    <row r="29" spans="1:12" ht="18.95" customHeight="1">
      <c r="A29" s="49"/>
      <c r="B29" s="343" t="s">
        <v>527</v>
      </c>
      <c r="C29" s="236">
        <v>10695</v>
      </c>
      <c r="D29" s="234" t="s">
        <v>57</v>
      </c>
      <c r="E29" s="152" t="s">
        <v>57</v>
      </c>
      <c r="F29" s="153" t="s">
        <v>57</v>
      </c>
      <c r="G29" s="152" t="s">
        <v>57</v>
      </c>
      <c r="H29" s="152">
        <v>135</v>
      </c>
      <c r="I29" s="152">
        <v>4297</v>
      </c>
      <c r="J29" s="152">
        <v>869</v>
      </c>
      <c r="K29" s="49"/>
    </row>
    <row r="30" spans="1:12" ht="14.25" customHeight="1">
      <c r="B30" s="562" t="s">
        <v>63</v>
      </c>
      <c r="C30" s="563" t="s">
        <v>806</v>
      </c>
      <c r="D30" s="510"/>
      <c r="E30" s="510"/>
      <c r="F30" s="291"/>
      <c r="G30" s="565" t="s">
        <v>776</v>
      </c>
      <c r="H30" s="1656" t="s">
        <v>721</v>
      </c>
      <c r="I30" s="1656"/>
      <c r="J30" s="1656"/>
      <c r="K30" s="330"/>
    </row>
    <row r="31" spans="1:12" ht="12.75" customHeight="1">
      <c r="A31" s="49"/>
      <c r="B31" s="562" t="s">
        <v>1389</v>
      </c>
      <c r="C31" s="564" t="s">
        <v>1609</v>
      </c>
      <c r="D31" s="511"/>
      <c r="E31" s="511"/>
      <c r="F31" s="330"/>
      <c r="G31" s="565" t="s">
        <v>782</v>
      </c>
      <c r="H31" s="1657" t="s">
        <v>720</v>
      </c>
      <c r="I31" s="1657"/>
      <c r="J31" s="1657"/>
      <c r="K31" s="330"/>
    </row>
    <row r="32" spans="1:12">
      <c r="A32" s="49"/>
      <c r="B32" s="562" t="s">
        <v>1390</v>
      </c>
      <c r="C32" s="564" t="s">
        <v>1606</v>
      </c>
      <c r="D32" s="511"/>
      <c r="E32" s="511"/>
      <c r="F32" s="349"/>
      <c r="G32" s="330"/>
      <c r="H32" s="330"/>
      <c r="I32" s="330"/>
      <c r="J32" s="330"/>
      <c r="K32" s="330"/>
    </row>
    <row r="33" spans="2:11">
      <c r="B33" s="559" t="s">
        <v>808</v>
      </c>
      <c r="C33" s="374" t="s">
        <v>1607</v>
      </c>
      <c r="D33" s="75"/>
      <c r="E33" s="75"/>
      <c r="F33" s="305"/>
      <c r="G33" s="318"/>
      <c r="H33" s="305"/>
      <c r="I33" s="305"/>
      <c r="J33" s="305"/>
      <c r="K33" s="305"/>
    </row>
    <row r="34" spans="2:11">
      <c r="B34" s="559" t="s">
        <v>1391</v>
      </c>
      <c r="C34" s="374" t="s">
        <v>1608</v>
      </c>
      <c r="D34" s="75"/>
      <c r="E34" s="75"/>
      <c r="F34" s="305"/>
      <c r="G34" s="305"/>
      <c r="H34" s="305"/>
      <c r="I34" s="305"/>
      <c r="J34" s="305"/>
      <c r="K34" s="305"/>
    </row>
    <row r="35" spans="2:11">
      <c r="B35" s="559" t="s">
        <v>807</v>
      </c>
      <c r="C35" s="374" t="s">
        <v>379</v>
      </c>
      <c r="D35" s="75"/>
      <c r="E35" s="75"/>
      <c r="F35" s="305"/>
      <c r="G35" s="305"/>
      <c r="H35" s="305"/>
      <c r="I35" s="305"/>
      <c r="J35" s="305"/>
      <c r="K35" s="305"/>
    </row>
    <row r="36" spans="2:11">
      <c r="B36" s="305"/>
      <c r="C36" s="305"/>
      <c r="D36" s="305"/>
      <c r="E36" s="305"/>
      <c r="F36" s="305"/>
      <c r="G36" s="305"/>
      <c r="H36" s="305"/>
      <c r="I36" s="305"/>
      <c r="J36" s="305"/>
      <c r="K36" s="305"/>
    </row>
  </sheetData>
  <mergeCells count="8">
    <mergeCell ref="H30:J30"/>
    <mergeCell ref="H31:J31"/>
    <mergeCell ref="A1:K1"/>
    <mergeCell ref="B20:J20"/>
    <mergeCell ref="C21:I21"/>
    <mergeCell ref="A4:A5"/>
    <mergeCell ref="B4:K4"/>
    <mergeCell ref="A2:K2"/>
  </mergeCells>
  <phoneticPr fontId="0" type="noConversion"/>
  <printOptions horizontalCentered="1" verticalCentered="1"/>
  <pageMargins left="0.1" right="0.1" top="0.15" bottom="0.15" header="0.26" footer="0.14000000000000001"/>
  <pageSetup paperSize="9" orientation="landscape" blackAndWhite="1" r:id="rId1"/>
  <headerFooter alignWithMargins="0"/>
</worksheet>
</file>

<file path=xl/worksheets/sheet5.xml><?xml version="1.0" encoding="utf-8"?>
<worksheet xmlns="http://schemas.openxmlformats.org/spreadsheetml/2006/main" xmlns:r="http://schemas.openxmlformats.org/officeDocument/2006/relationships">
  <sheetPr codeName="Sheet2"/>
  <dimension ref="A1:D128"/>
  <sheetViews>
    <sheetView workbookViewId="0">
      <selection activeCell="F14" sqref="F14"/>
    </sheetView>
  </sheetViews>
  <sheetFormatPr defaultRowHeight="12.75"/>
  <cols>
    <col min="1" max="1" width="39.5703125" style="49" bestFit="1" customWidth="1"/>
    <col min="2" max="2" width="19.85546875" style="49" bestFit="1" customWidth="1"/>
    <col min="3" max="3" width="13.7109375" style="49" bestFit="1" customWidth="1"/>
    <col min="4" max="4" width="15.28515625" style="49" customWidth="1"/>
    <col min="5" max="5" width="10" style="49" bestFit="1" customWidth="1"/>
    <col min="6" max="16384" width="9.140625" style="49"/>
  </cols>
  <sheetData>
    <row r="1" spans="1:4" ht="19.5">
      <c r="A1" s="1385" t="str">
        <f>UPPER(CONCATENATE(District!$A$1," at a glance"))</f>
        <v>PURULIA AT A GLANCE</v>
      </c>
      <c r="B1" s="1385"/>
      <c r="C1" s="1385"/>
      <c r="D1" s="1385"/>
    </row>
    <row r="2" spans="1:4">
      <c r="A2" s="319" t="s">
        <v>950</v>
      </c>
      <c r="B2" s="319" t="s">
        <v>951</v>
      </c>
      <c r="C2" s="319" t="s">
        <v>952</v>
      </c>
      <c r="D2" s="1213" t="s">
        <v>953</v>
      </c>
    </row>
    <row r="3" spans="1:4">
      <c r="A3" s="1214" t="s">
        <v>1008</v>
      </c>
      <c r="B3" s="1214" t="s">
        <v>1009</v>
      </c>
      <c r="C3" s="1214" t="s">
        <v>1010</v>
      </c>
      <c r="D3" s="1215" t="s">
        <v>1011</v>
      </c>
    </row>
    <row r="4" spans="1:4" ht="14.25" customHeight="1">
      <c r="A4" s="1216" t="s">
        <v>954</v>
      </c>
      <c r="B4" s="356"/>
      <c r="C4" s="99"/>
      <c r="D4" s="50"/>
    </row>
    <row r="5" spans="1:4" ht="14.25" customHeight="1">
      <c r="A5" s="1217" t="s">
        <v>1535</v>
      </c>
      <c r="B5" s="356"/>
      <c r="C5" s="467"/>
      <c r="D5" s="355" t="str">
        <f>'1.1,1.2'!F6</f>
        <v>Purulia</v>
      </c>
    </row>
    <row r="6" spans="1:4" ht="14.25" customHeight="1">
      <c r="A6" s="1217" t="s">
        <v>519</v>
      </c>
      <c r="B6" s="356">
        <f>District!$F$5</f>
        <v>2014</v>
      </c>
      <c r="C6" s="467" t="s">
        <v>955</v>
      </c>
      <c r="D6" s="50" t="str">
        <f>RIGHT('2.1'!A35,1)</f>
        <v>3</v>
      </c>
    </row>
    <row r="7" spans="1:4" ht="14.25" customHeight="1">
      <c r="A7" s="1217" t="s">
        <v>105</v>
      </c>
      <c r="B7" s="356" t="s">
        <v>966</v>
      </c>
      <c r="C7" s="467" t="s">
        <v>966</v>
      </c>
      <c r="D7" s="50">
        <f>'2.1'!B35</f>
        <v>22</v>
      </c>
    </row>
    <row r="8" spans="1:4" ht="14.25" customHeight="1">
      <c r="A8" s="1217" t="s">
        <v>957</v>
      </c>
      <c r="B8" s="356">
        <f>District!$G$4</f>
        <v>2011</v>
      </c>
      <c r="C8" s="467" t="s">
        <v>966</v>
      </c>
      <c r="D8" s="50">
        <f>'2.1'!H35</f>
        <v>2459</v>
      </c>
    </row>
    <row r="9" spans="1:4" ht="14.25" customHeight="1">
      <c r="A9" s="1217" t="s">
        <v>855</v>
      </c>
      <c r="B9" s="356" t="str">
        <f>District!$F$4</f>
        <v>2001</v>
      </c>
      <c r="C9" s="467" t="s">
        <v>966</v>
      </c>
      <c r="D9" s="50">
        <f>'2.1'!G35</f>
        <v>2683</v>
      </c>
    </row>
    <row r="10" spans="1:4" ht="14.25" customHeight="1">
      <c r="A10" s="1217" t="s">
        <v>516</v>
      </c>
      <c r="B10" s="356">
        <f>District!$F$5</f>
        <v>2014</v>
      </c>
      <c r="C10" s="467" t="s">
        <v>966</v>
      </c>
      <c r="D10" s="50" t="str">
        <f>'2.1'!J35</f>
        <v>-</v>
      </c>
    </row>
    <row r="11" spans="1:4" ht="14.25" customHeight="1">
      <c r="A11" s="1217" t="s">
        <v>517</v>
      </c>
      <c r="B11" s="356" t="s">
        <v>966</v>
      </c>
      <c r="C11" s="467" t="s">
        <v>966</v>
      </c>
      <c r="D11" s="50">
        <f>'2.1'!L35</f>
        <v>3</v>
      </c>
    </row>
    <row r="12" spans="1:4" ht="14.25" customHeight="1">
      <c r="A12" s="1217" t="s">
        <v>518</v>
      </c>
      <c r="B12" s="356" t="s">
        <v>966</v>
      </c>
      <c r="C12" s="467" t="s">
        <v>966</v>
      </c>
      <c r="D12" s="50">
        <f>'16.1'!A24</f>
        <v>20</v>
      </c>
    </row>
    <row r="13" spans="1:4" ht="14.25" customHeight="1">
      <c r="A13" s="1217" t="s">
        <v>569</v>
      </c>
      <c r="B13" s="356" t="s">
        <v>966</v>
      </c>
      <c r="C13" s="467" t="s">
        <v>966</v>
      </c>
      <c r="D13" s="50">
        <f>'2.1'!D35</f>
        <v>20</v>
      </c>
    </row>
    <row r="14" spans="1:4" ht="14.25" customHeight="1">
      <c r="A14" s="1217" t="s">
        <v>960</v>
      </c>
      <c r="B14" s="356" t="s">
        <v>966</v>
      </c>
      <c r="C14" s="467" t="s">
        <v>966</v>
      </c>
      <c r="D14" s="50">
        <f>'2.1'!E35</f>
        <v>170</v>
      </c>
    </row>
    <row r="15" spans="1:4" ht="14.25" customHeight="1">
      <c r="A15" s="1217" t="s">
        <v>962</v>
      </c>
      <c r="B15" s="356" t="s">
        <v>966</v>
      </c>
      <c r="C15" s="467" t="s">
        <v>966</v>
      </c>
      <c r="D15" s="50">
        <f>'2.1'!F35</f>
        <v>1942</v>
      </c>
    </row>
    <row r="16" spans="1:4" ht="14.25" customHeight="1">
      <c r="A16" s="1216" t="s">
        <v>963</v>
      </c>
      <c r="B16" s="356"/>
      <c r="C16" s="467"/>
      <c r="D16" s="50"/>
    </row>
    <row r="17" spans="1:4" ht="14.25" customHeight="1">
      <c r="A17" s="1217" t="s">
        <v>964</v>
      </c>
      <c r="B17" s="356">
        <f>District!G4</f>
        <v>2011</v>
      </c>
      <c r="C17" s="467" t="s">
        <v>878</v>
      </c>
      <c r="D17" s="1211">
        <f>'2.2'!C$32</f>
        <v>6259</v>
      </c>
    </row>
    <row r="18" spans="1:4" ht="14.25" customHeight="1">
      <c r="A18" s="1217" t="s">
        <v>965</v>
      </c>
      <c r="B18" s="356" t="s">
        <v>966</v>
      </c>
      <c r="C18" s="467" t="s">
        <v>955</v>
      </c>
      <c r="D18" s="50">
        <f>'2.2'!D$32</f>
        <v>2930115</v>
      </c>
    </row>
    <row r="19" spans="1:4" ht="14.25" customHeight="1">
      <c r="A19" s="1217" t="s">
        <v>908</v>
      </c>
      <c r="B19" s="356" t="s">
        <v>966</v>
      </c>
      <c r="C19" s="467" t="s">
        <v>961</v>
      </c>
      <c r="D19" s="50">
        <f>'2.2'!E$32</f>
        <v>468</v>
      </c>
    </row>
    <row r="20" spans="1:4" ht="14.25" customHeight="1">
      <c r="A20" s="1217" t="s">
        <v>909</v>
      </c>
      <c r="B20" s="356"/>
      <c r="C20" s="467"/>
      <c r="D20" s="631"/>
    </row>
    <row r="21" spans="1:4" ht="14.25" customHeight="1">
      <c r="A21" s="1218" t="s">
        <v>1070</v>
      </c>
      <c r="B21" s="356" t="s">
        <v>966</v>
      </c>
      <c r="C21" s="467" t="s">
        <v>1168</v>
      </c>
      <c r="D21" s="1211">
        <f>'2.3'!D17/'2.3'!B17*100</f>
        <v>51.090008412639101</v>
      </c>
    </row>
    <row r="22" spans="1:4" ht="14.25" customHeight="1">
      <c r="A22" s="1217" t="s">
        <v>203</v>
      </c>
      <c r="B22" s="356" t="s">
        <v>966</v>
      </c>
      <c r="C22" s="467" t="s">
        <v>966</v>
      </c>
      <c r="D22" s="1211">
        <f>'2.3'!E17/'2.3'!B17*100</f>
        <v>48.909991587360906</v>
      </c>
    </row>
    <row r="23" spans="1:4" ht="14.25" customHeight="1">
      <c r="A23" s="1219" t="s">
        <v>411</v>
      </c>
      <c r="B23" s="356" t="s">
        <v>966</v>
      </c>
      <c r="C23" s="467" t="s">
        <v>966</v>
      </c>
      <c r="D23" s="1211">
        <f>'2.3'!I17</f>
        <v>87.26</v>
      </c>
    </row>
    <row r="24" spans="1:4" ht="14.25" customHeight="1">
      <c r="A24" s="1219" t="s">
        <v>1072</v>
      </c>
      <c r="B24" s="356" t="s">
        <v>966</v>
      </c>
      <c r="C24" s="467" t="s">
        <v>966</v>
      </c>
      <c r="D24" s="1211">
        <f>100-D23</f>
        <v>12.739999999999995</v>
      </c>
    </row>
    <row r="25" spans="1:4" ht="14.25" customHeight="1">
      <c r="A25" s="1216" t="s">
        <v>389</v>
      </c>
      <c r="B25" s="356"/>
      <c r="C25" s="467"/>
      <c r="D25" s="50"/>
    </row>
    <row r="26" spans="1:4" ht="14.25" customHeight="1">
      <c r="A26" s="1217" t="s">
        <v>904</v>
      </c>
      <c r="B26" s="356">
        <f>District!$F$5</f>
        <v>2014</v>
      </c>
      <c r="C26" s="467" t="s">
        <v>967</v>
      </c>
      <c r="D26" s="50">
        <f>'1.1,1.2'!H27</f>
        <v>1024</v>
      </c>
    </row>
    <row r="27" spans="1:4" ht="14.25" customHeight="1">
      <c r="A27" s="1217" t="s">
        <v>968</v>
      </c>
      <c r="B27" s="356" t="s">
        <v>966</v>
      </c>
      <c r="C27" s="467" t="s">
        <v>969</v>
      </c>
      <c r="D27" s="124">
        <f>'1.3,1.4'!J19</f>
        <v>45</v>
      </c>
    </row>
    <row r="28" spans="1:4" ht="14.25" customHeight="1">
      <c r="A28" s="1217" t="s">
        <v>1149</v>
      </c>
      <c r="B28" s="356" t="s">
        <v>966</v>
      </c>
      <c r="C28" s="467" t="s">
        <v>966</v>
      </c>
      <c r="D28" s="124">
        <f>'1.3,1.4'!K19</f>
        <v>8</v>
      </c>
    </row>
    <row r="29" spans="1:4" ht="14.25" customHeight="1">
      <c r="A29" s="1216" t="s">
        <v>971</v>
      </c>
      <c r="B29" s="356"/>
      <c r="C29" s="467"/>
      <c r="D29" s="50"/>
    </row>
    <row r="30" spans="1:4" ht="14.25" customHeight="1">
      <c r="A30" s="1217" t="s">
        <v>972</v>
      </c>
      <c r="B30" s="356">
        <f>District!$G$4</f>
        <v>2011</v>
      </c>
      <c r="C30" s="467" t="s">
        <v>1168</v>
      </c>
      <c r="D30" s="1211">
        <f>'2.7'!C34</f>
        <v>42.65</v>
      </c>
    </row>
    <row r="31" spans="1:4" ht="14.25" customHeight="1">
      <c r="A31" s="1217" t="s">
        <v>973</v>
      </c>
      <c r="B31" s="356" t="s">
        <v>966</v>
      </c>
      <c r="C31" s="467" t="s">
        <v>966</v>
      </c>
      <c r="D31" s="1211">
        <f>'2.7'!Q34</f>
        <v>57.35</v>
      </c>
    </row>
    <row r="32" spans="1:4" ht="14.25" customHeight="1">
      <c r="A32" s="1216" t="s">
        <v>974</v>
      </c>
      <c r="B32" s="356"/>
      <c r="C32" s="467"/>
      <c r="D32" s="50"/>
    </row>
    <row r="33" spans="1:4" ht="14.25" customHeight="1">
      <c r="A33" s="1217" t="s">
        <v>975</v>
      </c>
      <c r="B33" s="356" t="str">
        <f>District!$F$3</f>
        <v>2013-14</v>
      </c>
      <c r="C33" s="1220" t="s">
        <v>570</v>
      </c>
      <c r="D33" s="1211">
        <f>'5.1'!K10</f>
        <v>309.14400000000001</v>
      </c>
    </row>
    <row r="34" spans="1:4" ht="14.25" customHeight="1">
      <c r="A34" s="1221" t="s">
        <v>572</v>
      </c>
      <c r="B34" s="356" t="s">
        <v>966</v>
      </c>
      <c r="C34" s="467" t="s">
        <v>1168</v>
      </c>
      <c r="D34" s="50">
        <f>ROUND('5.5,5.5a'!K11/'5.1'!K10*100,2)</f>
        <v>54.14</v>
      </c>
    </row>
    <row r="35" spans="1:4" ht="14.25" customHeight="1">
      <c r="A35" s="1217" t="s">
        <v>1145</v>
      </c>
      <c r="B35" s="356" t="s">
        <v>966</v>
      </c>
      <c r="C35" s="467" t="s">
        <v>509</v>
      </c>
      <c r="D35" s="50">
        <f>'5.3a'!G7</f>
        <v>2415</v>
      </c>
    </row>
    <row r="36" spans="1:4" ht="14.25" customHeight="1">
      <c r="A36" s="1216" t="s">
        <v>976</v>
      </c>
      <c r="B36" s="356"/>
      <c r="C36" s="467"/>
      <c r="D36" s="50"/>
    </row>
    <row r="37" spans="1:4" ht="14.25" customHeight="1">
      <c r="A37" s="1221" t="s">
        <v>1395</v>
      </c>
      <c r="B37" s="356">
        <f>District!$F$5</f>
        <v>2014</v>
      </c>
      <c r="C37" s="467" t="s">
        <v>955</v>
      </c>
      <c r="D37" s="50">
        <f>'3.1'!J12</f>
        <v>93</v>
      </c>
    </row>
    <row r="38" spans="1:4" ht="14.25" customHeight="1">
      <c r="A38" s="1221" t="s">
        <v>183</v>
      </c>
      <c r="B38" s="356" t="str">
        <f>District!$F$3</f>
        <v>2013-14</v>
      </c>
      <c r="C38" s="467" t="s">
        <v>966</v>
      </c>
      <c r="D38" s="50">
        <f>'3.2'!B11</f>
        <v>485</v>
      </c>
    </row>
    <row r="39" spans="1:4" ht="14.25" customHeight="1">
      <c r="A39" s="1217" t="s">
        <v>882</v>
      </c>
      <c r="B39" s="356" t="s">
        <v>966</v>
      </c>
      <c r="C39" s="467" t="s">
        <v>966</v>
      </c>
      <c r="D39" s="50">
        <f>'3.2'!E11</f>
        <v>30</v>
      </c>
    </row>
    <row r="40" spans="1:4" ht="14.25" customHeight="1">
      <c r="A40" s="1217" t="s">
        <v>1146</v>
      </c>
      <c r="B40" s="356">
        <f>District!$F$5</f>
        <v>2014</v>
      </c>
      <c r="C40" s="467" t="s">
        <v>966</v>
      </c>
      <c r="D40" s="50">
        <f>'3.1'!K12</f>
        <v>2644</v>
      </c>
    </row>
    <row r="41" spans="1:4" ht="14.25" customHeight="1">
      <c r="A41" s="1217" t="s">
        <v>400</v>
      </c>
      <c r="B41" s="356" t="s">
        <v>966</v>
      </c>
      <c r="C41" s="467" t="s">
        <v>966</v>
      </c>
      <c r="D41" s="50">
        <f>ROUND(D40/D18*100000,0)</f>
        <v>90</v>
      </c>
    </row>
    <row r="42" spans="1:4" ht="14.25" customHeight="1">
      <c r="A42" s="1216" t="s">
        <v>125</v>
      </c>
      <c r="B42" s="356"/>
      <c r="C42" s="467"/>
      <c r="D42" s="50"/>
    </row>
    <row r="43" spans="1:4" ht="14.25" customHeight="1">
      <c r="A43" s="1217" t="s">
        <v>977</v>
      </c>
      <c r="B43" s="356" t="str">
        <f>District!$F$3</f>
        <v>2013-14</v>
      </c>
      <c r="C43" s="467" t="s">
        <v>966</v>
      </c>
      <c r="D43" s="50">
        <f>'4.1a'!I8</f>
        <v>3001</v>
      </c>
    </row>
    <row r="44" spans="1:4" ht="14.25" customHeight="1">
      <c r="A44" s="1217" t="s">
        <v>978</v>
      </c>
      <c r="B44" s="356" t="s">
        <v>966</v>
      </c>
      <c r="C44" s="467" t="s">
        <v>966</v>
      </c>
      <c r="D44" s="50">
        <f>'4.1a'!I13</f>
        <v>428</v>
      </c>
    </row>
    <row r="45" spans="1:4" ht="14.25" customHeight="1">
      <c r="A45" s="1217" t="s">
        <v>979</v>
      </c>
      <c r="B45" s="356" t="s">
        <v>966</v>
      </c>
      <c r="C45" s="467" t="s">
        <v>966</v>
      </c>
      <c r="D45" s="50">
        <f>'4.1a'!I18</f>
        <v>80</v>
      </c>
    </row>
    <row r="46" spans="1:4" ht="14.25" customHeight="1">
      <c r="A46" s="1217" t="s">
        <v>980</v>
      </c>
      <c r="B46" s="356" t="s">
        <v>966</v>
      </c>
      <c r="C46" s="467" t="s">
        <v>966</v>
      </c>
      <c r="D46" s="50">
        <f>'4.1a'!I23</f>
        <v>261</v>
      </c>
    </row>
    <row r="47" spans="1:4" ht="14.25" customHeight="1">
      <c r="A47" s="1217" t="s">
        <v>981</v>
      </c>
      <c r="B47" s="356" t="s">
        <v>966</v>
      </c>
      <c r="C47" s="467" t="s">
        <v>966</v>
      </c>
      <c r="D47" s="50">
        <f>'4.1a'!I29</f>
        <v>20</v>
      </c>
    </row>
    <row r="48" spans="1:4" ht="14.25" customHeight="1">
      <c r="A48" s="1217" t="s">
        <v>520</v>
      </c>
      <c r="B48" s="356" t="s">
        <v>966</v>
      </c>
      <c r="C48" s="467" t="s">
        <v>966</v>
      </c>
      <c r="D48" s="50">
        <f>'4.1a'!I30</f>
        <v>1</v>
      </c>
    </row>
    <row r="49" spans="1:4" ht="14.25" customHeight="1">
      <c r="A49" s="1222" t="s">
        <v>1147</v>
      </c>
      <c r="B49" s="356">
        <f>District!$G$4</f>
        <v>2011</v>
      </c>
      <c r="C49" s="467" t="s">
        <v>1168</v>
      </c>
      <c r="D49" s="1211">
        <f>'4.5'!H$33</f>
        <v>77.86</v>
      </c>
    </row>
    <row r="50" spans="1:4" ht="14.25" customHeight="1">
      <c r="A50" s="1222" t="s">
        <v>107</v>
      </c>
      <c r="B50" s="356" t="s">
        <v>966</v>
      </c>
      <c r="C50" s="467" t="s">
        <v>966</v>
      </c>
      <c r="D50" s="1211">
        <f>'4.5'!I$33</f>
        <v>50.52</v>
      </c>
    </row>
    <row r="51" spans="1:4" ht="14.25" customHeight="1">
      <c r="A51" s="1223" t="s">
        <v>108</v>
      </c>
      <c r="B51" s="714" t="s">
        <v>966</v>
      </c>
      <c r="C51" s="1224" t="s">
        <v>966</v>
      </c>
      <c r="D51" s="151">
        <f>'4.5'!J$33</f>
        <v>64.48</v>
      </c>
    </row>
    <row r="52" spans="1:4" ht="16.5" customHeight="1">
      <c r="C52" s="178"/>
      <c r="D52" s="1225" t="s">
        <v>1246</v>
      </c>
    </row>
    <row r="53" spans="1:4" ht="16.5" customHeight="1">
      <c r="C53" s="178"/>
      <c r="D53" s="1225"/>
    </row>
    <row r="54" spans="1:4" ht="16.5" customHeight="1">
      <c r="C54" s="178"/>
      <c r="D54" s="1225"/>
    </row>
    <row r="55" spans="1:4" ht="12.75" customHeight="1">
      <c r="A55" s="1389" t="s">
        <v>1187</v>
      </c>
      <c r="B55" s="1389"/>
      <c r="C55" s="1389"/>
      <c r="D55" s="1389"/>
    </row>
    <row r="56" spans="1:4" ht="13.5">
      <c r="A56" s="1387" t="s">
        <v>769</v>
      </c>
      <c r="B56" s="1387"/>
      <c r="C56" s="1387"/>
      <c r="D56" s="1387"/>
    </row>
    <row r="57" spans="1:4" ht="15" customHeight="1">
      <c r="A57" s="319" t="s">
        <v>950</v>
      </c>
      <c r="B57" s="319" t="s">
        <v>951</v>
      </c>
      <c r="C57" s="319" t="s">
        <v>952</v>
      </c>
      <c r="D57" s="1213" t="s">
        <v>953</v>
      </c>
    </row>
    <row r="58" spans="1:4" ht="15" customHeight="1">
      <c r="A58" s="1214" t="s">
        <v>1008</v>
      </c>
      <c r="B58" s="1214" t="s">
        <v>1009</v>
      </c>
      <c r="C58" s="1214" t="s">
        <v>1010</v>
      </c>
      <c r="D58" s="1215" t="s">
        <v>1011</v>
      </c>
    </row>
    <row r="59" spans="1:4" ht="14.25" customHeight="1">
      <c r="A59" s="1226" t="s">
        <v>982</v>
      </c>
      <c r="B59" s="304"/>
      <c r="C59" s="1227"/>
      <c r="D59" s="1210"/>
    </row>
    <row r="60" spans="1:4" ht="14.25" customHeight="1">
      <c r="A60" s="1217" t="s">
        <v>907</v>
      </c>
      <c r="B60" s="266">
        <f>District!$F$5</f>
        <v>2014</v>
      </c>
      <c r="C60" s="65" t="s">
        <v>955</v>
      </c>
      <c r="D60" s="50" t="str">
        <f>'9.1'!H7</f>
        <v>114(P)</v>
      </c>
    </row>
    <row r="61" spans="1:4" ht="14.25" customHeight="1">
      <c r="A61" s="1222" t="s">
        <v>1148</v>
      </c>
      <c r="B61" s="266" t="str">
        <f>District!$F$3</f>
        <v>2013-14</v>
      </c>
      <c r="C61" s="65" t="s">
        <v>966</v>
      </c>
      <c r="D61" s="50">
        <f>'8.1,8.2'!D11</f>
        <v>1964</v>
      </c>
    </row>
    <row r="62" spans="1:4" ht="14.25" customHeight="1">
      <c r="A62" s="1216" t="s">
        <v>983</v>
      </c>
      <c r="B62" s="266"/>
      <c r="C62" s="65"/>
      <c r="D62" s="50"/>
    </row>
    <row r="63" spans="1:4" ht="14.25" customHeight="1">
      <c r="A63" s="1217" t="s">
        <v>823</v>
      </c>
      <c r="B63" s="356" t="s">
        <v>1685</v>
      </c>
      <c r="C63" s="65" t="s">
        <v>966</v>
      </c>
      <c r="D63" s="124">
        <f>'9.1'!H9</f>
        <v>7574</v>
      </c>
    </row>
    <row r="64" spans="1:4" ht="14.25" customHeight="1">
      <c r="A64" s="1217" t="s">
        <v>770</v>
      </c>
      <c r="B64" s="266">
        <f>District!$F$5</f>
        <v>2014</v>
      </c>
      <c r="C64" s="65" t="s">
        <v>966</v>
      </c>
      <c r="D64" s="50" t="str">
        <f>'9.1'!H8</f>
        <v>7460(P)</v>
      </c>
    </row>
    <row r="65" spans="1:4" ht="14.25" customHeight="1">
      <c r="A65" s="1222" t="s">
        <v>1148</v>
      </c>
      <c r="B65" s="266" t="str">
        <f>District!$F$3</f>
        <v>2013-14</v>
      </c>
      <c r="C65" s="65" t="s">
        <v>966</v>
      </c>
      <c r="D65" s="50">
        <f>'8.1,8.2'!F11</f>
        <v>14519</v>
      </c>
    </row>
    <row r="66" spans="1:4" ht="14.25" customHeight="1">
      <c r="A66" s="1216" t="s">
        <v>127</v>
      </c>
      <c r="B66" s="266"/>
      <c r="C66" s="65"/>
      <c r="D66" s="50"/>
    </row>
    <row r="67" spans="1:4" ht="14.25" customHeight="1">
      <c r="A67" s="1217" t="s">
        <v>905</v>
      </c>
      <c r="B67" s="266">
        <f>District!$F$5</f>
        <v>2014</v>
      </c>
      <c r="C67" s="65" t="s">
        <v>966</v>
      </c>
      <c r="D67" s="50">
        <f>'10.1,10.2'!G13</f>
        <v>254892</v>
      </c>
    </row>
    <row r="68" spans="1:4" ht="14.25" customHeight="1">
      <c r="A68" s="1216" t="s">
        <v>984</v>
      </c>
      <c r="B68" s="266"/>
      <c r="C68" s="65"/>
      <c r="D68" s="50"/>
    </row>
    <row r="69" spans="1:4" ht="14.25" customHeight="1">
      <c r="A69" s="1217" t="s">
        <v>893</v>
      </c>
      <c r="B69" s="266" t="str">
        <f>District!$F$3</f>
        <v>2013-14</v>
      </c>
      <c r="C69" s="65" t="s">
        <v>966</v>
      </c>
      <c r="D69" s="50">
        <f>'8.1,8.2'!F45</f>
        <v>2464</v>
      </c>
    </row>
    <row r="70" spans="1:4" ht="14.25" customHeight="1">
      <c r="A70" s="1217" t="s">
        <v>362</v>
      </c>
      <c r="B70" s="266" t="s">
        <v>966</v>
      </c>
      <c r="C70" s="1228" t="s">
        <v>1191</v>
      </c>
      <c r="D70" s="50">
        <f>'8.2a'!J10</f>
        <v>228350</v>
      </c>
    </row>
    <row r="71" spans="1:4" ht="14.25" customHeight="1">
      <c r="A71" s="1216" t="s">
        <v>986</v>
      </c>
      <c r="B71" s="266"/>
      <c r="C71" s="65"/>
      <c r="D71" s="50"/>
    </row>
    <row r="72" spans="1:4" ht="14.25" customHeight="1">
      <c r="A72" s="1217" t="s">
        <v>987</v>
      </c>
      <c r="B72" s="266" t="str">
        <f>District!$F$3</f>
        <v>2013-14</v>
      </c>
      <c r="C72" s="65" t="s">
        <v>955</v>
      </c>
      <c r="D72" s="50">
        <f>'7.1'!C50</f>
        <v>575</v>
      </c>
    </row>
    <row r="73" spans="1:4" ht="14.25" customHeight="1">
      <c r="A73" s="1217" t="s">
        <v>988</v>
      </c>
      <c r="B73" s="266" t="s">
        <v>966</v>
      </c>
      <c r="C73" s="65" t="s">
        <v>966</v>
      </c>
      <c r="D73" s="50">
        <f>'7.1'!D50</f>
        <v>205334</v>
      </c>
    </row>
    <row r="74" spans="1:4" ht="14.25" customHeight="1">
      <c r="A74" s="1217" t="s">
        <v>989</v>
      </c>
      <c r="B74" s="266" t="s">
        <v>966</v>
      </c>
      <c r="C74" s="1228" t="s">
        <v>796</v>
      </c>
      <c r="D74" s="50">
        <f>'7.1'!E50</f>
        <v>3597631</v>
      </c>
    </row>
    <row r="75" spans="1:4" ht="14.25" customHeight="1">
      <c r="A75" s="1216" t="s">
        <v>126</v>
      </c>
      <c r="B75" s="266"/>
      <c r="C75" s="65"/>
      <c r="D75" s="50"/>
    </row>
    <row r="76" spans="1:4" ht="14.25" customHeight="1">
      <c r="A76" s="1217" t="s">
        <v>990</v>
      </c>
      <c r="B76" s="1229" t="str">
        <f>"June, "&amp; '7.2,7.3'!$A$11</f>
        <v>June, 2014</v>
      </c>
      <c r="C76" s="65" t="s">
        <v>955</v>
      </c>
      <c r="D76" s="631">
        <f>'7.2,7.3'!N11</f>
        <v>145</v>
      </c>
    </row>
    <row r="77" spans="1:4" ht="14.25" customHeight="1">
      <c r="A77" s="1216" t="s">
        <v>991</v>
      </c>
      <c r="B77" s="266"/>
      <c r="C77" s="65"/>
      <c r="D77" s="50"/>
    </row>
    <row r="78" spans="1:4" ht="14.25" customHeight="1">
      <c r="A78" s="1217" t="s">
        <v>992</v>
      </c>
      <c r="B78" s="266" t="str">
        <f>District!$F$3</f>
        <v>2013-14</v>
      </c>
      <c r="C78" s="65" t="s">
        <v>955</v>
      </c>
      <c r="D78" s="50">
        <f>'12.5,12.6,12.7'!B21</f>
        <v>443</v>
      </c>
    </row>
    <row r="79" spans="1:4" ht="14.25" customHeight="1">
      <c r="A79" s="1217" t="s">
        <v>997</v>
      </c>
      <c r="B79" s="266" t="s">
        <v>966</v>
      </c>
      <c r="C79" s="65" t="s">
        <v>966</v>
      </c>
      <c r="D79" s="50" t="str">
        <f>'12.5,12.6,12.7'!H21</f>
        <v>-</v>
      </c>
    </row>
    <row r="80" spans="1:4" ht="14.25" customHeight="1">
      <c r="A80" s="1217" t="s">
        <v>1670</v>
      </c>
      <c r="B80" s="266" t="s">
        <v>966</v>
      </c>
      <c r="C80" s="65" t="s">
        <v>1603</v>
      </c>
      <c r="D80" s="1211">
        <f>SUM('12.1,12.2'!B11,'12.1,12.2'!E11,'12.1,12.2'!H11,'12.3,12.4'!E10,'12.1,12.2'!K11)</f>
        <v>4312.41</v>
      </c>
    </row>
    <row r="81" spans="1:4" ht="14.25" customHeight="1">
      <c r="A81" s="1217" t="s">
        <v>1671</v>
      </c>
      <c r="B81" s="266" t="s">
        <v>966</v>
      </c>
      <c r="C81" s="65" t="s">
        <v>966</v>
      </c>
      <c r="D81" s="1211">
        <f>SUM('12.1,12.2'!C11,'12.1,12.2'!F11,'12.1,12.2'!I11,'12.3,12.4'!G10)</f>
        <v>4558.6400000000003</v>
      </c>
    </row>
    <row r="82" spans="1:4" ht="14.25" customHeight="1">
      <c r="A82" s="1217" t="s">
        <v>701</v>
      </c>
      <c r="B82" s="266" t="s">
        <v>966</v>
      </c>
      <c r="C82" s="65" t="s">
        <v>955</v>
      </c>
      <c r="D82" s="50">
        <f>'12.3,12.4'!K28</f>
        <v>109458</v>
      </c>
    </row>
    <row r="83" spans="1:4" ht="14.25" customHeight="1">
      <c r="A83" s="1216" t="s">
        <v>1000</v>
      </c>
      <c r="B83" s="266"/>
      <c r="C83" s="65"/>
      <c r="D83" s="50"/>
    </row>
    <row r="84" spans="1:4" ht="14.25" customHeight="1">
      <c r="A84" s="1217" t="s">
        <v>906</v>
      </c>
      <c r="B84" s="266" t="s">
        <v>966</v>
      </c>
      <c r="C84" s="1228" t="s">
        <v>796</v>
      </c>
      <c r="D84" s="50">
        <f>'15.2'!E10</f>
        <v>1290750</v>
      </c>
    </row>
    <row r="85" spans="1:4" ht="14.25" customHeight="1">
      <c r="A85" s="1230" t="s">
        <v>1669</v>
      </c>
      <c r="B85" s="267" t="s">
        <v>966</v>
      </c>
      <c r="C85" s="1231" t="s">
        <v>966</v>
      </c>
      <c r="D85" s="48">
        <f>'15.1'!L10</f>
        <v>2304519</v>
      </c>
    </row>
    <row r="86" spans="1:4">
      <c r="A86" s="1232"/>
      <c r="B86" s="107"/>
      <c r="C86" s="107"/>
      <c r="D86" s="107"/>
    </row>
    <row r="88" spans="1:4" ht="15.75" hidden="1">
      <c r="A88" s="1386" t="s">
        <v>591</v>
      </c>
      <c r="B88" s="1386"/>
      <c r="C88" s="1386"/>
    </row>
    <row r="89" spans="1:4" hidden="1">
      <c r="A89" s="1233" t="s">
        <v>502</v>
      </c>
      <c r="B89" s="1234" t="s">
        <v>592</v>
      </c>
    </row>
    <row r="90" spans="1:4" hidden="1">
      <c r="A90" s="1233" t="s">
        <v>490</v>
      </c>
      <c r="B90" s="1234" t="s">
        <v>593</v>
      </c>
    </row>
    <row r="91" spans="1:4" hidden="1">
      <c r="A91" s="1235" t="s">
        <v>491</v>
      </c>
      <c r="B91" s="1234" t="s">
        <v>594</v>
      </c>
    </row>
    <row r="92" spans="1:4" hidden="1">
      <c r="A92" s="1235" t="s">
        <v>492</v>
      </c>
      <c r="B92" s="1234" t="s">
        <v>595</v>
      </c>
    </row>
    <row r="93" spans="1:4" hidden="1">
      <c r="A93" s="1235" t="s">
        <v>493</v>
      </c>
      <c r="B93" s="1234" t="s">
        <v>596</v>
      </c>
    </row>
    <row r="94" spans="1:4" hidden="1">
      <c r="A94" s="1235" t="s">
        <v>494</v>
      </c>
      <c r="B94" s="1234" t="s">
        <v>141</v>
      </c>
    </row>
    <row r="95" spans="1:4" hidden="1">
      <c r="A95" s="1235" t="s">
        <v>495</v>
      </c>
      <c r="B95" s="1234" t="s">
        <v>597</v>
      </c>
    </row>
    <row r="96" spans="1:4" hidden="1">
      <c r="A96" s="1235" t="s">
        <v>496</v>
      </c>
      <c r="B96" s="1234" t="s">
        <v>598</v>
      </c>
    </row>
    <row r="97" spans="1:2" hidden="1">
      <c r="A97" s="1235" t="s">
        <v>497</v>
      </c>
      <c r="B97" s="1234" t="s">
        <v>958</v>
      </c>
    </row>
    <row r="98" spans="1:2" hidden="1">
      <c r="A98" s="1235" t="s">
        <v>498</v>
      </c>
      <c r="B98" s="1234" t="s">
        <v>959</v>
      </c>
    </row>
    <row r="99" spans="1:2" hidden="1">
      <c r="A99" s="1235" t="s">
        <v>499</v>
      </c>
      <c r="B99" s="1234" t="s">
        <v>484</v>
      </c>
    </row>
    <row r="100" spans="1:2" hidden="1">
      <c r="A100" s="1235" t="s">
        <v>500</v>
      </c>
      <c r="B100" s="1234" t="s">
        <v>1062</v>
      </c>
    </row>
    <row r="101" spans="1:2" hidden="1">
      <c r="A101" s="1235" t="s">
        <v>501</v>
      </c>
      <c r="B101" s="1234" t="s">
        <v>1061</v>
      </c>
    </row>
    <row r="102" spans="1:2">
      <c r="A102" s="261"/>
    </row>
    <row r="128" spans="1:4">
      <c r="A128" s="1388" t="s">
        <v>1189</v>
      </c>
      <c r="B128" s="1388"/>
      <c r="C128" s="1388"/>
      <c r="D128" s="1388"/>
    </row>
  </sheetData>
  <mergeCells count="5">
    <mergeCell ref="A1:D1"/>
    <mergeCell ref="A88:C88"/>
    <mergeCell ref="A56:D56"/>
    <mergeCell ref="A128:D128"/>
    <mergeCell ref="A55:D55"/>
  </mergeCells>
  <phoneticPr fontId="0" type="noConversion"/>
  <printOptions horizontalCentered="1"/>
  <pageMargins left="0.1" right="0.1" top="0.73" bottom="0.1" header="0.5" footer="0.1"/>
  <pageSetup paperSize="9" orientation="portrait" blackAndWhite="1" r:id="rId1"/>
  <headerFooter alignWithMargins="0"/>
  <rowBreaks count="1" manualBreakCount="1">
    <brk id="55" max="16383" man="1"/>
  </rowBreaks>
  <legacyDrawing r:id="rId2"/>
  <oleObjects>
    <oleObject progId="Word.Document.8" shapeId="16385" r:id="rId3"/>
  </oleObjects>
</worksheet>
</file>

<file path=xl/worksheets/sheet50.xml><?xml version="1.0" encoding="utf-8"?>
<worksheet xmlns="http://schemas.openxmlformats.org/spreadsheetml/2006/main" xmlns:r="http://schemas.openxmlformats.org/officeDocument/2006/relationships">
  <dimension ref="A1:G38"/>
  <sheetViews>
    <sheetView topLeftCell="A10" workbookViewId="0">
      <selection activeCell="F14" sqref="F14"/>
    </sheetView>
  </sheetViews>
  <sheetFormatPr defaultRowHeight="12.75"/>
  <cols>
    <col min="1" max="1" width="15.140625" customWidth="1"/>
    <col min="2" max="2" width="14.42578125" customWidth="1"/>
    <col min="3" max="3" width="16.140625" customWidth="1"/>
    <col min="4" max="4" width="14.5703125" customWidth="1"/>
    <col min="5" max="5" width="17.28515625" customWidth="1"/>
    <col min="6" max="6" width="14.140625" customWidth="1"/>
  </cols>
  <sheetData>
    <row r="1" spans="1:7" ht="14.25" customHeight="1">
      <c r="A1" s="1659" t="s">
        <v>674</v>
      </c>
      <c r="B1" s="1659"/>
      <c r="C1" s="1659"/>
      <c r="D1" s="1659"/>
      <c r="E1" s="1659"/>
    </row>
    <row r="2" spans="1:7" ht="18" customHeight="1">
      <c r="A2" s="1660" t="str">
        <f>CONCATENATE("Fertilizer Consumed in the district of ",District!A1)</f>
        <v>Fertilizer Consumed in the district of Purulia</v>
      </c>
      <c r="B2" s="1660"/>
      <c r="C2" s="1660"/>
      <c r="D2" s="1660"/>
      <c r="E2" s="1660"/>
      <c r="F2" s="24"/>
      <c r="G2" s="24"/>
    </row>
    <row r="3" spans="1:7" ht="15" customHeight="1">
      <c r="D3" s="1674" t="s">
        <v>1541</v>
      </c>
      <c r="E3" s="1674"/>
      <c r="F3" s="6"/>
      <c r="G3" s="6"/>
    </row>
    <row r="4" spans="1:7" ht="18" customHeight="1">
      <c r="A4" s="488" t="s">
        <v>951</v>
      </c>
      <c r="B4" s="488" t="s">
        <v>332</v>
      </c>
      <c r="C4" s="488" t="s">
        <v>333</v>
      </c>
      <c r="D4" s="488" t="s">
        <v>334</v>
      </c>
      <c r="E4" s="218" t="s">
        <v>1035</v>
      </c>
      <c r="F4" s="6"/>
      <c r="G4" s="6"/>
    </row>
    <row r="5" spans="1:7" ht="15.75" customHeight="1">
      <c r="A5" s="262" t="s">
        <v>1008</v>
      </c>
      <c r="B5" s="262" t="s">
        <v>1009</v>
      </c>
      <c r="C5" s="262" t="s">
        <v>1010</v>
      </c>
      <c r="D5" s="262" t="s">
        <v>1011</v>
      </c>
      <c r="E5" s="262" t="s">
        <v>1015</v>
      </c>
      <c r="F5" s="25"/>
      <c r="G5" s="25"/>
    </row>
    <row r="6" spans="1:7" ht="21.95" customHeight="1">
      <c r="A6" s="342" t="s">
        <v>1526</v>
      </c>
      <c r="B6" s="201">
        <v>9.1</v>
      </c>
      <c r="C6" s="221">
        <v>5.4</v>
      </c>
      <c r="D6" s="201">
        <v>4</v>
      </c>
      <c r="E6" s="222">
        <f>SUM(B6:D6)</f>
        <v>18.5</v>
      </c>
    </row>
    <row r="7" spans="1:7" ht="21.95" customHeight="1">
      <c r="A7" s="342" t="s">
        <v>1525</v>
      </c>
      <c r="B7" s="201">
        <v>10.4</v>
      </c>
      <c r="C7" s="221">
        <v>4.7</v>
      </c>
      <c r="D7" s="201">
        <v>3</v>
      </c>
      <c r="E7" s="222">
        <f>SUM(B7:D7)</f>
        <v>18.100000000000001</v>
      </c>
    </row>
    <row r="8" spans="1:7" ht="21.95" customHeight="1">
      <c r="A8" s="1178" t="s">
        <v>1051</v>
      </c>
      <c r="B8" s="201">
        <v>18.399999999999999</v>
      </c>
      <c r="C8" s="221">
        <v>7.8</v>
      </c>
      <c r="D8" s="201">
        <v>2.2000000000000002</v>
      </c>
      <c r="E8" s="222">
        <f>SUM(B8:D8)</f>
        <v>28.4</v>
      </c>
    </row>
    <row r="9" spans="1:7" ht="21.95" customHeight="1">
      <c r="A9" s="342" t="s">
        <v>1250</v>
      </c>
      <c r="B9" s="201">
        <v>12.7</v>
      </c>
      <c r="C9" s="221">
        <v>5.4</v>
      </c>
      <c r="D9" s="201">
        <v>2.5</v>
      </c>
      <c r="E9" s="222">
        <f>SUM(B9:D9)</f>
        <v>20.6</v>
      </c>
      <c r="F9" s="6"/>
      <c r="G9" s="6"/>
    </row>
    <row r="10" spans="1:7" ht="21.95" customHeight="1">
      <c r="A10" s="343" t="s">
        <v>527</v>
      </c>
      <c r="B10" s="155">
        <v>9.4190000000000005</v>
      </c>
      <c r="C10" s="155">
        <v>1.3029999999999999</v>
      </c>
      <c r="D10" s="155">
        <v>1.139</v>
      </c>
      <c r="E10" s="471">
        <f>SUM(B10:D10)</f>
        <v>11.861000000000001</v>
      </c>
      <c r="F10" s="6"/>
      <c r="G10" s="6"/>
    </row>
    <row r="11" spans="1:7" ht="19.5" customHeight="1">
      <c r="A11" s="1239"/>
      <c r="C11" s="264"/>
      <c r="D11" s="265"/>
      <c r="E11" s="566" t="s">
        <v>511</v>
      </c>
    </row>
    <row r="12" spans="1:7" ht="15" customHeight="1">
      <c r="C12" s="71"/>
      <c r="E12" s="154"/>
    </row>
    <row r="13" spans="1:7" ht="15" customHeight="1">
      <c r="A13" s="1658" t="s">
        <v>672</v>
      </c>
      <c r="B13" s="1658"/>
      <c r="C13" s="1658"/>
      <c r="D13" s="1658"/>
      <c r="E13" s="1658"/>
      <c r="F13" s="254"/>
    </row>
    <row r="14" spans="1:7">
      <c r="A14" s="1670" t="str">
        <f>CONCATENATE("Warehousing and Cold Storage Facilities available to Cultivators 
in the district of ",District!A1)</f>
        <v>Warehousing and Cold Storage Facilities available to Cultivators 
in the district of Purulia</v>
      </c>
      <c r="B14" s="1670"/>
      <c r="C14" s="1670"/>
      <c r="D14" s="1670"/>
      <c r="E14" s="1670"/>
      <c r="F14" s="1670"/>
    </row>
    <row r="15" spans="1:7" ht="19.5" customHeight="1">
      <c r="A15" s="1670"/>
      <c r="B15" s="1670"/>
      <c r="C15" s="1670"/>
      <c r="D15" s="1670"/>
      <c r="E15" s="1670"/>
      <c r="F15" s="1670"/>
    </row>
    <row r="16" spans="1:7" ht="14.25" customHeight="1">
      <c r="A16" s="1661" t="s">
        <v>951</v>
      </c>
      <c r="B16" s="1671" t="s">
        <v>785</v>
      </c>
      <c r="C16" s="1671"/>
      <c r="D16" s="1663" t="s">
        <v>786</v>
      </c>
      <c r="E16" s="1667"/>
      <c r="F16" s="1668" t="s">
        <v>1618</v>
      </c>
      <c r="G16" s="305"/>
    </row>
    <row r="17" spans="1:7" ht="30" customHeight="1">
      <c r="A17" s="1666"/>
      <c r="B17" s="300" t="s">
        <v>955</v>
      </c>
      <c r="C17" s="61" t="s">
        <v>1612</v>
      </c>
      <c r="D17" s="300" t="s">
        <v>955</v>
      </c>
      <c r="E17" s="61" t="s">
        <v>1612</v>
      </c>
      <c r="F17" s="1669"/>
      <c r="G17" s="305"/>
    </row>
    <row r="18" spans="1:7" ht="14.25" customHeight="1">
      <c r="A18" s="293" t="s">
        <v>1008</v>
      </c>
      <c r="B18" s="293" t="s">
        <v>1009</v>
      </c>
      <c r="C18" s="278" t="s">
        <v>1010</v>
      </c>
      <c r="D18" s="293" t="s">
        <v>1011</v>
      </c>
      <c r="E18" s="279" t="s">
        <v>1015</v>
      </c>
      <c r="F18" s="325" t="s">
        <v>1016</v>
      </c>
      <c r="G18" s="305"/>
    </row>
    <row r="19" spans="1:7" ht="21.95" customHeight="1">
      <c r="A19" s="266" t="s">
        <v>1526</v>
      </c>
      <c r="B19" s="99">
        <v>9</v>
      </c>
      <c r="C19" s="31">
        <v>6950</v>
      </c>
      <c r="D19" s="99">
        <v>2</v>
      </c>
      <c r="E19" s="31">
        <v>12000</v>
      </c>
      <c r="F19" s="99">
        <v>90000</v>
      </c>
    </row>
    <row r="20" spans="1:7" ht="21.95" customHeight="1">
      <c r="A20" s="266" t="s">
        <v>1525</v>
      </c>
      <c r="B20" s="99">
        <v>9</v>
      </c>
      <c r="C20" s="31">
        <v>6950</v>
      </c>
      <c r="D20" s="99">
        <v>2</v>
      </c>
      <c r="E20" s="31">
        <v>12000</v>
      </c>
      <c r="F20" s="99">
        <v>80500</v>
      </c>
    </row>
    <row r="21" spans="1:7" ht="21.95" customHeight="1">
      <c r="A21" s="266" t="s">
        <v>1051</v>
      </c>
      <c r="B21" s="99">
        <v>9</v>
      </c>
      <c r="C21" s="31">
        <v>6950</v>
      </c>
      <c r="D21" s="99">
        <v>2</v>
      </c>
      <c r="E21" s="31">
        <v>12000</v>
      </c>
      <c r="F21" s="99">
        <v>95000</v>
      </c>
    </row>
    <row r="22" spans="1:7" ht="21.95" customHeight="1">
      <c r="A22" s="266" t="s">
        <v>1250</v>
      </c>
      <c r="B22" s="99">
        <v>9</v>
      </c>
      <c r="C22" s="31">
        <v>6950</v>
      </c>
      <c r="D22" s="99">
        <v>2</v>
      </c>
      <c r="E22" s="31">
        <v>11180</v>
      </c>
      <c r="F22" s="99">
        <v>250000</v>
      </c>
    </row>
    <row r="23" spans="1:7" ht="21.95" customHeight="1">
      <c r="A23" s="267" t="s">
        <v>527</v>
      </c>
      <c r="B23" s="48">
        <v>9</v>
      </c>
      <c r="C23" s="89">
        <v>6950</v>
      </c>
      <c r="D23" s="89">
        <v>2</v>
      </c>
      <c r="E23" s="89">
        <v>11180</v>
      </c>
      <c r="F23" s="89">
        <v>300000</v>
      </c>
    </row>
    <row r="24" spans="1:7" ht="12.75" customHeight="1">
      <c r="A24" s="224"/>
      <c r="B24" s="225"/>
      <c r="C24" s="225"/>
      <c r="D24" s="567" t="s">
        <v>776</v>
      </c>
      <c r="E24" s="568" t="s">
        <v>783</v>
      </c>
      <c r="F24" s="305"/>
    </row>
    <row r="25" spans="1:7">
      <c r="A25" s="210"/>
      <c r="B25" s="210"/>
      <c r="C25" s="210"/>
      <c r="D25" s="567" t="s">
        <v>782</v>
      </c>
      <c r="E25" s="569" t="s">
        <v>1304</v>
      </c>
      <c r="F25" s="305"/>
    </row>
    <row r="26" spans="1:7">
      <c r="A26" s="211"/>
      <c r="B26" s="211"/>
      <c r="C26" s="211"/>
      <c r="D26" s="560"/>
      <c r="E26" s="569"/>
      <c r="F26" s="305"/>
    </row>
    <row r="27" spans="1:7" ht="14.25" customHeight="1">
      <c r="A27" s="189"/>
      <c r="B27" s="189"/>
      <c r="C27" s="189"/>
      <c r="D27" s="305"/>
      <c r="E27" s="351"/>
      <c r="F27" s="305"/>
    </row>
    <row r="28" spans="1:7" ht="14.25" customHeight="1">
      <c r="A28" s="1672" t="s">
        <v>673</v>
      </c>
      <c r="B28" s="1672"/>
      <c r="C28" s="1672"/>
      <c r="D28" s="1672"/>
      <c r="E28" s="1672"/>
      <c r="F28" s="72"/>
    </row>
    <row r="29" spans="1:7" ht="35.25" customHeight="1">
      <c r="A29" s="1673" t="str">
        <f>CONCATENATE("Estimated Production of Milk (Cow, Buffalo &amp; Goat) 
and Egg (Hen &amp; Duck) in the district of ",District!A1,"  and  West Bengal")</f>
        <v>Estimated Production of Milk (Cow, Buffalo &amp; Goat) 
and Egg (Hen &amp; Duck) in the district of Purulia  and  West Bengal</v>
      </c>
      <c r="B29" s="1673"/>
      <c r="C29" s="1673"/>
      <c r="D29" s="1673"/>
      <c r="E29" s="1673"/>
    </row>
    <row r="30" spans="1:7" ht="15" customHeight="1">
      <c r="A30" s="1661" t="s">
        <v>951</v>
      </c>
      <c r="B30" s="1663" t="s">
        <v>787</v>
      </c>
      <c r="C30" s="1667"/>
      <c r="D30" s="1663" t="s">
        <v>788</v>
      </c>
      <c r="E30" s="1667"/>
    </row>
    <row r="31" spans="1:7" ht="15" customHeight="1">
      <c r="A31" s="1666"/>
      <c r="B31" s="322" t="s">
        <v>1547</v>
      </c>
      <c r="C31" s="300" t="s">
        <v>1548</v>
      </c>
      <c r="D31" s="322" t="s">
        <v>1547</v>
      </c>
      <c r="E31" s="300" t="s">
        <v>1548</v>
      </c>
    </row>
    <row r="32" spans="1:7" ht="15" customHeight="1">
      <c r="A32" s="293" t="s">
        <v>1008</v>
      </c>
      <c r="B32" s="277" t="s">
        <v>1009</v>
      </c>
      <c r="C32" s="293" t="s">
        <v>1010</v>
      </c>
      <c r="D32" s="277" t="s">
        <v>1011</v>
      </c>
      <c r="E32" s="293" t="s">
        <v>1015</v>
      </c>
    </row>
    <row r="33" spans="1:5" ht="24" customHeight="1">
      <c r="A33" s="377" t="s">
        <v>1526</v>
      </c>
      <c r="B33" s="35">
        <v>54</v>
      </c>
      <c r="C33" s="31">
        <v>4300</v>
      </c>
      <c r="D33" s="35">
        <v>67675</v>
      </c>
      <c r="E33" s="50">
        <v>3697839</v>
      </c>
    </row>
    <row r="34" spans="1:5" ht="24" customHeight="1">
      <c r="A34" s="342" t="s">
        <v>347</v>
      </c>
      <c r="B34" s="35">
        <v>55</v>
      </c>
      <c r="C34" s="31">
        <v>4472</v>
      </c>
      <c r="D34" s="35">
        <v>71531</v>
      </c>
      <c r="E34" s="50">
        <v>4000869</v>
      </c>
    </row>
    <row r="35" spans="1:5" ht="24" customHeight="1">
      <c r="A35" s="1178" t="s">
        <v>1051</v>
      </c>
      <c r="B35" s="35">
        <v>56</v>
      </c>
      <c r="C35" s="31">
        <v>4660</v>
      </c>
      <c r="D35" s="35">
        <v>75280</v>
      </c>
      <c r="E35" s="50">
        <v>4337272</v>
      </c>
    </row>
    <row r="36" spans="1:5" ht="24" customHeight="1">
      <c r="A36" s="342" t="s">
        <v>1250</v>
      </c>
      <c r="B36" s="35">
        <v>57</v>
      </c>
      <c r="C36" s="31">
        <v>4860</v>
      </c>
      <c r="D36" s="35">
        <v>79615</v>
      </c>
      <c r="E36" s="50">
        <v>4707268</v>
      </c>
    </row>
    <row r="37" spans="1:5" ht="24" customHeight="1">
      <c r="A37" s="343" t="s">
        <v>527</v>
      </c>
      <c r="B37" s="86">
        <v>55</v>
      </c>
      <c r="C37" s="48">
        <v>4906</v>
      </c>
      <c r="D37" s="86">
        <v>78199</v>
      </c>
      <c r="E37" s="48">
        <v>4746013</v>
      </c>
    </row>
    <row r="38" spans="1:5">
      <c r="A38" s="1199"/>
      <c r="B38" s="663"/>
      <c r="C38" s="663"/>
      <c r="D38" s="663"/>
      <c r="E38" s="582" t="s">
        <v>1305</v>
      </c>
    </row>
  </sheetData>
  <mergeCells count="14">
    <mergeCell ref="A2:E2"/>
    <mergeCell ref="A1:E1"/>
    <mergeCell ref="A13:E13"/>
    <mergeCell ref="A28:E28"/>
    <mergeCell ref="A29:E29"/>
    <mergeCell ref="D3:E3"/>
    <mergeCell ref="A30:A31"/>
    <mergeCell ref="B30:C30"/>
    <mergeCell ref="D30:E30"/>
    <mergeCell ref="F16:F17"/>
    <mergeCell ref="A14:F15"/>
    <mergeCell ref="A16:A17"/>
    <mergeCell ref="B16:C16"/>
    <mergeCell ref="D16:E16"/>
  </mergeCells>
  <phoneticPr fontId="0" type="noConversion"/>
  <printOptions horizontalCentered="1"/>
  <pageMargins left="0.1" right="0.1" top="0.75" bottom="0.1" header="0.73" footer="0.1"/>
  <pageSetup paperSize="9" orientation="portrait" blackAndWhite="1" r:id="rId1"/>
  <headerFooter alignWithMargins="0"/>
</worksheet>
</file>

<file path=xl/worksheets/sheet51.xml><?xml version="1.0" encoding="utf-8"?>
<worksheet xmlns="http://schemas.openxmlformats.org/spreadsheetml/2006/main" xmlns:r="http://schemas.openxmlformats.org/officeDocument/2006/relationships">
  <dimension ref="A1:G41"/>
  <sheetViews>
    <sheetView workbookViewId="0">
      <selection activeCell="F14" sqref="F14"/>
    </sheetView>
  </sheetViews>
  <sheetFormatPr defaultRowHeight="12.75"/>
  <cols>
    <col min="1" max="1" width="3.42578125" customWidth="1"/>
    <col min="2" max="2" width="17.85546875" customWidth="1"/>
    <col min="3" max="3" width="13.28515625" customWidth="1"/>
    <col min="4" max="4" width="13.7109375" customWidth="1"/>
    <col min="5" max="5" width="13.28515625" customWidth="1"/>
    <col min="6" max="6" width="13.5703125" customWidth="1"/>
    <col min="7" max="7" width="13.85546875" customWidth="1"/>
  </cols>
  <sheetData>
    <row r="1" spans="1:7" ht="24" customHeight="1">
      <c r="A1" s="1659" t="s">
        <v>675</v>
      </c>
      <c r="B1" s="1659"/>
      <c r="C1" s="1659"/>
      <c r="D1" s="1659"/>
      <c r="E1" s="1659"/>
      <c r="F1" s="1659"/>
      <c r="G1" s="1659"/>
    </row>
    <row r="2" spans="1:7" ht="19.5" customHeight="1">
      <c r="A2" s="1676" t="str">
        <f>CONCATENATE("Live-stock and Poultry in the district of ",District!A1)</f>
        <v>Live-stock and Poultry in the district of Purulia</v>
      </c>
      <c r="B2" s="1676"/>
      <c r="C2" s="1676"/>
      <c r="D2" s="1676"/>
      <c r="E2" s="1676"/>
      <c r="F2" s="1676"/>
      <c r="G2" s="1676"/>
    </row>
    <row r="3" spans="1:7" ht="13.5" customHeight="1">
      <c r="G3" s="338" t="s">
        <v>1058</v>
      </c>
    </row>
    <row r="4" spans="1:7" ht="20.100000000000001" customHeight="1">
      <c r="A4" s="1663" t="s">
        <v>1116</v>
      </c>
      <c r="B4" s="1667"/>
      <c r="C4" s="1312">
        <v>1994</v>
      </c>
      <c r="D4" s="1312">
        <v>1997</v>
      </c>
      <c r="E4" s="1312">
        <v>2003</v>
      </c>
      <c r="F4" s="1311">
        <v>2007</v>
      </c>
      <c r="G4" s="61">
        <v>2012</v>
      </c>
    </row>
    <row r="5" spans="1:7" ht="20.100000000000001" customHeight="1">
      <c r="A5" s="1675" t="s">
        <v>1008</v>
      </c>
      <c r="B5" s="1667"/>
      <c r="C5" s="293" t="s">
        <v>1009</v>
      </c>
      <c r="D5" s="293" t="s">
        <v>1010</v>
      </c>
      <c r="E5" s="293" t="s">
        <v>1011</v>
      </c>
      <c r="F5" s="293" t="s">
        <v>1015</v>
      </c>
      <c r="G5" s="279" t="s">
        <v>1016</v>
      </c>
    </row>
    <row r="6" spans="1:7" ht="24" customHeight="1">
      <c r="A6" s="332">
        <v>1</v>
      </c>
      <c r="B6" s="478" t="s">
        <v>1621</v>
      </c>
      <c r="C6" s="116"/>
      <c r="D6" s="116"/>
      <c r="E6" s="116"/>
      <c r="F6" s="116"/>
      <c r="G6" s="117"/>
    </row>
    <row r="7" spans="1:7" ht="24" customHeight="1">
      <c r="A7" s="118"/>
      <c r="B7" s="110" t="s">
        <v>0</v>
      </c>
      <c r="C7" s="99">
        <v>219017</v>
      </c>
      <c r="D7" s="99">
        <v>225504</v>
      </c>
      <c r="E7" s="99">
        <v>229593</v>
      </c>
      <c r="F7" s="1313">
        <v>271775</v>
      </c>
      <c r="G7" s="50">
        <v>213187</v>
      </c>
    </row>
    <row r="8" spans="1:7" ht="24" customHeight="1">
      <c r="A8" s="118"/>
      <c r="B8" s="110" t="s">
        <v>789</v>
      </c>
      <c r="C8" s="99">
        <v>373618</v>
      </c>
      <c r="D8" s="99">
        <v>384724</v>
      </c>
      <c r="E8" s="99">
        <v>388359</v>
      </c>
      <c r="F8" s="1313">
        <v>395446</v>
      </c>
      <c r="G8" s="50">
        <v>410679</v>
      </c>
    </row>
    <row r="9" spans="1:7" ht="24" customHeight="1">
      <c r="A9" s="118"/>
      <c r="B9" s="110" t="s">
        <v>1</v>
      </c>
      <c r="C9" s="99">
        <v>240090</v>
      </c>
      <c r="D9" s="99">
        <v>247214</v>
      </c>
      <c r="E9" s="99">
        <v>232587</v>
      </c>
      <c r="F9" s="1313">
        <v>276952</v>
      </c>
      <c r="G9" s="50">
        <v>212243</v>
      </c>
    </row>
    <row r="10" spans="1:7" ht="24" customHeight="1">
      <c r="A10" s="472"/>
      <c r="B10" s="479" t="s">
        <v>790</v>
      </c>
      <c r="C10" s="482">
        <f>SUM(C6:C9)</f>
        <v>832725</v>
      </c>
      <c r="D10" s="482">
        <f>SUM(D6:D9)</f>
        <v>857442</v>
      </c>
      <c r="E10" s="482">
        <f>SUM(E6:E9)</f>
        <v>850539</v>
      </c>
      <c r="F10" s="473">
        <f>SUM(F6:F9)</f>
        <v>944173</v>
      </c>
      <c r="G10" s="473">
        <f>SUM(G6:G9)</f>
        <v>836109</v>
      </c>
    </row>
    <row r="11" spans="1:7" ht="24" customHeight="1">
      <c r="A11" s="352">
        <v>2</v>
      </c>
      <c r="B11" s="478" t="s">
        <v>2</v>
      </c>
      <c r="C11" s="99"/>
      <c r="D11" s="99"/>
      <c r="E11" s="99"/>
      <c r="F11" s="1313"/>
      <c r="G11" s="50"/>
    </row>
    <row r="12" spans="1:7" ht="24" customHeight="1">
      <c r="A12" s="118"/>
      <c r="B12" s="110" t="s">
        <v>0</v>
      </c>
      <c r="C12" s="99">
        <v>18571</v>
      </c>
      <c r="D12" s="99">
        <v>18806</v>
      </c>
      <c r="E12" s="99">
        <v>18557</v>
      </c>
      <c r="F12" s="1313">
        <v>12907</v>
      </c>
      <c r="G12" s="50">
        <v>10781</v>
      </c>
    </row>
    <row r="13" spans="1:7" ht="24" customHeight="1">
      <c r="A13" s="118"/>
      <c r="B13" s="110" t="s">
        <v>789</v>
      </c>
      <c r="C13" s="99">
        <v>117018</v>
      </c>
      <c r="D13" s="99">
        <v>118496</v>
      </c>
      <c r="E13" s="99">
        <v>94250</v>
      </c>
      <c r="F13" s="1313">
        <v>87669</v>
      </c>
      <c r="G13" s="50">
        <v>53286</v>
      </c>
    </row>
    <row r="14" spans="1:7" ht="24" customHeight="1">
      <c r="A14" s="118"/>
      <c r="B14" s="110" t="s">
        <v>1</v>
      </c>
      <c r="C14" s="99">
        <v>24970</v>
      </c>
      <c r="D14" s="99">
        <v>25293</v>
      </c>
      <c r="E14" s="99">
        <v>18676</v>
      </c>
      <c r="F14" s="1310" t="s">
        <v>970</v>
      </c>
      <c r="G14" s="1309">
        <v>11028</v>
      </c>
    </row>
    <row r="15" spans="1:7" ht="24" customHeight="1">
      <c r="A15" s="474"/>
      <c r="B15" s="479" t="s">
        <v>791</v>
      </c>
      <c r="C15" s="482">
        <f>SUM(C12:C14)</f>
        <v>160559</v>
      </c>
      <c r="D15" s="482">
        <f>SUM(D12:D14)</f>
        <v>162595</v>
      </c>
      <c r="E15" s="482">
        <f>SUM(E12:E14)</f>
        <v>131483</v>
      </c>
      <c r="F15" s="473">
        <f>SUM(F12:F14)</f>
        <v>100576</v>
      </c>
      <c r="G15" s="473">
        <f>SUM(G12:G14)</f>
        <v>75095</v>
      </c>
    </row>
    <row r="16" spans="1:7" ht="24" customHeight="1">
      <c r="A16" s="352">
        <v>3</v>
      </c>
      <c r="B16" s="480" t="s">
        <v>792</v>
      </c>
      <c r="C16" s="99">
        <v>300503</v>
      </c>
      <c r="D16" s="99">
        <v>330664</v>
      </c>
      <c r="E16" s="99">
        <v>273457</v>
      </c>
      <c r="F16" s="1313">
        <v>285383</v>
      </c>
      <c r="G16" s="50">
        <v>219975</v>
      </c>
    </row>
    <row r="17" spans="1:7" ht="24" customHeight="1">
      <c r="A17" s="352">
        <v>4</v>
      </c>
      <c r="B17" s="480" t="s">
        <v>3</v>
      </c>
      <c r="C17" s="99">
        <v>647800</v>
      </c>
      <c r="D17" s="99">
        <v>718075</v>
      </c>
      <c r="E17" s="99">
        <v>579990</v>
      </c>
      <c r="F17" s="1313">
        <v>813191</v>
      </c>
      <c r="G17" s="50">
        <v>679536</v>
      </c>
    </row>
    <row r="18" spans="1:7" ht="24" customHeight="1">
      <c r="A18" s="352">
        <v>5</v>
      </c>
      <c r="B18" s="480" t="s">
        <v>4</v>
      </c>
      <c r="C18" s="99">
        <v>5</v>
      </c>
      <c r="D18" s="99">
        <v>5</v>
      </c>
      <c r="E18" s="35">
        <v>12</v>
      </c>
      <c r="F18" s="51">
        <v>20</v>
      </c>
      <c r="G18" s="51">
        <v>7</v>
      </c>
    </row>
    <row r="19" spans="1:7" ht="24" customHeight="1">
      <c r="A19" s="332">
        <v>6</v>
      </c>
      <c r="B19" s="480" t="s">
        <v>5</v>
      </c>
      <c r="C19" s="99">
        <v>80361</v>
      </c>
      <c r="D19" s="99">
        <v>86660</v>
      </c>
      <c r="E19" s="99">
        <v>62793</v>
      </c>
      <c r="F19" s="1313">
        <v>58591</v>
      </c>
      <c r="G19" s="50">
        <v>57709</v>
      </c>
    </row>
    <row r="20" spans="1:7" ht="24" customHeight="1">
      <c r="A20" s="332">
        <v>7</v>
      </c>
      <c r="B20" s="480" t="s">
        <v>861</v>
      </c>
      <c r="C20" s="164" t="s">
        <v>970</v>
      </c>
      <c r="D20" s="164" t="s">
        <v>970</v>
      </c>
      <c r="E20" s="99">
        <v>50808</v>
      </c>
      <c r="F20" s="1313">
        <v>48713</v>
      </c>
      <c r="G20" s="50">
        <v>224</v>
      </c>
    </row>
    <row r="21" spans="1:7" ht="24" customHeight="1">
      <c r="A21" s="475"/>
      <c r="B21" s="478" t="s">
        <v>793</v>
      </c>
      <c r="C21" s="260">
        <f>SUM(C10,C15,C16:C20)</f>
        <v>2021953</v>
      </c>
      <c r="D21" s="260">
        <f>SUM(D10,D15,D16:D20)</f>
        <v>2155441</v>
      </c>
      <c r="E21" s="260">
        <f>SUM(E10,E15,E16:E20)</f>
        <v>1949082</v>
      </c>
      <c r="F21" s="1314">
        <f>SUM(F10,F15,F16:F20)</f>
        <v>2250647</v>
      </c>
      <c r="G21" s="355">
        <f>SUM(G10,G15,G16:G20)</f>
        <v>1868655</v>
      </c>
    </row>
    <row r="22" spans="1:7" ht="24" customHeight="1">
      <c r="A22" s="332">
        <v>8</v>
      </c>
      <c r="B22" s="478" t="s">
        <v>809</v>
      </c>
      <c r="C22" s="120"/>
      <c r="D22" s="120"/>
      <c r="E22" s="120"/>
      <c r="F22" s="122"/>
      <c r="G22" s="122"/>
    </row>
    <row r="23" spans="1:7" ht="24" customHeight="1">
      <c r="A23" s="118"/>
      <c r="B23" s="110" t="s">
        <v>6</v>
      </c>
      <c r="C23" s="99">
        <v>1454457</v>
      </c>
      <c r="D23" s="99">
        <v>1603280</v>
      </c>
      <c r="E23" s="99">
        <v>1591956</v>
      </c>
      <c r="F23" s="1313">
        <v>2102841</v>
      </c>
      <c r="G23" s="50">
        <v>1670714</v>
      </c>
    </row>
    <row r="24" spans="1:7" ht="24" customHeight="1">
      <c r="A24" s="118"/>
      <c r="B24" s="110" t="s">
        <v>7</v>
      </c>
      <c r="C24" s="99">
        <v>439778</v>
      </c>
      <c r="D24" s="99">
        <v>498778</v>
      </c>
      <c r="E24" s="99">
        <v>477282</v>
      </c>
      <c r="F24" s="1313">
        <v>491684</v>
      </c>
      <c r="G24" s="50">
        <v>324094</v>
      </c>
    </row>
    <row r="25" spans="1:7" ht="24" customHeight="1">
      <c r="A25" s="118"/>
      <c r="B25" s="110" t="s">
        <v>1162</v>
      </c>
      <c r="C25" s="99">
        <v>1891</v>
      </c>
      <c r="D25" s="99">
        <v>974</v>
      </c>
      <c r="E25" s="99">
        <v>4818</v>
      </c>
      <c r="F25" s="1313">
        <v>6778</v>
      </c>
      <c r="G25" s="50">
        <v>2592</v>
      </c>
    </row>
    <row r="26" spans="1:7" ht="24" customHeight="1">
      <c r="A26" s="476"/>
      <c r="B26" s="481" t="s">
        <v>794</v>
      </c>
      <c r="C26" s="483">
        <f>SUM(C23:C25)</f>
        <v>1896126</v>
      </c>
      <c r="D26" s="483">
        <f>SUM(D23:D25)</f>
        <v>2103032</v>
      </c>
      <c r="E26" s="483">
        <f>SUM(E23:E25)</f>
        <v>2074056</v>
      </c>
      <c r="F26" s="477">
        <f>SUM(F23:F25)</f>
        <v>2601303</v>
      </c>
      <c r="G26" s="477">
        <f>SUM(G23:G25)</f>
        <v>1997400</v>
      </c>
    </row>
    <row r="27" spans="1:7">
      <c r="A27" s="5"/>
      <c r="B27" s="5"/>
      <c r="E27" s="402"/>
      <c r="F27" s="402"/>
      <c r="G27" s="570" t="s">
        <v>722</v>
      </c>
    </row>
    <row r="28" spans="1:7">
      <c r="A28" s="27"/>
      <c r="B28" s="5"/>
    </row>
    <row r="29" spans="1:7">
      <c r="A29" s="27"/>
      <c r="B29" s="5"/>
    </row>
    <row r="30" spans="1:7">
      <c r="A30" s="27"/>
      <c r="B30" s="5"/>
    </row>
    <row r="31" spans="1:7">
      <c r="A31" s="5"/>
      <c r="B31" s="5"/>
    </row>
    <row r="32" spans="1:7">
      <c r="A32" s="5"/>
      <c r="B32" s="5"/>
    </row>
    <row r="33" spans="1:7">
      <c r="A33" s="27"/>
      <c r="B33" s="5"/>
    </row>
    <row r="34" spans="1:7">
      <c r="A34" s="27"/>
      <c r="B34" s="5"/>
    </row>
    <row r="35" spans="1:7">
      <c r="A35" s="27"/>
      <c r="B35" s="5"/>
    </row>
    <row r="36" spans="1:7">
      <c r="A36" s="27"/>
      <c r="B36" s="5"/>
    </row>
    <row r="37" spans="1:7">
      <c r="A37" s="27"/>
      <c r="B37" s="5"/>
    </row>
    <row r="38" spans="1:7">
      <c r="A38" s="28"/>
      <c r="B38" s="29"/>
      <c r="C38" s="6"/>
      <c r="D38" s="6"/>
      <c r="E38" s="6"/>
      <c r="F38" s="6"/>
      <c r="G38" s="6"/>
    </row>
    <row r="41" spans="1:7">
      <c r="A41" s="6"/>
      <c r="B41" s="6"/>
      <c r="C41" s="6"/>
      <c r="D41" s="6"/>
      <c r="E41" s="6"/>
      <c r="F41" s="6"/>
      <c r="G41" s="6"/>
    </row>
  </sheetData>
  <mergeCells count="4">
    <mergeCell ref="A1:G1"/>
    <mergeCell ref="A4:B4"/>
    <mergeCell ref="A5:B5"/>
    <mergeCell ref="A2:G2"/>
  </mergeCells>
  <phoneticPr fontId="0" type="noConversion"/>
  <printOptions horizontalCentered="1"/>
  <pageMargins left="0.1" right="0.1" top="1" bottom="0.1" header="0.7" footer="0.1"/>
  <pageSetup paperSize="9" orientation="portrait" blackAndWhite="1" r:id="rId1"/>
  <headerFooter alignWithMargins="0"/>
</worksheet>
</file>

<file path=xl/worksheets/sheet52.xml><?xml version="1.0" encoding="utf-8"?>
<worksheet xmlns="http://schemas.openxmlformats.org/spreadsheetml/2006/main" xmlns:r="http://schemas.openxmlformats.org/officeDocument/2006/relationships">
  <sheetPr codeName="Sheet38"/>
  <dimension ref="A1:K54"/>
  <sheetViews>
    <sheetView workbookViewId="0">
      <selection activeCell="F14" sqref="F14"/>
    </sheetView>
  </sheetViews>
  <sheetFormatPr defaultRowHeight="12.4" customHeight="1"/>
  <cols>
    <col min="1" max="1" width="18.42578125" customWidth="1"/>
    <col min="2" max="6" width="12" customWidth="1"/>
    <col min="7" max="7" width="17.28515625" customWidth="1"/>
    <col min="8" max="8" width="13.42578125" customWidth="1"/>
    <col min="9" max="9" width="13.7109375" customWidth="1"/>
    <col min="10" max="10" width="23.140625" customWidth="1"/>
  </cols>
  <sheetData>
    <row r="1" spans="1:9" ht="12" customHeight="1">
      <c r="A1" s="1658" t="s">
        <v>676</v>
      </c>
      <c r="B1" s="1658"/>
      <c r="C1" s="1658"/>
      <c r="D1" s="1658"/>
      <c r="E1" s="1658"/>
      <c r="F1" s="1658"/>
      <c r="G1" s="1658"/>
      <c r="H1" s="1658"/>
      <c r="I1" s="1658"/>
    </row>
    <row r="2" spans="1:9" ht="31.5" customHeight="1">
      <c r="A2" s="1684" t="str">
        <f>CONCATENATE("Veterinary Hospitals, Veterinary Personnel and Cases treated 
in the district of ",District!A1)</f>
        <v>Veterinary Hospitals, Veterinary Personnel and Cases treated 
in the district of Purulia</v>
      </c>
      <c r="B2" s="1684"/>
      <c r="C2" s="1684"/>
      <c r="D2" s="1684"/>
      <c r="E2" s="1684"/>
      <c r="F2" s="1684"/>
      <c r="G2" s="1684"/>
      <c r="H2" s="1684"/>
      <c r="I2" s="1684"/>
    </row>
    <row r="3" spans="1:9" ht="12.4" customHeight="1">
      <c r="A3" s="49"/>
      <c r="B3" s="158"/>
      <c r="C3" s="158"/>
      <c r="D3" s="158"/>
      <c r="E3" s="158"/>
      <c r="F3" s="158"/>
      <c r="G3" s="158"/>
      <c r="H3" s="158"/>
      <c r="I3" s="315" t="s">
        <v>1058</v>
      </c>
    </row>
    <row r="4" spans="1:9" ht="42" customHeight="1">
      <c r="A4" s="150" t="s">
        <v>951</v>
      </c>
      <c r="B4" s="272" t="s">
        <v>784</v>
      </c>
      <c r="C4" s="150" t="s">
        <v>8</v>
      </c>
      <c r="D4" s="298" t="s">
        <v>9</v>
      </c>
      <c r="E4" s="150" t="s">
        <v>10</v>
      </c>
      <c r="F4" s="298" t="s">
        <v>11</v>
      </c>
      <c r="G4" s="285" t="s">
        <v>810</v>
      </c>
      <c r="H4" s="272" t="s">
        <v>12</v>
      </c>
      <c r="I4" s="285" t="s">
        <v>1177</v>
      </c>
    </row>
    <row r="5" spans="1:9" ht="17.25" customHeight="1">
      <c r="A5" s="293" t="s">
        <v>1008</v>
      </c>
      <c r="B5" s="278" t="s">
        <v>1009</v>
      </c>
      <c r="C5" s="293" t="s">
        <v>1010</v>
      </c>
      <c r="D5" s="278" t="s">
        <v>1011</v>
      </c>
      <c r="E5" s="293" t="s">
        <v>1015</v>
      </c>
      <c r="F5" s="278" t="s">
        <v>1016</v>
      </c>
      <c r="G5" s="293" t="s">
        <v>1017</v>
      </c>
      <c r="H5" s="278" t="s">
        <v>1039</v>
      </c>
      <c r="I5" s="325" t="s">
        <v>1040</v>
      </c>
    </row>
    <row r="6" spans="1:9" ht="20.25" customHeight="1">
      <c r="A6" s="223" t="s">
        <v>1526</v>
      </c>
      <c r="B6" s="99">
        <v>8</v>
      </c>
      <c r="C6" s="31">
        <v>20</v>
      </c>
      <c r="D6" s="99">
        <v>19</v>
      </c>
      <c r="E6" s="31">
        <v>126</v>
      </c>
      <c r="F6" s="99" t="s">
        <v>57</v>
      </c>
      <c r="G6" s="31">
        <v>290</v>
      </c>
      <c r="H6" s="99">
        <v>297</v>
      </c>
      <c r="I6" s="50">
        <v>1471333</v>
      </c>
    </row>
    <row r="7" spans="1:9" ht="20.25" customHeight="1">
      <c r="A7" s="223" t="s">
        <v>1525</v>
      </c>
      <c r="B7" s="104">
        <v>8</v>
      </c>
      <c r="C7" s="106">
        <v>20</v>
      </c>
      <c r="D7" s="104">
        <v>19</v>
      </c>
      <c r="E7" s="106">
        <v>126</v>
      </c>
      <c r="F7" s="99" t="s">
        <v>57</v>
      </c>
      <c r="G7" s="106">
        <v>277</v>
      </c>
      <c r="H7" s="104">
        <v>350</v>
      </c>
      <c r="I7" s="105">
        <v>1553186</v>
      </c>
    </row>
    <row r="8" spans="1:9" ht="20.25" customHeight="1">
      <c r="A8" s="223" t="s">
        <v>1051</v>
      </c>
      <c r="B8" s="104">
        <v>8</v>
      </c>
      <c r="C8" s="231">
        <v>20</v>
      </c>
      <c r="D8" s="231">
        <v>19</v>
      </c>
      <c r="E8" s="231">
        <v>126</v>
      </c>
      <c r="F8" s="94" t="s">
        <v>57</v>
      </c>
      <c r="G8" s="231">
        <v>267</v>
      </c>
      <c r="H8" s="231">
        <v>206</v>
      </c>
      <c r="I8" s="104">
        <v>1051118</v>
      </c>
    </row>
    <row r="9" spans="1:9" ht="20.25" customHeight="1">
      <c r="A9" s="223" t="s">
        <v>1250</v>
      </c>
      <c r="B9" s="104">
        <v>8</v>
      </c>
      <c r="C9" s="231">
        <v>20</v>
      </c>
      <c r="D9" s="231">
        <v>19</v>
      </c>
      <c r="E9" s="231">
        <v>131</v>
      </c>
      <c r="F9" s="94" t="s">
        <v>57</v>
      </c>
      <c r="G9" s="231">
        <v>336</v>
      </c>
      <c r="H9" s="231">
        <v>186</v>
      </c>
      <c r="I9" s="104">
        <v>1184528</v>
      </c>
    </row>
    <row r="10" spans="1:9" ht="20.25" customHeight="1">
      <c r="A10" s="185" t="s">
        <v>527</v>
      </c>
      <c r="B10" s="89">
        <f>SUM(B12,B26,B35)</f>
        <v>8</v>
      </c>
      <c r="C10" s="89">
        <f>SUM(C12,C26,C35)</f>
        <v>20</v>
      </c>
      <c r="D10" s="89">
        <f>SUM(D12,D26,D35)</f>
        <v>19</v>
      </c>
      <c r="E10" s="89">
        <f>SUM(E12,E26,E35)</f>
        <v>127</v>
      </c>
      <c r="F10" s="89" t="str">
        <f>IF(SUM(F12,F26,F35)=0,"-",SUM(F12:F26))</f>
        <v>-</v>
      </c>
      <c r="G10" s="89" t="s">
        <v>1634</v>
      </c>
      <c r="H10" s="89">
        <f>SUM(H12,H26,H35)</f>
        <v>174</v>
      </c>
      <c r="I10" s="89">
        <f>SUM(I12,I26,I35)</f>
        <v>1285215</v>
      </c>
    </row>
    <row r="11" spans="1:9" ht="26.25" customHeight="1">
      <c r="A11" s="276" t="s">
        <v>1218</v>
      </c>
      <c r="B11" s="1680" t="str">
        <f>"Year : " &amp; $A$10</f>
        <v>Year : 2013-14</v>
      </c>
      <c r="C11" s="1681"/>
      <c r="D11" s="1681"/>
      <c r="E11" s="1681"/>
      <c r="F11" s="1682"/>
      <c r="G11" s="1681"/>
      <c r="H11" s="1681"/>
      <c r="I11" s="1683"/>
    </row>
    <row r="12" spans="1:9" ht="31.5" customHeight="1">
      <c r="A12" s="512" t="s">
        <v>1370</v>
      </c>
      <c r="B12" s="260">
        <f>SUM(B13:B20)</f>
        <v>2</v>
      </c>
      <c r="C12" s="260">
        <f t="shared" ref="C12:I12" si="0">SUM(C13:C20)</f>
        <v>7</v>
      </c>
      <c r="D12" s="260">
        <f t="shared" si="0"/>
        <v>7</v>
      </c>
      <c r="E12" s="354">
        <f t="shared" si="0"/>
        <v>45</v>
      </c>
      <c r="F12" s="304" t="str">
        <f>IF(SUM(F13:F20)=0,"-",SUM(F13:F20))</f>
        <v>-</v>
      </c>
      <c r="G12" s="355">
        <f t="shared" si="0"/>
        <v>55</v>
      </c>
      <c r="H12" s="260">
        <f t="shared" si="0"/>
        <v>61</v>
      </c>
      <c r="I12" s="260">
        <f t="shared" si="0"/>
        <v>389498</v>
      </c>
    </row>
    <row r="13" spans="1:9" ht="21.75" customHeight="1">
      <c r="A13" s="130" t="s">
        <v>26</v>
      </c>
      <c r="B13" s="1243" t="s">
        <v>57</v>
      </c>
      <c r="C13" s="31">
        <v>1</v>
      </c>
      <c r="D13" s="99">
        <v>1</v>
      </c>
      <c r="E13" s="31">
        <v>6</v>
      </c>
      <c r="F13" s="164" t="s">
        <v>57</v>
      </c>
      <c r="G13" s="31">
        <v>8</v>
      </c>
      <c r="H13" s="99">
        <v>8</v>
      </c>
      <c r="I13" s="50">
        <v>132531</v>
      </c>
    </row>
    <row r="14" spans="1:9" ht="21.75" customHeight="1">
      <c r="A14" s="130" t="s">
        <v>27</v>
      </c>
      <c r="B14" s="1243" t="s">
        <v>57</v>
      </c>
      <c r="C14" s="31">
        <v>1</v>
      </c>
      <c r="D14" s="99">
        <v>1</v>
      </c>
      <c r="E14" s="31">
        <v>6</v>
      </c>
      <c r="F14" s="164" t="s">
        <v>57</v>
      </c>
      <c r="G14" s="31">
        <v>10</v>
      </c>
      <c r="H14" s="99">
        <v>8</v>
      </c>
      <c r="I14" s="50">
        <v>62935</v>
      </c>
    </row>
    <row r="15" spans="1:9" ht="21.75" customHeight="1">
      <c r="A15" s="130" t="s">
        <v>53</v>
      </c>
      <c r="B15" s="99">
        <v>1</v>
      </c>
      <c r="C15" s="31">
        <v>1</v>
      </c>
      <c r="D15" s="99">
        <v>1</v>
      </c>
      <c r="E15" s="31">
        <v>5</v>
      </c>
      <c r="F15" s="164" t="s">
        <v>57</v>
      </c>
      <c r="G15" s="31">
        <v>6</v>
      </c>
      <c r="H15" s="99">
        <v>8</v>
      </c>
      <c r="I15" s="50">
        <v>25147</v>
      </c>
    </row>
    <row r="16" spans="1:9" ht="21.75" customHeight="1">
      <c r="A16" s="130" t="s">
        <v>28</v>
      </c>
      <c r="B16" s="1243" t="s">
        <v>57</v>
      </c>
      <c r="C16" s="31">
        <v>1</v>
      </c>
      <c r="D16" s="99">
        <v>1</v>
      </c>
      <c r="E16" s="31">
        <v>8</v>
      </c>
      <c r="F16" s="164" t="s">
        <v>57</v>
      </c>
      <c r="G16" s="31">
        <v>10</v>
      </c>
      <c r="H16" s="99">
        <v>10</v>
      </c>
      <c r="I16" s="50">
        <v>45462</v>
      </c>
    </row>
    <row r="17" spans="1:9" ht="21.75" customHeight="1">
      <c r="A17" s="130" t="s">
        <v>29</v>
      </c>
      <c r="B17" s="1243" t="s">
        <v>57</v>
      </c>
      <c r="C17" s="31">
        <v>1</v>
      </c>
      <c r="D17" s="99">
        <v>1</v>
      </c>
      <c r="E17" s="31">
        <v>5</v>
      </c>
      <c r="F17" s="164" t="s">
        <v>57</v>
      </c>
      <c r="G17" s="31">
        <v>2</v>
      </c>
      <c r="H17" s="99">
        <v>7</v>
      </c>
      <c r="I17" s="50">
        <v>26626</v>
      </c>
    </row>
    <row r="18" spans="1:9" ht="21.75" customHeight="1">
      <c r="A18" s="130" t="s">
        <v>48</v>
      </c>
      <c r="B18" s="1243">
        <v>1</v>
      </c>
      <c r="C18" s="31">
        <v>1</v>
      </c>
      <c r="D18" s="99">
        <v>1</v>
      </c>
      <c r="E18" s="31">
        <v>8</v>
      </c>
      <c r="F18" s="164" t="s">
        <v>57</v>
      </c>
      <c r="G18" s="31">
        <v>10</v>
      </c>
      <c r="H18" s="99">
        <v>11</v>
      </c>
      <c r="I18" s="50">
        <v>50172</v>
      </c>
    </row>
    <row r="19" spans="1:9" ht="21.75" customHeight="1">
      <c r="A19" s="130" t="s">
        <v>54</v>
      </c>
      <c r="B19" s="1243" t="s">
        <v>57</v>
      </c>
      <c r="C19" s="31">
        <v>1</v>
      </c>
      <c r="D19" s="1243">
        <v>1</v>
      </c>
      <c r="E19" s="31">
        <v>7</v>
      </c>
      <c r="F19" s="164" t="s">
        <v>57</v>
      </c>
      <c r="G19" s="31">
        <v>9</v>
      </c>
      <c r="H19" s="99">
        <v>9</v>
      </c>
      <c r="I19" s="50">
        <v>46625</v>
      </c>
    </row>
    <row r="20" spans="1:9" ht="21.75" customHeight="1">
      <c r="A20" s="135" t="s">
        <v>49</v>
      </c>
      <c r="B20" s="1322" t="s">
        <v>57</v>
      </c>
      <c r="C20" s="1242" t="s">
        <v>57</v>
      </c>
      <c r="D20" s="89" t="s">
        <v>57</v>
      </c>
      <c r="E20" s="1245" t="s">
        <v>57</v>
      </c>
      <c r="F20" s="102" t="s">
        <v>57</v>
      </c>
      <c r="G20" s="1325" t="s">
        <v>57</v>
      </c>
      <c r="H20" s="1322" t="s">
        <v>57</v>
      </c>
      <c r="I20" s="1327" t="s">
        <v>57</v>
      </c>
    </row>
    <row r="21" spans="1:9" ht="11.25" customHeight="1">
      <c r="A21" s="109"/>
      <c r="B21" s="31"/>
      <c r="C21" s="31"/>
      <c r="D21" s="31"/>
      <c r="E21" s="31"/>
      <c r="F21" s="23"/>
      <c r="G21" s="31"/>
      <c r="H21" s="31"/>
      <c r="I21" s="571" t="s">
        <v>1246</v>
      </c>
    </row>
    <row r="22" spans="1:9" ht="12" customHeight="1">
      <c r="A22" s="1658" t="s">
        <v>1399</v>
      </c>
      <c r="B22" s="1658"/>
      <c r="C22" s="1658"/>
      <c r="D22" s="1658"/>
      <c r="E22" s="1658"/>
      <c r="F22" s="1658"/>
      <c r="G22" s="1658"/>
      <c r="H22" s="1658"/>
      <c r="I22" s="1658"/>
    </row>
    <row r="23" spans="1:9" ht="12.4" customHeight="1">
      <c r="A23" s="49"/>
      <c r="B23" s="158"/>
      <c r="C23" s="158"/>
      <c r="D23" s="158"/>
      <c r="E23" s="158"/>
      <c r="F23" s="158"/>
      <c r="G23" s="158"/>
      <c r="H23" s="158"/>
      <c r="I23" s="315" t="s">
        <v>1058</v>
      </c>
    </row>
    <row r="24" spans="1:9" ht="42" customHeight="1">
      <c r="A24" s="150" t="s">
        <v>951</v>
      </c>
      <c r="B24" s="272" t="s">
        <v>784</v>
      </c>
      <c r="C24" s="150" t="s">
        <v>8</v>
      </c>
      <c r="D24" s="298" t="s">
        <v>9</v>
      </c>
      <c r="E24" s="150" t="s">
        <v>10</v>
      </c>
      <c r="F24" s="298" t="s">
        <v>11</v>
      </c>
      <c r="G24" s="285" t="s">
        <v>810</v>
      </c>
      <c r="H24" s="272" t="s">
        <v>12</v>
      </c>
      <c r="I24" s="285" t="s">
        <v>1177</v>
      </c>
    </row>
    <row r="25" spans="1:9" ht="17.25" customHeight="1">
      <c r="A25" s="293" t="s">
        <v>1008</v>
      </c>
      <c r="B25" s="278" t="s">
        <v>1009</v>
      </c>
      <c r="C25" s="293" t="s">
        <v>1010</v>
      </c>
      <c r="D25" s="293" t="s">
        <v>1011</v>
      </c>
      <c r="E25" s="293" t="s">
        <v>1015</v>
      </c>
      <c r="F25" s="278" t="s">
        <v>1016</v>
      </c>
      <c r="G25" s="293" t="s">
        <v>1017</v>
      </c>
      <c r="H25" s="278" t="s">
        <v>1039</v>
      </c>
      <c r="I25" s="325" t="s">
        <v>1040</v>
      </c>
    </row>
    <row r="26" spans="1:9" ht="28.5" customHeight="1">
      <c r="A26" s="512" t="s">
        <v>1369</v>
      </c>
      <c r="B26" s="260">
        <f>SUM(B27:B34)</f>
        <v>3</v>
      </c>
      <c r="C26" s="258">
        <f t="shared" ref="C26:I26" si="1">SUM(C27:C34)</f>
        <v>7</v>
      </c>
      <c r="D26" s="258">
        <f t="shared" si="1"/>
        <v>6</v>
      </c>
      <c r="E26" s="253">
        <f t="shared" si="1"/>
        <v>47</v>
      </c>
      <c r="F26" s="260" t="str">
        <f>IF(SUM(F27:F34)=0,"-",SUM(F27:F34))</f>
        <v>-</v>
      </c>
      <c r="G26" s="355">
        <f t="shared" si="1"/>
        <v>60</v>
      </c>
      <c r="H26" s="260">
        <f t="shared" si="1"/>
        <v>63</v>
      </c>
      <c r="I26" s="260">
        <f t="shared" si="1"/>
        <v>582188</v>
      </c>
    </row>
    <row r="27" spans="1:9" ht="19.5" customHeight="1">
      <c r="A27" s="130" t="s">
        <v>33</v>
      </c>
      <c r="B27" s="1243" t="s">
        <v>57</v>
      </c>
      <c r="C27" s="99">
        <v>1</v>
      </c>
      <c r="D27" s="99">
        <v>1</v>
      </c>
      <c r="E27" s="31">
        <v>6</v>
      </c>
      <c r="F27" s="260" t="s">
        <v>57</v>
      </c>
      <c r="G27" s="31">
        <v>7</v>
      </c>
      <c r="H27" s="99">
        <v>8</v>
      </c>
      <c r="I27" s="50">
        <v>44956</v>
      </c>
    </row>
    <row r="28" spans="1:9" ht="19.5" customHeight="1">
      <c r="A28" s="130" t="s">
        <v>34</v>
      </c>
      <c r="B28" s="1243" t="s">
        <v>57</v>
      </c>
      <c r="C28" s="99">
        <v>1</v>
      </c>
      <c r="D28" s="99">
        <v>1</v>
      </c>
      <c r="E28" s="31">
        <v>8</v>
      </c>
      <c r="F28" s="260" t="s">
        <v>57</v>
      </c>
      <c r="G28" s="31">
        <v>10</v>
      </c>
      <c r="H28" s="99">
        <v>10</v>
      </c>
      <c r="I28" s="50">
        <v>69815</v>
      </c>
    </row>
    <row r="29" spans="1:9" ht="19.5" customHeight="1">
      <c r="A29" s="130" t="s">
        <v>55</v>
      </c>
      <c r="B29" s="99">
        <v>1</v>
      </c>
      <c r="C29" s="99">
        <v>1</v>
      </c>
      <c r="D29" s="99">
        <v>1</v>
      </c>
      <c r="E29" s="31">
        <v>7</v>
      </c>
      <c r="F29" s="260" t="s">
        <v>57</v>
      </c>
      <c r="G29" s="31">
        <v>10</v>
      </c>
      <c r="H29" s="99">
        <v>10</v>
      </c>
      <c r="I29" s="50">
        <v>188907</v>
      </c>
    </row>
    <row r="30" spans="1:9" ht="19.5" customHeight="1">
      <c r="A30" s="130" t="s">
        <v>56</v>
      </c>
      <c r="B30" s="1243" t="s">
        <v>57</v>
      </c>
      <c r="C30" s="99">
        <v>1</v>
      </c>
      <c r="D30" s="99">
        <v>1</v>
      </c>
      <c r="E30" s="31">
        <v>5</v>
      </c>
      <c r="F30" s="260" t="s">
        <v>57</v>
      </c>
      <c r="G30" s="31">
        <v>7</v>
      </c>
      <c r="H30" s="99">
        <v>7</v>
      </c>
      <c r="I30" s="50">
        <v>54399</v>
      </c>
    </row>
    <row r="31" spans="1:9" ht="19.5" customHeight="1">
      <c r="A31" s="130" t="s">
        <v>45</v>
      </c>
      <c r="B31" s="1243" t="s">
        <v>57</v>
      </c>
      <c r="C31" s="99">
        <v>1</v>
      </c>
      <c r="D31" s="99">
        <v>1</v>
      </c>
      <c r="E31" s="31">
        <v>8</v>
      </c>
      <c r="F31" s="260" t="s">
        <v>57</v>
      </c>
      <c r="G31" s="31">
        <v>10</v>
      </c>
      <c r="H31" s="99">
        <v>10</v>
      </c>
      <c r="I31" s="50">
        <v>66851</v>
      </c>
    </row>
    <row r="32" spans="1:9" ht="19.5" customHeight="1">
      <c r="A32" s="130" t="s">
        <v>46</v>
      </c>
      <c r="B32" s="99">
        <v>2</v>
      </c>
      <c r="C32" s="99">
        <v>1</v>
      </c>
      <c r="D32" s="99">
        <v>1</v>
      </c>
      <c r="E32" s="31">
        <v>5</v>
      </c>
      <c r="F32" s="260" t="s">
        <v>57</v>
      </c>
      <c r="G32" s="31">
        <v>8</v>
      </c>
      <c r="H32" s="99">
        <v>9</v>
      </c>
      <c r="I32" s="50">
        <v>101207</v>
      </c>
    </row>
    <row r="33" spans="1:9" ht="19.5" customHeight="1">
      <c r="A33" s="130" t="s">
        <v>47</v>
      </c>
      <c r="B33" s="1243" t="s">
        <v>57</v>
      </c>
      <c r="C33" s="99">
        <v>1</v>
      </c>
      <c r="D33" s="1243" t="s">
        <v>57</v>
      </c>
      <c r="E33" s="31">
        <v>8</v>
      </c>
      <c r="F33" s="260" t="s">
        <v>57</v>
      </c>
      <c r="G33" s="31">
        <v>8</v>
      </c>
      <c r="H33" s="99">
        <v>9</v>
      </c>
      <c r="I33" s="50">
        <v>56053</v>
      </c>
    </row>
    <row r="34" spans="1:9" ht="19.5" customHeight="1">
      <c r="A34" s="130" t="s">
        <v>58</v>
      </c>
      <c r="B34" s="676" t="s">
        <v>57</v>
      </c>
      <c r="C34" s="1243" t="s">
        <v>57</v>
      </c>
      <c r="D34" s="1243" t="s">
        <v>57</v>
      </c>
      <c r="E34" s="1244" t="s">
        <v>57</v>
      </c>
      <c r="F34" s="260" t="s">
        <v>57</v>
      </c>
      <c r="G34" s="1326" t="s">
        <v>57</v>
      </c>
      <c r="H34" s="676" t="s">
        <v>57</v>
      </c>
      <c r="I34" s="1301" t="s">
        <v>57</v>
      </c>
    </row>
    <row r="35" spans="1:9" ht="32.25" customHeight="1">
      <c r="A35" s="512" t="s">
        <v>1368</v>
      </c>
      <c r="B35" s="260">
        <f t="shared" ref="B35:I35" si="2">SUM(B36:B42)</f>
        <v>3</v>
      </c>
      <c r="C35" s="260">
        <f t="shared" si="2"/>
        <v>6</v>
      </c>
      <c r="D35" s="260">
        <f t="shared" si="2"/>
        <v>6</v>
      </c>
      <c r="E35" s="253">
        <f t="shared" si="2"/>
        <v>35</v>
      </c>
      <c r="F35" s="356" t="str">
        <f>IF(SUM(F36:F42)=0,"-",SUM(F36:F42))</f>
        <v>-</v>
      </c>
      <c r="G35" s="355">
        <f t="shared" si="2"/>
        <v>46</v>
      </c>
      <c r="H35" s="260">
        <f t="shared" si="2"/>
        <v>50</v>
      </c>
      <c r="I35" s="260">
        <f t="shared" si="2"/>
        <v>313529</v>
      </c>
    </row>
    <row r="36" spans="1:9" ht="19.5" customHeight="1">
      <c r="A36" s="130" t="s">
        <v>36</v>
      </c>
      <c r="B36" s="99">
        <v>2</v>
      </c>
      <c r="C36" s="99">
        <v>1</v>
      </c>
      <c r="D36" s="99">
        <v>1</v>
      </c>
      <c r="E36" s="31">
        <v>9</v>
      </c>
      <c r="F36" s="356" t="s">
        <v>57</v>
      </c>
      <c r="G36" s="31">
        <v>14</v>
      </c>
      <c r="H36" s="99">
        <v>13</v>
      </c>
      <c r="I36" s="50">
        <v>121165</v>
      </c>
    </row>
    <row r="37" spans="1:9" ht="19.5" customHeight="1">
      <c r="A37" s="130" t="s">
        <v>37</v>
      </c>
      <c r="B37" s="1243" t="s">
        <v>57</v>
      </c>
      <c r="C37" s="99">
        <v>1</v>
      </c>
      <c r="D37" s="99">
        <v>1</v>
      </c>
      <c r="E37" s="31">
        <v>5</v>
      </c>
      <c r="F37" s="356" t="s">
        <v>57</v>
      </c>
      <c r="G37" s="31">
        <v>5</v>
      </c>
      <c r="H37" s="99">
        <v>7</v>
      </c>
      <c r="I37" s="50">
        <v>18721</v>
      </c>
    </row>
    <row r="38" spans="1:9" ht="19.5" customHeight="1">
      <c r="A38" s="130" t="s">
        <v>38</v>
      </c>
      <c r="B38" s="1243" t="s">
        <v>57</v>
      </c>
      <c r="C38" s="99">
        <v>1</v>
      </c>
      <c r="D38" s="99">
        <v>1</v>
      </c>
      <c r="E38" s="31">
        <v>8</v>
      </c>
      <c r="F38" s="356" t="s">
        <v>57</v>
      </c>
      <c r="G38" s="31">
        <v>8</v>
      </c>
      <c r="H38" s="99">
        <v>10</v>
      </c>
      <c r="I38" s="50">
        <v>62030</v>
      </c>
    </row>
    <row r="39" spans="1:9" ht="19.5" customHeight="1">
      <c r="A39" s="130" t="s">
        <v>40</v>
      </c>
      <c r="B39" s="1243">
        <v>1</v>
      </c>
      <c r="C39" s="99">
        <v>1</v>
      </c>
      <c r="D39" s="99">
        <v>1</v>
      </c>
      <c r="E39" s="31">
        <v>5</v>
      </c>
      <c r="F39" s="356" t="s">
        <v>57</v>
      </c>
      <c r="G39" s="31">
        <v>5</v>
      </c>
      <c r="H39" s="99">
        <v>8</v>
      </c>
      <c r="I39" s="50">
        <v>30278</v>
      </c>
    </row>
    <row r="40" spans="1:9" ht="19.5" customHeight="1">
      <c r="A40" s="130" t="s">
        <v>52</v>
      </c>
      <c r="B40" s="1243" t="s">
        <v>57</v>
      </c>
      <c r="C40" s="99">
        <v>1</v>
      </c>
      <c r="D40" s="99">
        <v>1</v>
      </c>
      <c r="E40" s="31">
        <v>4</v>
      </c>
      <c r="F40" s="356" t="s">
        <v>57</v>
      </c>
      <c r="G40" s="31">
        <v>6</v>
      </c>
      <c r="H40" s="99">
        <v>6</v>
      </c>
      <c r="I40" s="50">
        <v>50530</v>
      </c>
    </row>
    <row r="41" spans="1:9" ht="19.5" customHeight="1">
      <c r="A41" s="130" t="s">
        <v>41</v>
      </c>
      <c r="B41" s="676" t="s">
        <v>57</v>
      </c>
      <c r="C41" s="99" t="s">
        <v>57</v>
      </c>
      <c r="D41" s="99" t="s">
        <v>57</v>
      </c>
      <c r="E41" s="1247" t="s">
        <v>57</v>
      </c>
      <c r="F41" s="356" t="s">
        <v>57</v>
      </c>
      <c r="G41" s="1326" t="s">
        <v>57</v>
      </c>
      <c r="H41" s="676" t="s">
        <v>57</v>
      </c>
      <c r="I41" s="1301" t="s">
        <v>57</v>
      </c>
    </row>
    <row r="42" spans="1:9" ht="19.5" customHeight="1">
      <c r="A42" s="135" t="s">
        <v>39</v>
      </c>
      <c r="B42" s="1242" t="s">
        <v>57</v>
      </c>
      <c r="C42" s="89">
        <v>1</v>
      </c>
      <c r="D42" s="89">
        <v>1</v>
      </c>
      <c r="E42" s="22">
        <v>4</v>
      </c>
      <c r="F42" s="714" t="s">
        <v>57</v>
      </c>
      <c r="G42" s="22">
        <v>8</v>
      </c>
      <c r="H42" s="89">
        <v>6</v>
      </c>
      <c r="I42" s="48">
        <v>30805</v>
      </c>
    </row>
    <row r="43" spans="1:9" ht="13.5" customHeight="1">
      <c r="A43" s="349" t="s">
        <v>811</v>
      </c>
      <c r="B43" s="349"/>
      <c r="C43" s="349"/>
      <c r="D43" s="349"/>
      <c r="E43" s="540"/>
      <c r="F43" s="562" t="s">
        <v>1563</v>
      </c>
      <c r="G43" s="1678" t="s">
        <v>723</v>
      </c>
      <c r="H43" s="1678"/>
      <c r="I43" s="1678"/>
    </row>
    <row r="44" spans="1:9" ht="13.5" customHeight="1">
      <c r="A44" s="1331" t="s">
        <v>818</v>
      </c>
      <c r="B44" s="349"/>
      <c r="C44" s="349"/>
      <c r="D44" s="349"/>
      <c r="E44" s="349"/>
      <c r="F44" s="349" t="s">
        <v>985</v>
      </c>
      <c r="G44" s="1679"/>
      <c r="H44" s="1679"/>
      <c r="I44" s="1679"/>
    </row>
    <row r="45" spans="1:9" ht="12.4" customHeight="1">
      <c r="A45" s="349" t="s">
        <v>812</v>
      </c>
      <c r="B45" s="349"/>
      <c r="C45" s="349"/>
      <c r="D45" s="349"/>
      <c r="E45" s="349"/>
      <c r="F45" s="1331"/>
      <c r="G45" s="1331"/>
      <c r="H45" s="1331"/>
      <c r="I45" s="349"/>
    </row>
    <row r="46" spans="1:9" ht="12.4" customHeight="1">
      <c r="A46" s="349" t="s">
        <v>815</v>
      </c>
      <c r="B46" s="349"/>
      <c r="C46" s="349"/>
      <c r="D46" s="349"/>
      <c r="E46" s="349"/>
      <c r="F46" s="349"/>
      <c r="G46" s="349"/>
      <c r="H46" s="349"/>
      <c r="I46" s="349"/>
    </row>
    <row r="47" spans="1:9" ht="12.4" customHeight="1">
      <c r="A47" s="349" t="s">
        <v>816</v>
      </c>
      <c r="B47" s="349"/>
      <c r="C47" s="349"/>
      <c r="D47" s="349"/>
      <c r="E47" s="349"/>
      <c r="F47" s="349"/>
      <c r="G47" s="349"/>
      <c r="H47" s="349"/>
      <c r="I47" s="349"/>
    </row>
    <row r="48" spans="1:9" ht="12.4" customHeight="1">
      <c r="A48" s="349" t="s">
        <v>817</v>
      </c>
      <c r="B48" s="349"/>
      <c r="C48" s="349"/>
      <c r="D48" s="349"/>
      <c r="E48" s="349"/>
      <c r="F48" s="349"/>
      <c r="G48" s="349"/>
      <c r="H48" s="349"/>
      <c r="I48" s="349"/>
    </row>
    <row r="49" spans="1:11" ht="12.4" customHeight="1">
      <c r="A49" s="349" t="s">
        <v>512</v>
      </c>
      <c r="B49" s="1331"/>
      <c r="C49" s="1331"/>
      <c r="D49" s="1331"/>
      <c r="E49" s="349"/>
      <c r="F49" s="349"/>
      <c r="G49" s="349"/>
      <c r="H49" s="349"/>
      <c r="I49" s="349"/>
    </row>
    <row r="50" spans="1:11" ht="12.4" customHeight="1">
      <c r="A50" s="1331"/>
      <c r="B50" s="1330"/>
      <c r="C50" s="1330"/>
      <c r="D50" s="1330"/>
      <c r="E50" s="1330"/>
      <c r="F50" s="1330"/>
      <c r="G50" s="1330"/>
      <c r="H50" s="1330"/>
      <c r="I50" s="1330"/>
    </row>
    <row r="51" spans="1:11" ht="12.4" customHeight="1">
      <c r="A51" s="1677" t="s">
        <v>1635</v>
      </c>
      <c r="B51" s="1677"/>
      <c r="C51" s="1677"/>
      <c r="D51" s="540"/>
      <c r="E51" s="540"/>
      <c r="F51" s="540"/>
      <c r="G51" s="540"/>
      <c r="H51" s="544"/>
      <c r="I51" s="544"/>
      <c r="J51" s="1"/>
      <c r="K51" s="1"/>
    </row>
    <row r="52" spans="1:11" ht="12.4" customHeight="1">
      <c r="A52" s="540"/>
      <c r="B52" s="540"/>
      <c r="C52" s="540"/>
      <c r="D52" s="540"/>
      <c r="E52" s="540"/>
      <c r="F52" s="540"/>
      <c r="G52" s="540"/>
      <c r="H52" s="544"/>
      <c r="I52" s="544"/>
      <c r="J52" s="1"/>
      <c r="K52" s="1"/>
    </row>
    <row r="53" spans="1:11" ht="12.4" customHeight="1">
      <c r="A53" s="540"/>
      <c r="B53" s="540"/>
      <c r="C53" s="540"/>
      <c r="D53" s="540"/>
      <c r="E53" s="540"/>
      <c r="F53" s="540"/>
      <c r="G53" s="540"/>
      <c r="H53" s="544"/>
      <c r="I53" s="544"/>
      <c r="J53" s="1"/>
      <c r="K53" s="1"/>
    </row>
    <row r="54" spans="1:11" ht="12.4" customHeight="1">
      <c r="A54" s="540"/>
      <c r="B54" s="540"/>
      <c r="C54" s="540"/>
      <c r="D54" s="540"/>
      <c r="E54" s="540"/>
      <c r="F54" s="540"/>
      <c r="G54" s="540"/>
      <c r="H54" s="544"/>
      <c r="I54" s="544"/>
      <c r="J54" s="1"/>
      <c r="K54" s="1"/>
    </row>
  </sheetData>
  <mergeCells count="6">
    <mergeCell ref="A51:C51"/>
    <mergeCell ref="G43:I44"/>
    <mergeCell ref="A1:I1"/>
    <mergeCell ref="B11:I11"/>
    <mergeCell ref="A2:I2"/>
    <mergeCell ref="A22:I22"/>
  </mergeCells>
  <phoneticPr fontId="0" type="noConversion"/>
  <printOptions horizontalCentered="1" verticalCentered="1"/>
  <pageMargins left="0.1" right="0.1" top="0.15" bottom="0.1" header="0.14000000000000001" footer="0.1"/>
  <pageSetup paperSize="9" orientation="landscape" blackAndWhite="1" r:id="rId1"/>
  <headerFooter alignWithMargins="0"/>
  <rowBreaks count="1" manualBreakCount="1">
    <brk id="21" max="16383" man="1"/>
  </rowBreaks>
</worksheet>
</file>

<file path=xl/worksheets/sheet53.xml><?xml version="1.0" encoding="utf-8"?>
<worksheet xmlns="http://schemas.openxmlformats.org/spreadsheetml/2006/main" xmlns:r="http://schemas.openxmlformats.org/officeDocument/2006/relationships">
  <dimension ref="A1:G55"/>
  <sheetViews>
    <sheetView topLeftCell="A28" workbookViewId="0">
      <selection activeCell="F14" sqref="F14"/>
    </sheetView>
  </sheetViews>
  <sheetFormatPr defaultRowHeight="12.75"/>
  <cols>
    <col min="1" max="1" width="2.85546875" customWidth="1"/>
    <col min="2" max="2" width="12.42578125" customWidth="1"/>
    <col min="3" max="3" width="10" customWidth="1"/>
    <col min="4" max="4" width="10.140625" customWidth="1"/>
    <col min="5" max="5" width="16.85546875" customWidth="1"/>
    <col min="6" max="6" width="16.42578125" customWidth="1"/>
    <col min="7" max="7" width="16.5703125" customWidth="1"/>
  </cols>
  <sheetData>
    <row r="1" spans="1:7" ht="13.5" customHeight="1">
      <c r="A1" s="1658" t="s">
        <v>677</v>
      </c>
      <c r="B1" s="1658"/>
      <c r="C1" s="1658"/>
      <c r="D1" s="1658"/>
      <c r="E1" s="1658"/>
      <c r="F1" s="1658"/>
      <c r="G1" s="1658"/>
    </row>
    <row r="2" spans="1:7" ht="16.5" customHeight="1">
      <c r="A2" s="1660" t="str">
        <f>CONCATENATE("Progress of Co-operative Movement in the district of ",District!A1)</f>
        <v>Progress of Co-operative Movement in the district of Purulia</v>
      </c>
      <c r="B2" s="1660"/>
      <c r="C2" s="1660"/>
      <c r="D2" s="1660"/>
      <c r="E2" s="1660"/>
      <c r="F2" s="1660"/>
      <c r="G2" s="1660"/>
    </row>
    <row r="3" spans="1:7" ht="12.75" customHeight="1">
      <c r="A3" s="1686" t="s">
        <v>724</v>
      </c>
      <c r="B3" s="1686"/>
      <c r="C3" s="1688" t="s">
        <v>418</v>
      </c>
      <c r="D3" s="1688"/>
      <c r="E3" s="1686" t="s">
        <v>575</v>
      </c>
      <c r="F3" s="1686" t="s">
        <v>1319</v>
      </c>
      <c r="G3" s="1687" t="s">
        <v>576</v>
      </c>
    </row>
    <row r="4" spans="1:7">
      <c r="A4" s="1686"/>
      <c r="B4" s="1686"/>
      <c r="C4" s="1688" t="s">
        <v>987</v>
      </c>
      <c r="D4" s="1667" t="s">
        <v>988</v>
      </c>
      <c r="E4" s="1686"/>
      <c r="F4" s="1686"/>
      <c r="G4" s="1687"/>
    </row>
    <row r="5" spans="1:7">
      <c r="A5" s="1686"/>
      <c r="B5" s="1686"/>
      <c r="C5" s="1688"/>
      <c r="D5" s="1667"/>
      <c r="E5" s="1686"/>
      <c r="F5" s="1686"/>
      <c r="G5" s="1687"/>
    </row>
    <row r="6" spans="1:7">
      <c r="A6" s="1686"/>
      <c r="B6" s="1686"/>
      <c r="C6" s="1688"/>
      <c r="D6" s="1667"/>
      <c r="E6" s="1686"/>
      <c r="F6" s="1686"/>
      <c r="G6" s="1687"/>
    </row>
    <row r="7" spans="1:7" ht="15.75" customHeight="1">
      <c r="A7" s="1686"/>
      <c r="B7" s="1686"/>
      <c r="C7" s="1688"/>
      <c r="D7" s="1667"/>
      <c r="E7" s="1686"/>
      <c r="F7" s="1686"/>
      <c r="G7" s="1687"/>
    </row>
    <row r="8" spans="1:7" ht="13.5" customHeight="1">
      <c r="A8" s="1685" t="s">
        <v>1008</v>
      </c>
      <c r="B8" s="1686"/>
      <c r="C8" s="293" t="s">
        <v>1009</v>
      </c>
      <c r="D8" s="279" t="s">
        <v>1010</v>
      </c>
      <c r="E8" s="299" t="s">
        <v>1011</v>
      </c>
      <c r="F8" s="299" t="s">
        <v>1015</v>
      </c>
      <c r="G8" s="468" t="s">
        <v>1016</v>
      </c>
    </row>
    <row r="9" spans="1:7" ht="15" customHeight="1">
      <c r="A9" s="599">
        <v>1</v>
      </c>
      <c r="B9" s="478" t="s">
        <v>61</v>
      </c>
      <c r="C9" s="448"/>
      <c r="D9" s="591"/>
      <c r="E9" s="448"/>
      <c r="F9" s="448"/>
      <c r="G9" s="124"/>
    </row>
    <row r="10" spans="1:7" ht="15" customHeight="1">
      <c r="A10" s="590"/>
      <c r="B10" s="600" t="s">
        <v>1526</v>
      </c>
      <c r="C10" s="602">
        <v>1</v>
      </c>
      <c r="D10" s="603">
        <v>985</v>
      </c>
      <c r="E10" s="602">
        <v>722869</v>
      </c>
      <c r="F10" s="602">
        <v>352222</v>
      </c>
      <c r="G10" s="603">
        <v>332047</v>
      </c>
    </row>
    <row r="11" spans="1:7" ht="15" customHeight="1">
      <c r="A11" s="590"/>
      <c r="B11" s="600" t="s">
        <v>1525</v>
      </c>
      <c r="C11" s="602">
        <v>1</v>
      </c>
      <c r="D11" s="603">
        <v>1259</v>
      </c>
      <c r="E11" s="602">
        <v>1200545</v>
      </c>
      <c r="F11" s="602">
        <v>572122</v>
      </c>
      <c r="G11" s="603">
        <v>341080</v>
      </c>
    </row>
    <row r="12" spans="1:7" ht="15" customHeight="1">
      <c r="A12" s="590"/>
      <c r="B12" s="600" t="s">
        <v>1051</v>
      </c>
      <c r="C12" s="602">
        <v>1</v>
      </c>
      <c r="D12" s="603">
        <v>1329</v>
      </c>
      <c r="E12" s="602">
        <v>1201545</v>
      </c>
      <c r="F12" s="602">
        <v>600728</v>
      </c>
      <c r="G12" s="603">
        <v>375188</v>
      </c>
    </row>
    <row r="13" spans="1:7" ht="15" customHeight="1">
      <c r="A13" s="590"/>
      <c r="B13" s="600" t="s">
        <v>1250</v>
      </c>
      <c r="C13" s="602">
        <v>1</v>
      </c>
      <c r="D13" s="603">
        <v>412</v>
      </c>
      <c r="E13" s="602">
        <v>1258100</v>
      </c>
      <c r="F13" s="602">
        <v>761748</v>
      </c>
      <c r="G13" s="603">
        <v>660673</v>
      </c>
    </row>
    <row r="14" spans="1:7" ht="15" customHeight="1">
      <c r="A14" s="590"/>
      <c r="B14" s="600" t="s">
        <v>527</v>
      </c>
      <c r="C14" s="602">
        <v>1</v>
      </c>
      <c r="D14" s="603">
        <v>485</v>
      </c>
      <c r="E14" s="602">
        <v>1760632</v>
      </c>
      <c r="F14" s="602">
        <v>862393</v>
      </c>
      <c r="G14" s="603">
        <v>456994</v>
      </c>
    </row>
    <row r="15" spans="1:7" ht="15" customHeight="1">
      <c r="A15" s="599">
        <v>2</v>
      </c>
      <c r="B15" s="313" t="s">
        <v>363</v>
      </c>
      <c r="C15" s="601"/>
      <c r="D15" s="313"/>
      <c r="E15" s="448"/>
      <c r="F15" s="448"/>
      <c r="G15" s="591"/>
    </row>
    <row r="16" spans="1:7" ht="15" customHeight="1">
      <c r="A16" s="590"/>
      <c r="B16" s="600" t="s">
        <v>1526</v>
      </c>
      <c r="C16" s="602">
        <v>1</v>
      </c>
      <c r="D16" s="602">
        <v>3160</v>
      </c>
      <c r="E16" s="623">
        <v>208146</v>
      </c>
      <c r="F16" s="602">
        <v>184246</v>
      </c>
      <c r="G16" s="602">
        <v>88379</v>
      </c>
    </row>
    <row r="17" spans="1:7" ht="15" customHeight="1">
      <c r="A17" s="590"/>
      <c r="B17" s="600" t="s">
        <v>1525</v>
      </c>
      <c r="C17" s="602">
        <v>1</v>
      </c>
      <c r="D17" s="602">
        <v>3190</v>
      </c>
      <c r="E17" s="623">
        <v>332800</v>
      </c>
      <c r="F17" s="602">
        <v>134300</v>
      </c>
      <c r="G17" s="602">
        <v>39500</v>
      </c>
    </row>
    <row r="18" spans="1:7" ht="15" customHeight="1">
      <c r="A18" s="590"/>
      <c r="B18" s="600" t="s">
        <v>1051</v>
      </c>
      <c r="C18" s="602">
        <v>1</v>
      </c>
      <c r="D18" s="602">
        <v>3405</v>
      </c>
      <c r="E18" s="623">
        <v>366162</v>
      </c>
      <c r="F18" s="602">
        <v>154355</v>
      </c>
      <c r="G18" s="602">
        <v>45317</v>
      </c>
    </row>
    <row r="19" spans="1:7" ht="15" customHeight="1">
      <c r="A19" s="590"/>
      <c r="B19" s="600" t="s">
        <v>1250</v>
      </c>
      <c r="C19" s="602">
        <v>1</v>
      </c>
      <c r="D19" s="602">
        <v>8659</v>
      </c>
      <c r="E19" s="623">
        <v>196364</v>
      </c>
      <c r="F19" s="602">
        <v>212875</v>
      </c>
      <c r="G19" s="602">
        <v>75627</v>
      </c>
    </row>
    <row r="20" spans="1:7" ht="15" customHeight="1">
      <c r="A20" s="590"/>
      <c r="B20" s="600" t="s">
        <v>527</v>
      </c>
      <c r="C20" s="602">
        <v>1</v>
      </c>
      <c r="D20" s="602">
        <v>9159</v>
      </c>
      <c r="E20" s="623">
        <v>140190</v>
      </c>
      <c r="F20" s="602">
        <v>192523</v>
      </c>
      <c r="G20" s="602">
        <v>57096</v>
      </c>
    </row>
    <row r="21" spans="1:7" ht="15" customHeight="1">
      <c r="A21" s="599">
        <v>3</v>
      </c>
      <c r="B21" s="313" t="s">
        <v>822</v>
      </c>
      <c r="C21" s="601"/>
      <c r="D21" s="313"/>
      <c r="E21" s="448"/>
      <c r="F21" s="448"/>
      <c r="G21" s="591"/>
    </row>
    <row r="22" spans="1:7" ht="15" customHeight="1">
      <c r="A22" s="590"/>
      <c r="B22" s="600" t="s">
        <v>1526</v>
      </c>
      <c r="C22" s="602">
        <v>166</v>
      </c>
      <c r="D22" s="602">
        <v>158586</v>
      </c>
      <c r="E22" s="602">
        <v>569262</v>
      </c>
      <c r="F22" s="602">
        <v>148286</v>
      </c>
      <c r="G22" s="602">
        <v>102392</v>
      </c>
    </row>
    <row r="23" spans="1:7" ht="15" customHeight="1">
      <c r="A23" s="590"/>
      <c r="B23" s="600" t="s">
        <v>1525</v>
      </c>
      <c r="C23" s="602">
        <v>167</v>
      </c>
      <c r="D23" s="602">
        <v>164516</v>
      </c>
      <c r="E23" s="602">
        <v>1026524</v>
      </c>
      <c r="F23" s="602">
        <v>220514</v>
      </c>
      <c r="G23" s="602">
        <v>63773</v>
      </c>
    </row>
    <row r="24" spans="1:7" ht="15" customHeight="1">
      <c r="A24" s="590"/>
      <c r="B24" s="600" t="s">
        <v>1051</v>
      </c>
      <c r="C24" s="602">
        <v>167</v>
      </c>
      <c r="D24" s="602">
        <v>168019</v>
      </c>
      <c r="E24" s="602">
        <v>1231828</v>
      </c>
      <c r="F24" s="602">
        <v>224719</v>
      </c>
      <c r="G24" s="602">
        <v>64414</v>
      </c>
    </row>
    <row r="25" spans="1:7" ht="15" customHeight="1">
      <c r="A25" s="590"/>
      <c r="B25" s="600" t="s">
        <v>1250</v>
      </c>
      <c r="C25" s="602">
        <v>167</v>
      </c>
      <c r="D25" s="602">
        <v>169210</v>
      </c>
      <c r="E25" s="602">
        <v>1313419</v>
      </c>
      <c r="F25" s="602">
        <v>882470</v>
      </c>
      <c r="G25" s="602">
        <v>220033</v>
      </c>
    </row>
    <row r="26" spans="1:7" ht="15" customHeight="1">
      <c r="A26" s="590"/>
      <c r="B26" s="600" t="s">
        <v>527</v>
      </c>
      <c r="C26" s="602">
        <v>164</v>
      </c>
      <c r="D26" s="602">
        <v>166458</v>
      </c>
      <c r="E26" s="602">
        <v>1332180</v>
      </c>
      <c r="F26" s="602">
        <v>219031</v>
      </c>
      <c r="G26" s="602">
        <v>247711</v>
      </c>
    </row>
    <row r="27" spans="1:7" ht="15" customHeight="1">
      <c r="A27" s="599">
        <v>4</v>
      </c>
      <c r="B27" s="313" t="s">
        <v>824</v>
      </c>
      <c r="C27" s="601"/>
      <c r="D27" s="313"/>
      <c r="E27" s="604"/>
      <c r="F27" s="126"/>
      <c r="G27" s="124"/>
    </row>
    <row r="28" spans="1:7" ht="15" customHeight="1">
      <c r="A28" s="590"/>
      <c r="B28" s="600" t="s">
        <v>1526</v>
      </c>
      <c r="C28" s="602">
        <v>188</v>
      </c>
      <c r="D28" s="623">
        <v>16423</v>
      </c>
      <c r="E28" s="602">
        <v>100288</v>
      </c>
      <c r="F28" s="602">
        <v>88762</v>
      </c>
      <c r="G28" s="602">
        <v>56329</v>
      </c>
    </row>
    <row r="29" spans="1:7" ht="15" customHeight="1">
      <c r="A29" s="590"/>
      <c r="B29" s="600" t="s">
        <v>1525</v>
      </c>
      <c r="C29" s="602">
        <v>189</v>
      </c>
      <c r="D29" s="623">
        <v>20100</v>
      </c>
      <c r="E29" s="602">
        <v>417803</v>
      </c>
      <c r="F29" s="602">
        <v>271489</v>
      </c>
      <c r="G29" s="602">
        <v>78088</v>
      </c>
    </row>
    <row r="30" spans="1:7" ht="15" customHeight="1">
      <c r="A30" s="590"/>
      <c r="B30" s="600" t="s">
        <v>1051</v>
      </c>
      <c r="C30" s="602">
        <v>190</v>
      </c>
      <c r="D30" s="623">
        <v>20252</v>
      </c>
      <c r="E30" s="602">
        <v>421985</v>
      </c>
      <c r="F30" s="602">
        <v>312226</v>
      </c>
      <c r="G30" s="602">
        <v>101514</v>
      </c>
    </row>
    <row r="31" spans="1:7" ht="15" customHeight="1">
      <c r="A31" s="590"/>
      <c r="B31" s="600" t="s">
        <v>1250</v>
      </c>
      <c r="C31" s="602">
        <v>201</v>
      </c>
      <c r="D31" s="623">
        <v>20426</v>
      </c>
      <c r="E31" s="602">
        <v>443084</v>
      </c>
      <c r="F31" s="602">
        <v>316300</v>
      </c>
      <c r="G31" s="602">
        <v>118200</v>
      </c>
    </row>
    <row r="32" spans="1:7" ht="15" customHeight="1">
      <c r="A32" s="590"/>
      <c r="B32" s="600" t="s">
        <v>527</v>
      </c>
      <c r="C32" s="602">
        <v>234</v>
      </c>
      <c r="D32" s="623">
        <v>12224</v>
      </c>
      <c r="E32" s="602">
        <v>325604</v>
      </c>
      <c r="F32" s="602">
        <v>302648</v>
      </c>
      <c r="G32" s="602">
        <v>209253</v>
      </c>
    </row>
    <row r="33" spans="1:7" ht="15" customHeight="1">
      <c r="A33" s="599">
        <v>5</v>
      </c>
      <c r="B33" s="313" t="s">
        <v>62</v>
      </c>
      <c r="C33" s="601"/>
      <c r="D33" s="312"/>
      <c r="E33" s="604"/>
      <c r="F33" s="126"/>
      <c r="G33" s="126"/>
    </row>
    <row r="34" spans="1:7" ht="15" customHeight="1">
      <c r="A34" s="590"/>
      <c r="B34" s="600" t="s">
        <v>1526</v>
      </c>
      <c r="C34" s="126">
        <f t="shared" ref="C34:G36" si="0">SUM(C10,C16,C22,C28,)</f>
        <v>356</v>
      </c>
      <c r="D34" s="124">
        <f t="shared" si="0"/>
        <v>179154</v>
      </c>
      <c r="E34" s="126">
        <f t="shared" si="0"/>
        <v>1600565</v>
      </c>
      <c r="F34" s="126">
        <f t="shared" si="0"/>
        <v>773516</v>
      </c>
      <c r="G34" s="124">
        <f t="shared" si="0"/>
        <v>579147</v>
      </c>
    </row>
    <row r="35" spans="1:7" ht="15" customHeight="1">
      <c r="A35" s="590"/>
      <c r="B35" s="600" t="s">
        <v>1525</v>
      </c>
      <c r="C35" s="126">
        <f t="shared" si="0"/>
        <v>358</v>
      </c>
      <c r="D35" s="124">
        <f t="shared" si="0"/>
        <v>189065</v>
      </c>
      <c r="E35" s="126">
        <f t="shared" si="0"/>
        <v>2977672</v>
      </c>
      <c r="F35" s="126">
        <f t="shared" si="0"/>
        <v>1198425</v>
      </c>
      <c r="G35" s="124">
        <f t="shared" si="0"/>
        <v>522441</v>
      </c>
    </row>
    <row r="36" spans="1:7" ht="15" customHeight="1">
      <c r="A36" s="590"/>
      <c r="B36" s="600" t="s">
        <v>1051</v>
      </c>
      <c r="C36" s="126">
        <f t="shared" si="0"/>
        <v>359</v>
      </c>
      <c r="D36" s="124">
        <f t="shared" si="0"/>
        <v>193005</v>
      </c>
      <c r="E36" s="126">
        <f t="shared" si="0"/>
        <v>3221520</v>
      </c>
      <c r="F36" s="126">
        <f t="shared" si="0"/>
        <v>1292028</v>
      </c>
      <c r="G36" s="124">
        <f t="shared" si="0"/>
        <v>586433</v>
      </c>
    </row>
    <row r="37" spans="1:7" ht="15" customHeight="1">
      <c r="A37" s="590"/>
      <c r="B37" s="600" t="s">
        <v>1250</v>
      </c>
      <c r="C37" s="126">
        <f t="shared" ref="C37:G38" si="1">SUM(C13,C19,C25,C31,)</f>
        <v>370</v>
      </c>
      <c r="D37" s="126">
        <f t="shared" si="1"/>
        <v>198707</v>
      </c>
      <c r="E37" s="126">
        <f t="shared" si="1"/>
        <v>3210967</v>
      </c>
      <c r="F37" s="126">
        <f t="shared" si="1"/>
        <v>2173393</v>
      </c>
      <c r="G37" s="126">
        <f t="shared" si="1"/>
        <v>1074533</v>
      </c>
    </row>
    <row r="38" spans="1:7" ht="15" customHeight="1">
      <c r="A38" s="590"/>
      <c r="B38" s="600" t="s">
        <v>527</v>
      </c>
      <c r="C38" s="126">
        <f t="shared" si="1"/>
        <v>400</v>
      </c>
      <c r="D38" s="126">
        <f t="shared" si="1"/>
        <v>188326</v>
      </c>
      <c r="E38" s="126">
        <f t="shared" si="1"/>
        <v>3558606</v>
      </c>
      <c r="F38" s="126">
        <f t="shared" si="1"/>
        <v>1576595</v>
      </c>
      <c r="G38" s="126">
        <f t="shared" si="1"/>
        <v>971054</v>
      </c>
    </row>
    <row r="39" spans="1:7" ht="15" customHeight="1">
      <c r="A39" s="599">
        <v>6</v>
      </c>
      <c r="B39" s="313" t="s">
        <v>825</v>
      </c>
      <c r="C39" s="601"/>
      <c r="D39" s="124"/>
      <c r="E39" s="126"/>
      <c r="F39" s="126"/>
      <c r="G39" s="124"/>
    </row>
    <row r="40" spans="1:7" ht="15" customHeight="1">
      <c r="A40" s="590"/>
      <c r="B40" s="600" t="s">
        <v>1526</v>
      </c>
      <c r="C40" s="602">
        <v>179</v>
      </c>
      <c r="D40" s="623">
        <v>16825</v>
      </c>
      <c r="E40" s="602">
        <v>37209</v>
      </c>
      <c r="F40" s="602">
        <v>12937</v>
      </c>
      <c r="G40" s="602">
        <v>10215</v>
      </c>
    </row>
    <row r="41" spans="1:7" ht="15" customHeight="1">
      <c r="A41" s="590"/>
      <c r="B41" s="600" t="s">
        <v>1525</v>
      </c>
      <c r="C41" s="602">
        <v>179</v>
      </c>
      <c r="D41" s="623">
        <v>17102</v>
      </c>
      <c r="E41" s="602">
        <v>38902</v>
      </c>
      <c r="F41" s="602">
        <v>1072</v>
      </c>
      <c r="G41" s="624" t="s">
        <v>57</v>
      </c>
    </row>
    <row r="42" spans="1:7" ht="15" customHeight="1">
      <c r="A42" s="590"/>
      <c r="B42" s="600" t="s">
        <v>1051</v>
      </c>
      <c r="C42" s="602">
        <v>179</v>
      </c>
      <c r="D42" s="623">
        <v>17182</v>
      </c>
      <c r="E42" s="602">
        <v>39132</v>
      </c>
      <c r="F42" s="602">
        <v>1185</v>
      </c>
      <c r="G42" s="44" t="s">
        <v>57</v>
      </c>
    </row>
    <row r="43" spans="1:7" ht="15" customHeight="1">
      <c r="A43" s="590"/>
      <c r="B43" s="600" t="s">
        <v>1250</v>
      </c>
      <c r="C43" s="602">
        <v>179</v>
      </c>
      <c r="D43" s="623">
        <v>17287</v>
      </c>
      <c r="E43" s="602">
        <v>40111</v>
      </c>
      <c r="F43" s="602">
        <v>1105</v>
      </c>
      <c r="G43" s="44">
        <v>80</v>
      </c>
    </row>
    <row r="44" spans="1:7" ht="15" customHeight="1">
      <c r="A44" s="590"/>
      <c r="B44" s="600" t="s">
        <v>527</v>
      </c>
      <c r="C44" s="602">
        <v>175</v>
      </c>
      <c r="D44" s="623">
        <v>17008</v>
      </c>
      <c r="E44" s="602">
        <v>39025</v>
      </c>
      <c r="F44" s="602">
        <v>1003</v>
      </c>
      <c r="G44" s="44">
        <v>102</v>
      </c>
    </row>
    <row r="45" spans="1:7" ht="15" customHeight="1">
      <c r="A45" s="599">
        <v>7</v>
      </c>
      <c r="B45" s="313" t="s">
        <v>65</v>
      </c>
      <c r="C45" s="601"/>
      <c r="D45" s="313"/>
      <c r="E45" s="601"/>
      <c r="F45" s="126"/>
      <c r="G45" s="124"/>
    </row>
    <row r="46" spans="1:7" ht="15" customHeight="1">
      <c r="A46" s="590"/>
      <c r="B46" s="600" t="s">
        <v>1526</v>
      </c>
      <c r="C46" s="126">
        <f t="shared" ref="C46:G48" si="2">SUM(C34,C40)</f>
        <v>535</v>
      </c>
      <c r="D46" s="124">
        <f t="shared" si="2"/>
        <v>195979</v>
      </c>
      <c r="E46" s="126">
        <f t="shared" si="2"/>
        <v>1637774</v>
      </c>
      <c r="F46" s="126">
        <f t="shared" si="2"/>
        <v>786453</v>
      </c>
      <c r="G46" s="124">
        <f t="shared" si="2"/>
        <v>589362</v>
      </c>
    </row>
    <row r="47" spans="1:7" ht="15" customHeight="1">
      <c r="A47" s="590"/>
      <c r="B47" s="600" t="s">
        <v>1525</v>
      </c>
      <c r="C47" s="124">
        <f t="shared" si="2"/>
        <v>537</v>
      </c>
      <c r="D47" s="124">
        <f t="shared" si="2"/>
        <v>206167</v>
      </c>
      <c r="E47" s="126">
        <f t="shared" si="2"/>
        <v>3016574</v>
      </c>
      <c r="F47" s="126">
        <f t="shared" si="2"/>
        <v>1199497</v>
      </c>
      <c r="G47" s="124">
        <f t="shared" si="2"/>
        <v>522441</v>
      </c>
    </row>
    <row r="48" spans="1:7" ht="15" customHeight="1">
      <c r="A48" s="590"/>
      <c r="B48" s="600" t="s">
        <v>1051</v>
      </c>
      <c r="C48" s="126">
        <f>SUM(C36,C42)</f>
        <v>538</v>
      </c>
      <c r="D48" s="124">
        <f t="shared" si="2"/>
        <v>210187</v>
      </c>
      <c r="E48" s="126">
        <f t="shared" si="2"/>
        <v>3260652</v>
      </c>
      <c r="F48" s="126">
        <f t="shared" si="2"/>
        <v>1293213</v>
      </c>
      <c r="G48" s="124">
        <f t="shared" si="2"/>
        <v>586433</v>
      </c>
    </row>
    <row r="49" spans="1:7" ht="15" customHeight="1">
      <c r="A49" s="590"/>
      <c r="B49" s="600" t="s">
        <v>1250</v>
      </c>
      <c r="C49" s="126">
        <f>SUM(C37,C43)</f>
        <v>549</v>
      </c>
      <c r="D49" s="126">
        <f t="shared" ref="D49:G50" si="3">SUM(D37,D43)</f>
        <v>215994</v>
      </c>
      <c r="E49" s="126">
        <f t="shared" si="3"/>
        <v>3251078</v>
      </c>
      <c r="F49" s="126">
        <f t="shared" si="3"/>
        <v>2174498</v>
      </c>
      <c r="G49" s="126">
        <f t="shared" si="3"/>
        <v>1074613</v>
      </c>
    </row>
    <row r="50" spans="1:7" ht="15" customHeight="1">
      <c r="A50" s="595"/>
      <c r="B50" s="600" t="s">
        <v>527</v>
      </c>
      <c r="C50" s="128">
        <f>SUM(C38,C44)</f>
        <v>575</v>
      </c>
      <c r="D50" s="128">
        <f t="shared" si="3"/>
        <v>205334</v>
      </c>
      <c r="E50" s="128">
        <f t="shared" si="3"/>
        <v>3597631</v>
      </c>
      <c r="F50" s="128">
        <f t="shared" si="3"/>
        <v>1577598</v>
      </c>
      <c r="G50" s="128">
        <f t="shared" si="3"/>
        <v>971156</v>
      </c>
    </row>
    <row r="51" spans="1:7">
      <c r="B51" s="707"/>
      <c r="C51" s="707"/>
      <c r="D51" s="707"/>
      <c r="E51" s="707"/>
      <c r="F51" s="707"/>
      <c r="G51" s="558" t="s">
        <v>804</v>
      </c>
    </row>
    <row r="52" spans="1:7">
      <c r="A52" s="49"/>
      <c r="B52" s="49"/>
      <c r="C52" s="49"/>
      <c r="D52" s="49"/>
      <c r="E52" s="49"/>
      <c r="F52" s="49"/>
      <c r="G52" s="49"/>
    </row>
    <row r="53" spans="1:7">
      <c r="A53" s="49"/>
      <c r="B53" s="49"/>
      <c r="C53" s="49"/>
      <c r="D53" s="49"/>
      <c r="E53" s="49"/>
      <c r="F53" s="49"/>
      <c r="G53" s="49"/>
    </row>
    <row r="54" spans="1:7">
      <c r="A54" s="49"/>
      <c r="B54" s="49"/>
      <c r="C54" s="49"/>
      <c r="D54" s="49"/>
      <c r="E54" s="49"/>
      <c r="F54" s="49"/>
      <c r="G54" s="49"/>
    </row>
    <row r="55" spans="1:7">
      <c r="A55" s="49"/>
      <c r="B55" s="49"/>
      <c r="C55" s="49"/>
      <c r="D55" s="49"/>
      <c r="E55" s="49"/>
      <c r="F55" s="49"/>
      <c r="G55" s="49"/>
    </row>
  </sheetData>
  <mergeCells count="10">
    <mergeCell ref="A8:B8"/>
    <mergeCell ref="G3:G7"/>
    <mergeCell ref="A1:G1"/>
    <mergeCell ref="A2:G2"/>
    <mergeCell ref="C4:C7"/>
    <mergeCell ref="D4:D7"/>
    <mergeCell ref="E3:E7"/>
    <mergeCell ref="A3:B7"/>
    <mergeCell ref="C3:D3"/>
    <mergeCell ref="F3:F7"/>
  </mergeCells>
  <phoneticPr fontId="0" type="noConversion"/>
  <printOptions horizontalCentered="1"/>
  <pageMargins left="0.1" right="0.1" top="0.7" bottom="0.1" header="0.7" footer="0.1"/>
  <pageSetup paperSize="9" orientation="portrait" blackAndWhite="1" r:id="rId1"/>
  <headerFooter alignWithMargins="0"/>
</worksheet>
</file>

<file path=xl/worksheets/sheet54.xml><?xml version="1.0" encoding="utf-8"?>
<worksheet xmlns="http://schemas.openxmlformats.org/spreadsheetml/2006/main" xmlns:r="http://schemas.openxmlformats.org/officeDocument/2006/relationships">
  <dimension ref="A1:R32"/>
  <sheetViews>
    <sheetView workbookViewId="0">
      <selection activeCell="F14" sqref="F14"/>
    </sheetView>
  </sheetViews>
  <sheetFormatPr defaultRowHeight="12.75"/>
  <cols>
    <col min="1" max="1" width="10.85546875" customWidth="1"/>
    <col min="2" max="2" width="5" customWidth="1"/>
    <col min="3" max="3" width="9" customWidth="1"/>
    <col min="4" max="4" width="8.7109375" customWidth="1"/>
    <col min="5" max="5" width="7.42578125" customWidth="1"/>
    <col min="6" max="6" width="5" customWidth="1"/>
    <col min="7" max="7" width="9" customWidth="1"/>
    <col min="8" max="8" width="8.7109375" customWidth="1"/>
    <col min="9" max="9" width="7.42578125" customWidth="1"/>
    <col min="10" max="10" width="5" customWidth="1"/>
    <col min="11" max="11" width="9" customWidth="1"/>
    <col min="12" max="12" width="8.7109375" customWidth="1"/>
    <col min="13" max="13" width="7.42578125" customWidth="1"/>
    <col min="14" max="14" width="5" customWidth="1"/>
    <col min="15" max="15" width="9" customWidth="1"/>
    <col min="16" max="16" width="8.7109375" customWidth="1"/>
    <col min="17" max="17" width="7.42578125" customWidth="1"/>
    <col min="18" max="18" width="11.140625" customWidth="1"/>
  </cols>
  <sheetData>
    <row r="1" spans="1:18">
      <c r="A1" s="1658" t="s">
        <v>678</v>
      </c>
      <c r="B1" s="1658"/>
      <c r="C1" s="1658"/>
      <c r="D1" s="1658"/>
      <c r="E1" s="1658"/>
      <c r="F1" s="1658"/>
      <c r="G1" s="1658"/>
      <c r="H1" s="1658"/>
      <c r="I1" s="1658"/>
      <c r="J1" s="1658"/>
      <c r="K1" s="1658"/>
      <c r="L1" s="1658"/>
      <c r="M1" s="1658"/>
      <c r="N1" s="1658"/>
      <c r="O1" s="1658"/>
      <c r="P1" s="1658"/>
      <c r="Q1" s="1658"/>
      <c r="R1" s="1658"/>
    </row>
    <row r="2" spans="1:18" ht="16.5">
      <c r="A2" s="1660" t="str">
        <f>CONCATENATE("Progress of Commercial Banking in the district of ",District!A1)</f>
        <v>Progress of Commercial Banking in the district of Purulia</v>
      </c>
      <c r="B2" s="1660"/>
      <c r="C2" s="1660"/>
      <c r="D2" s="1660"/>
      <c r="E2" s="1660"/>
      <c r="F2" s="1660"/>
      <c r="G2" s="1660"/>
      <c r="H2" s="1660"/>
      <c r="I2" s="1660"/>
      <c r="J2" s="1660"/>
      <c r="K2" s="1660"/>
      <c r="L2" s="1660"/>
      <c r="M2" s="1660"/>
      <c r="N2" s="1660"/>
      <c r="O2" s="1660"/>
      <c r="P2" s="1660"/>
      <c r="Q2" s="1660"/>
      <c r="R2" s="1660"/>
    </row>
    <row r="3" spans="1:18">
      <c r="A3" s="49"/>
      <c r="B3" s="158"/>
      <c r="C3" s="158"/>
      <c r="D3" s="158"/>
      <c r="E3" s="158"/>
      <c r="F3" s="158"/>
      <c r="G3" s="158"/>
      <c r="H3" s="158"/>
      <c r="I3" s="158"/>
      <c r="J3" s="158"/>
      <c r="K3" s="158"/>
      <c r="L3" s="158"/>
      <c r="M3" s="158"/>
      <c r="N3" s="158"/>
      <c r="O3" s="158"/>
      <c r="P3" s="158"/>
      <c r="Q3" s="170"/>
      <c r="R3" s="170"/>
    </row>
    <row r="4" spans="1:18" ht="12.75" customHeight="1">
      <c r="A4" s="1710" t="s">
        <v>66</v>
      </c>
      <c r="B4" s="1663" t="s">
        <v>1073</v>
      </c>
      <c r="C4" s="1671"/>
      <c r="D4" s="1671"/>
      <c r="E4" s="1667"/>
      <c r="F4" s="1663" t="s">
        <v>67</v>
      </c>
      <c r="G4" s="1671"/>
      <c r="H4" s="1671"/>
      <c r="I4" s="1667"/>
      <c r="J4" s="1671" t="s">
        <v>727</v>
      </c>
      <c r="K4" s="1671"/>
      <c r="L4" s="1671"/>
      <c r="M4" s="1671"/>
      <c r="N4" s="1663" t="s">
        <v>1035</v>
      </c>
      <c r="O4" s="1671"/>
      <c r="P4" s="1671"/>
      <c r="Q4" s="1667"/>
      <c r="R4" s="1668" t="s">
        <v>370</v>
      </c>
    </row>
    <row r="5" spans="1:18" ht="52.5" customHeight="1">
      <c r="A5" s="1711"/>
      <c r="B5" s="531" t="s">
        <v>726</v>
      </c>
      <c r="C5" s="519" t="s">
        <v>577</v>
      </c>
      <c r="D5" s="518" t="s">
        <v>578</v>
      </c>
      <c r="E5" s="525" t="s">
        <v>725</v>
      </c>
      <c r="F5" s="531" t="s">
        <v>726</v>
      </c>
      <c r="G5" s="519" t="s">
        <v>577</v>
      </c>
      <c r="H5" s="518" t="s">
        <v>578</v>
      </c>
      <c r="I5" s="525" t="s">
        <v>725</v>
      </c>
      <c r="J5" s="532" t="s">
        <v>726</v>
      </c>
      <c r="K5" s="519" t="s">
        <v>577</v>
      </c>
      <c r="L5" s="518" t="s">
        <v>578</v>
      </c>
      <c r="M5" s="525" t="s">
        <v>725</v>
      </c>
      <c r="N5" s="526" t="s">
        <v>726</v>
      </c>
      <c r="O5" s="519" t="s">
        <v>577</v>
      </c>
      <c r="P5" s="518" t="s">
        <v>578</v>
      </c>
      <c r="Q5" s="525" t="s">
        <v>725</v>
      </c>
      <c r="R5" s="1669"/>
    </row>
    <row r="6" spans="1:18" ht="15.75" customHeight="1">
      <c r="A6" s="269" t="s">
        <v>1008</v>
      </c>
      <c r="B6" s="269" t="s">
        <v>1009</v>
      </c>
      <c r="C6" s="299" t="s">
        <v>1010</v>
      </c>
      <c r="D6" s="486" t="s">
        <v>1011</v>
      </c>
      <c r="E6" s="299" t="s">
        <v>1015</v>
      </c>
      <c r="F6" s="269" t="s">
        <v>1016</v>
      </c>
      <c r="G6" s="299" t="s">
        <v>1017</v>
      </c>
      <c r="H6" s="486" t="s">
        <v>1039</v>
      </c>
      <c r="I6" s="299" t="s">
        <v>1040</v>
      </c>
      <c r="J6" s="486" t="s">
        <v>1041</v>
      </c>
      <c r="K6" s="299" t="s">
        <v>1042</v>
      </c>
      <c r="L6" s="486" t="s">
        <v>1076</v>
      </c>
      <c r="M6" s="299" t="s">
        <v>1077</v>
      </c>
      <c r="N6" s="269" t="s">
        <v>1078</v>
      </c>
      <c r="O6" s="299" t="s">
        <v>1079</v>
      </c>
      <c r="P6" s="486" t="s">
        <v>1080</v>
      </c>
      <c r="Q6" s="299" t="s">
        <v>1081</v>
      </c>
      <c r="R6" s="468" t="s">
        <v>1083</v>
      </c>
    </row>
    <row r="7" spans="1:18" ht="18" customHeight="1">
      <c r="A7" s="266">
        <v>2010</v>
      </c>
      <c r="B7" s="99">
        <v>95</v>
      </c>
      <c r="C7" s="31">
        <v>1350</v>
      </c>
      <c r="D7" s="99">
        <v>235</v>
      </c>
      <c r="E7" s="31">
        <v>17.41</v>
      </c>
      <c r="F7" s="99">
        <v>12</v>
      </c>
      <c r="G7" s="31">
        <v>431</v>
      </c>
      <c r="H7" s="99">
        <v>51</v>
      </c>
      <c r="I7" s="31">
        <v>11.83</v>
      </c>
      <c r="J7" s="99">
        <v>16</v>
      </c>
      <c r="K7" s="31">
        <v>886</v>
      </c>
      <c r="L7" s="99">
        <v>236</v>
      </c>
      <c r="M7" s="31">
        <v>26.67</v>
      </c>
      <c r="N7" s="191">
        <v>123</v>
      </c>
      <c r="O7" s="191">
        <v>2667</v>
      </c>
      <c r="P7" s="191">
        <v>522</v>
      </c>
      <c r="Q7" s="31">
        <v>19.579999999999998</v>
      </c>
      <c r="R7" s="99">
        <v>23</v>
      </c>
    </row>
    <row r="8" spans="1:18" ht="18" customHeight="1">
      <c r="A8" s="266">
        <v>2011</v>
      </c>
      <c r="B8" s="99">
        <v>95</v>
      </c>
      <c r="C8" s="31">
        <v>1593</v>
      </c>
      <c r="D8" s="99">
        <v>281</v>
      </c>
      <c r="E8" s="55">
        <v>17.600000000000001</v>
      </c>
      <c r="F8" s="99">
        <v>13</v>
      </c>
      <c r="G8" s="31">
        <v>519</v>
      </c>
      <c r="H8" s="99">
        <v>56</v>
      </c>
      <c r="I8" s="55">
        <v>10.8</v>
      </c>
      <c r="J8" s="99">
        <v>16</v>
      </c>
      <c r="K8" s="31">
        <v>1040</v>
      </c>
      <c r="L8" s="99">
        <v>248</v>
      </c>
      <c r="M8" s="55">
        <v>23.9</v>
      </c>
      <c r="N8" s="191">
        <v>124</v>
      </c>
      <c r="O8" s="191">
        <v>3152</v>
      </c>
      <c r="P8" s="191">
        <v>585</v>
      </c>
      <c r="Q8" s="55">
        <v>18.600000000000001</v>
      </c>
      <c r="R8" s="126" t="str">
        <f>ROUND('2.2'!$D$32/'7.2,7.3'!N8/1000,0) &amp; "*"</f>
        <v>24*</v>
      </c>
    </row>
    <row r="9" spans="1:18" ht="18" customHeight="1">
      <c r="A9" s="266">
        <v>2012</v>
      </c>
      <c r="B9" s="99">
        <v>95</v>
      </c>
      <c r="C9" s="31">
        <v>1926</v>
      </c>
      <c r="D9" s="99">
        <v>339</v>
      </c>
      <c r="E9" s="55">
        <f>ROUND(D9/C9*100,2)</f>
        <v>17.600000000000001</v>
      </c>
      <c r="F9" s="99">
        <v>15</v>
      </c>
      <c r="G9" s="31">
        <v>630</v>
      </c>
      <c r="H9" s="99">
        <v>71</v>
      </c>
      <c r="I9" s="55">
        <f>ROUND(H9/G9*100,2)</f>
        <v>11.27</v>
      </c>
      <c r="J9" s="99">
        <v>19</v>
      </c>
      <c r="K9" s="31">
        <v>1296</v>
      </c>
      <c r="L9" s="99">
        <v>287</v>
      </c>
      <c r="M9" s="55">
        <f>ROUND(L9/K9*100,2)</f>
        <v>22.15</v>
      </c>
      <c r="N9" s="191">
        <v>129</v>
      </c>
      <c r="O9" s="191">
        <v>3851</v>
      </c>
      <c r="P9" s="191">
        <v>697</v>
      </c>
      <c r="Q9" s="55">
        <f>ROUND(P9/O9*100,2)</f>
        <v>18.100000000000001</v>
      </c>
      <c r="R9" s="126" t="str">
        <f>ROUND('2.2'!$D$32/'7.2,7.3'!N9/1000,0) &amp; "*"</f>
        <v>23*</v>
      </c>
    </row>
    <row r="10" spans="1:18" ht="18" customHeight="1">
      <c r="A10" s="266">
        <v>2013</v>
      </c>
      <c r="B10" s="104">
        <v>98</v>
      </c>
      <c r="C10" s="31">
        <v>2364</v>
      </c>
      <c r="D10" s="99">
        <v>376</v>
      </c>
      <c r="E10" s="55">
        <f>ROUND(D10/C10*100,2)</f>
        <v>15.91</v>
      </c>
      <c r="F10" s="99">
        <v>16</v>
      </c>
      <c r="G10" s="31">
        <v>769</v>
      </c>
      <c r="H10" s="99">
        <v>79</v>
      </c>
      <c r="I10" s="55">
        <f>ROUND(H10/G10*100,2)</f>
        <v>10.27</v>
      </c>
      <c r="J10" s="99">
        <v>20</v>
      </c>
      <c r="K10" s="31">
        <v>1606</v>
      </c>
      <c r="L10" s="99">
        <v>332</v>
      </c>
      <c r="M10" s="55">
        <f>ROUND(L10/K10*100,2)</f>
        <v>20.67</v>
      </c>
      <c r="N10" s="191">
        <v>134</v>
      </c>
      <c r="O10" s="191">
        <v>4739</v>
      </c>
      <c r="P10" s="191">
        <v>787</v>
      </c>
      <c r="Q10" s="168">
        <f>ROUND(P10/O10*100,2)</f>
        <v>16.61</v>
      </c>
      <c r="R10" s="126" t="str">
        <f>ROUND('2.2'!$D$32/'7.2,7.3'!N10/1000,0) &amp; "*"</f>
        <v>22*</v>
      </c>
    </row>
    <row r="11" spans="1:18" ht="18" customHeight="1">
      <c r="A11" s="267">
        <v>2014</v>
      </c>
      <c r="B11" s="152">
        <v>103</v>
      </c>
      <c r="C11" s="89">
        <v>2719</v>
      </c>
      <c r="D11" s="89">
        <v>1306</v>
      </c>
      <c r="E11" s="151">
        <f>ROUND(D11/C11*100,2)</f>
        <v>48.03</v>
      </c>
      <c r="F11" s="89">
        <v>19</v>
      </c>
      <c r="G11" s="89">
        <v>912</v>
      </c>
      <c r="H11" s="89">
        <v>320</v>
      </c>
      <c r="I11" s="151">
        <f>ROUND(H11/G11*100,2)</f>
        <v>35.090000000000003</v>
      </c>
      <c r="J11" s="89">
        <v>23</v>
      </c>
      <c r="K11" s="89">
        <v>1717</v>
      </c>
      <c r="L11" s="89">
        <v>366</v>
      </c>
      <c r="M11" s="151">
        <f>ROUND(L11/K11*100,2)</f>
        <v>21.32</v>
      </c>
      <c r="N11" s="358">
        <v>145</v>
      </c>
      <c r="O11" s="193">
        <v>5348</v>
      </c>
      <c r="P11" s="357">
        <v>1992</v>
      </c>
      <c r="Q11" s="151">
        <f>ROUND(P11/O11*100,2)</f>
        <v>37.25</v>
      </c>
      <c r="R11" s="1350" t="str">
        <f>ROUND('2.2'!$D$32/'7.2,7.3'!N11/1000,0) &amp; "*"</f>
        <v>20*</v>
      </c>
    </row>
    <row r="12" spans="1:18" ht="12.75" customHeight="1">
      <c r="A12" s="562" t="s">
        <v>1433</v>
      </c>
      <c r="B12" s="349" t="s">
        <v>76</v>
      </c>
      <c r="C12" s="349"/>
      <c r="D12" s="330"/>
      <c r="E12" s="330"/>
      <c r="F12" s="330"/>
      <c r="G12" s="330"/>
      <c r="H12" s="330"/>
      <c r="I12" s="330"/>
      <c r="J12" s="330"/>
      <c r="K12" s="330"/>
      <c r="L12" s="562" t="s">
        <v>1400</v>
      </c>
      <c r="M12" s="1712" t="s">
        <v>830</v>
      </c>
      <c r="N12" s="1712"/>
      <c r="O12" s="1712"/>
      <c r="P12" s="1712"/>
      <c r="Q12" s="1712"/>
      <c r="R12" s="1712"/>
    </row>
    <row r="13" spans="1:18">
      <c r="A13" s="349"/>
      <c r="B13" s="349" t="s">
        <v>77</v>
      </c>
      <c r="C13" s="349"/>
      <c r="D13" s="330"/>
      <c r="E13" s="330"/>
      <c r="F13" s="330"/>
      <c r="G13" s="330"/>
      <c r="H13" s="330"/>
      <c r="I13" s="330"/>
      <c r="J13" s="330"/>
      <c r="K13" s="330"/>
      <c r="L13" s="349"/>
      <c r="M13" s="1679"/>
      <c r="N13" s="1679"/>
      <c r="O13" s="1679"/>
      <c r="P13" s="1679"/>
      <c r="Q13" s="1679"/>
      <c r="R13" s="1679"/>
    </row>
    <row r="14" spans="1:18">
      <c r="A14" s="349"/>
      <c r="B14" s="349" t="s">
        <v>78</v>
      </c>
      <c r="C14" s="349"/>
      <c r="D14" s="330"/>
      <c r="E14" s="330"/>
      <c r="F14" s="330"/>
      <c r="G14" s="330"/>
      <c r="H14" s="330"/>
      <c r="I14" s="330"/>
      <c r="J14" s="330"/>
      <c r="K14" s="330"/>
      <c r="L14" s="330"/>
      <c r="M14" s="351"/>
      <c r="N14" s="351"/>
      <c r="O14" s="351"/>
      <c r="P14" s="351"/>
      <c r="Q14" s="351"/>
      <c r="R14" s="351"/>
    </row>
    <row r="15" spans="1:18">
      <c r="A15" s="349"/>
      <c r="B15" s="349" t="s">
        <v>238</v>
      </c>
      <c r="C15" s="349"/>
      <c r="D15" s="330"/>
      <c r="E15" s="330"/>
      <c r="F15" s="330"/>
      <c r="G15" s="330"/>
      <c r="H15" s="330"/>
      <c r="I15" s="330"/>
      <c r="J15" s="330"/>
      <c r="K15" s="330"/>
      <c r="L15" s="330"/>
      <c r="M15" s="330"/>
      <c r="N15" s="330"/>
      <c r="O15" s="330"/>
      <c r="P15" s="330"/>
      <c r="Q15" s="330"/>
      <c r="R15" s="330"/>
    </row>
    <row r="16" spans="1:18" ht="13.5">
      <c r="A16" s="695" t="s">
        <v>564</v>
      </c>
      <c r="B16" s="49"/>
      <c r="C16" s="49"/>
      <c r="D16" s="49"/>
      <c r="F16" s="49"/>
      <c r="G16" s="49"/>
      <c r="I16" s="177"/>
      <c r="J16" s="177"/>
      <c r="K16" s="177"/>
      <c r="L16" s="177"/>
      <c r="M16" s="177"/>
      <c r="N16" s="177"/>
      <c r="O16" s="177"/>
      <c r="P16" s="177"/>
      <c r="Q16" s="177"/>
      <c r="R16" s="177"/>
    </row>
    <row r="17" spans="1:18">
      <c r="A17" s="669" t="s">
        <v>1193</v>
      </c>
      <c r="B17" s="49"/>
      <c r="C17" s="49"/>
      <c r="D17" s="49"/>
      <c r="E17" s="49"/>
      <c r="F17" s="49"/>
      <c r="G17" s="49"/>
      <c r="I17" s="177"/>
      <c r="J17" s="177"/>
      <c r="K17" s="177"/>
      <c r="L17" s="177"/>
      <c r="M17" s="177"/>
      <c r="N17" s="177"/>
      <c r="O17" s="177"/>
      <c r="P17" s="177"/>
      <c r="Q17" s="177"/>
      <c r="R17" s="177"/>
    </row>
    <row r="18" spans="1:18">
      <c r="A18" s="49"/>
      <c r="B18" s="49"/>
      <c r="C18" s="49"/>
      <c r="D18" s="49"/>
      <c r="E18" s="49"/>
      <c r="F18" s="49"/>
      <c r="G18" s="49"/>
      <c r="I18" s="177"/>
      <c r="J18" s="177"/>
      <c r="K18" s="177"/>
      <c r="L18" s="177"/>
      <c r="M18" s="177"/>
      <c r="N18" s="177"/>
      <c r="O18" s="177"/>
      <c r="P18" s="177"/>
      <c r="Q18" s="177"/>
      <c r="R18" s="177"/>
    </row>
    <row r="19" spans="1:18">
      <c r="A19" s="1658" t="s">
        <v>679</v>
      </c>
      <c r="B19" s="1658"/>
      <c r="C19" s="1658"/>
      <c r="D19" s="1658"/>
      <c r="E19" s="1658"/>
      <c r="F19" s="1658"/>
      <c r="G19" s="1658"/>
      <c r="H19" s="1658"/>
      <c r="I19" s="1658"/>
      <c r="J19" s="1658"/>
      <c r="K19" s="1658"/>
      <c r="L19" s="1658"/>
      <c r="M19" s="1658"/>
      <c r="N19" s="1658"/>
      <c r="O19" s="1658"/>
      <c r="P19" s="1658"/>
      <c r="Q19" s="1658"/>
      <c r="R19" s="1658"/>
    </row>
    <row r="20" spans="1:18" ht="16.5">
      <c r="A20" s="1660" t="str">
        <f>CONCATENATE("Progress of L.I.C. in the district of ",District!A1)</f>
        <v>Progress of L.I.C. in the district of Purulia</v>
      </c>
      <c r="B20" s="1660"/>
      <c r="C20" s="1660"/>
      <c r="D20" s="1660"/>
      <c r="E20" s="1660"/>
      <c r="F20" s="1660"/>
      <c r="G20" s="1660"/>
      <c r="H20" s="1660"/>
      <c r="I20" s="1660"/>
      <c r="J20" s="1660"/>
      <c r="K20" s="1660"/>
      <c r="L20" s="1660"/>
      <c r="M20" s="1660"/>
      <c r="N20" s="1660"/>
      <c r="O20" s="1660"/>
      <c r="P20" s="1660"/>
      <c r="Q20" s="1660"/>
      <c r="R20" s="1660"/>
    </row>
    <row r="21" spans="1:18" ht="18.75" customHeight="1">
      <c r="A21" s="1713" t="s">
        <v>951</v>
      </c>
      <c r="B21" s="1714"/>
      <c r="C21" s="1709" t="s">
        <v>79</v>
      </c>
      <c r="D21" s="1701"/>
      <c r="E21" s="1701"/>
      <c r="F21" s="1701"/>
      <c r="G21" s="1701"/>
      <c r="H21" s="1701"/>
      <c r="I21" s="1701"/>
      <c r="J21" s="1687"/>
      <c r="K21" s="1717" t="s">
        <v>1536</v>
      </c>
      <c r="L21" s="1718"/>
      <c r="M21" s="1718"/>
      <c r="N21" s="1719"/>
      <c r="O21" s="1663" t="s">
        <v>80</v>
      </c>
      <c r="P21" s="1671"/>
      <c r="Q21" s="1671"/>
      <c r="R21" s="1667"/>
    </row>
    <row r="22" spans="1:18" ht="39.75" customHeight="1">
      <c r="A22" s="1715"/>
      <c r="B22" s="1716"/>
      <c r="C22" s="1709" t="s">
        <v>746</v>
      </c>
      <c r="D22" s="1701"/>
      <c r="E22" s="1701"/>
      <c r="F22" s="1687"/>
      <c r="G22" s="1709" t="s">
        <v>1502</v>
      </c>
      <c r="H22" s="1701"/>
      <c r="I22" s="1701"/>
      <c r="J22" s="1687"/>
      <c r="K22" s="1709" t="s">
        <v>81</v>
      </c>
      <c r="L22" s="1687"/>
      <c r="M22" s="1709" t="s">
        <v>82</v>
      </c>
      <c r="N22" s="1687"/>
      <c r="O22" s="1709" t="s">
        <v>747</v>
      </c>
      <c r="P22" s="1687"/>
      <c r="Q22" s="1709" t="s">
        <v>1537</v>
      </c>
      <c r="R22" s="1687"/>
    </row>
    <row r="23" spans="1:18" ht="13.5" customHeight="1">
      <c r="A23" s="1675" t="s">
        <v>1008</v>
      </c>
      <c r="B23" s="1699"/>
      <c r="C23" s="1700" t="s">
        <v>1009</v>
      </c>
      <c r="D23" s="1701"/>
      <c r="E23" s="1701"/>
      <c r="F23" s="1687"/>
      <c r="G23" s="1700" t="s">
        <v>1010</v>
      </c>
      <c r="H23" s="1702"/>
      <c r="I23" s="1702"/>
      <c r="J23" s="1703"/>
      <c r="K23" s="1675" t="s">
        <v>1011</v>
      </c>
      <c r="L23" s="1699"/>
      <c r="M23" s="1675" t="s">
        <v>1015</v>
      </c>
      <c r="N23" s="1699"/>
      <c r="O23" s="1675" t="s">
        <v>1016</v>
      </c>
      <c r="P23" s="1699"/>
      <c r="Q23" s="1675" t="s">
        <v>1017</v>
      </c>
      <c r="R23" s="1699"/>
    </row>
    <row r="24" spans="1:18" ht="18" customHeight="1">
      <c r="A24" s="1707" t="s">
        <v>1526</v>
      </c>
      <c r="B24" s="1708"/>
      <c r="C24" s="1704">
        <v>64746</v>
      </c>
      <c r="D24" s="1706"/>
      <c r="E24" s="1706"/>
      <c r="F24" s="1705"/>
      <c r="G24" s="1704">
        <v>643.07000000000005</v>
      </c>
      <c r="H24" s="1706"/>
      <c r="I24" s="1706"/>
      <c r="J24" s="1705"/>
      <c r="K24" s="1704">
        <v>1383157</v>
      </c>
      <c r="L24" s="1705"/>
      <c r="M24" s="1704">
        <v>781327</v>
      </c>
      <c r="N24" s="1705"/>
      <c r="O24" s="1704">
        <v>4428</v>
      </c>
      <c r="P24" s="1705"/>
      <c r="Q24" s="1704">
        <v>64243</v>
      </c>
      <c r="R24" s="1705"/>
    </row>
    <row r="25" spans="1:18" ht="18" customHeight="1">
      <c r="A25" s="1696" t="s">
        <v>1525</v>
      </c>
      <c r="B25" s="1697"/>
      <c r="C25" s="1694">
        <v>57732</v>
      </c>
      <c r="D25" s="1698"/>
      <c r="E25" s="1698"/>
      <c r="F25" s="1695"/>
      <c r="G25" s="1694">
        <v>355.89</v>
      </c>
      <c r="H25" s="1698"/>
      <c r="I25" s="1698"/>
      <c r="J25" s="1695"/>
      <c r="K25" s="1694">
        <v>1485861</v>
      </c>
      <c r="L25" s="1695"/>
      <c r="M25" s="1694">
        <v>1406940</v>
      </c>
      <c r="N25" s="1695"/>
      <c r="O25" s="1694">
        <v>4476</v>
      </c>
      <c r="P25" s="1695"/>
      <c r="Q25" s="1694">
        <v>150522</v>
      </c>
      <c r="R25" s="1695"/>
    </row>
    <row r="26" spans="1:18" ht="18" customHeight="1">
      <c r="A26" s="1696" t="s">
        <v>246</v>
      </c>
      <c r="B26" s="1697"/>
      <c r="C26" s="1694">
        <v>33164</v>
      </c>
      <c r="D26" s="1698"/>
      <c r="E26" s="1698"/>
      <c r="F26" s="1695"/>
      <c r="G26" s="1694">
        <v>398.89</v>
      </c>
      <c r="H26" s="1698"/>
      <c r="I26" s="1698"/>
      <c r="J26" s="1695"/>
      <c r="K26" s="1694">
        <v>392253</v>
      </c>
      <c r="L26" s="1695"/>
      <c r="M26" s="1694">
        <v>897416</v>
      </c>
      <c r="N26" s="1695"/>
      <c r="O26" s="1694">
        <v>3592</v>
      </c>
      <c r="P26" s="1695"/>
      <c r="Q26" s="1694">
        <v>107207</v>
      </c>
      <c r="R26" s="1695"/>
    </row>
    <row r="27" spans="1:18" ht="18" customHeight="1">
      <c r="A27" s="1696" t="s">
        <v>1250</v>
      </c>
      <c r="B27" s="1697"/>
      <c r="C27" s="1694">
        <v>47088</v>
      </c>
      <c r="D27" s="1698"/>
      <c r="E27" s="1698"/>
      <c r="F27" s="1695"/>
      <c r="G27" s="1694">
        <v>617.66999999999996</v>
      </c>
      <c r="H27" s="1698"/>
      <c r="I27" s="1698"/>
      <c r="J27" s="1695"/>
      <c r="K27" s="1694">
        <v>475448</v>
      </c>
      <c r="L27" s="1695"/>
      <c r="M27" s="1694">
        <v>1479793</v>
      </c>
      <c r="N27" s="1695"/>
      <c r="O27" s="1694">
        <v>12646</v>
      </c>
      <c r="P27" s="1695"/>
      <c r="Q27" s="1694">
        <v>197781</v>
      </c>
      <c r="R27" s="1695"/>
    </row>
    <row r="28" spans="1:18" ht="18" customHeight="1">
      <c r="A28" s="1691" t="s">
        <v>527</v>
      </c>
      <c r="B28" s="1692"/>
      <c r="C28" s="1689">
        <v>53568</v>
      </c>
      <c r="D28" s="1693"/>
      <c r="E28" s="1693"/>
      <c r="F28" s="1690"/>
      <c r="G28" s="1689">
        <v>709.19</v>
      </c>
      <c r="H28" s="1693"/>
      <c r="I28" s="1693"/>
      <c r="J28" s="1690"/>
      <c r="K28" s="1689">
        <v>519615</v>
      </c>
      <c r="L28" s="1690"/>
      <c r="M28" s="1689">
        <v>1621707</v>
      </c>
      <c r="N28" s="1690"/>
      <c r="O28" s="1689">
        <v>5364</v>
      </c>
      <c r="P28" s="1690"/>
      <c r="Q28" s="1689">
        <v>144850</v>
      </c>
      <c r="R28" s="1690"/>
    </row>
    <row r="29" spans="1:18">
      <c r="A29" s="669" t="s">
        <v>247</v>
      </c>
      <c r="B29" s="195"/>
      <c r="C29" s="195"/>
      <c r="D29" s="195"/>
      <c r="E29" s="195"/>
      <c r="F29" s="195"/>
      <c r="G29" s="195"/>
      <c r="H29" s="49"/>
      <c r="I29" s="49"/>
      <c r="J29" s="49"/>
      <c r="K29" s="49"/>
      <c r="L29" s="49"/>
      <c r="N29" s="359"/>
      <c r="O29" s="360" t="s">
        <v>776</v>
      </c>
      <c r="P29" s="361" t="s">
        <v>579</v>
      </c>
      <c r="Q29" s="360"/>
      <c r="R29" s="359"/>
    </row>
    <row r="30" spans="1:18">
      <c r="A30" s="159"/>
      <c r="B30" s="159"/>
      <c r="C30" s="159"/>
      <c r="D30" s="49"/>
      <c r="E30" s="159"/>
      <c r="F30" s="159"/>
      <c r="G30" s="159"/>
      <c r="H30" s="49"/>
      <c r="I30" s="49"/>
      <c r="J30" s="49"/>
      <c r="K30" s="49"/>
      <c r="L30" s="49"/>
      <c r="N30" s="316"/>
      <c r="O30" s="360" t="s">
        <v>782</v>
      </c>
      <c r="P30" s="361" t="s">
        <v>1498</v>
      </c>
      <c r="Q30" s="359"/>
      <c r="R30" s="359"/>
    </row>
    <row r="31" spans="1:18">
      <c r="A31" s="49"/>
      <c r="B31" s="49"/>
      <c r="C31" s="49"/>
      <c r="D31" s="49"/>
      <c r="E31" s="49"/>
      <c r="F31" s="49"/>
      <c r="G31" s="49"/>
      <c r="H31" s="49"/>
      <c r="I31" s="49"/>
      <c r="J31" s="49"/>
      <c r="K31" s="49"/>
      <c r="L31" s="49"/>
      <c r="M31" s="49"/>
      <c r="N31" s="359"/>
      <c r="O31" s="572"/>
      <c r="P31" s="361" t="s">
        <v>1499</v>
      </c>
      <c r="Q31" s="359"/>
      <c r="R31" s="359"/>
    </row>
    <row r="32" spans="1:18">
      <c r="N32" s="316"/>
      <c r="O32" s="316"/>
      <c r="P32" s="361"/>
      <c r="Q32" s="316"/>
      <c r="R32" s="316"/>
    </row>
  </sheetData>
  <mergeCells count="63">
    <mergeCell ref="O23:P23"/>
    <mergeCell ref="Q23:R23"/>
    <mergeCell ref="A1:R1"/>
    <mergeCell ref="A2:R2"/>
    <mergeCell ref="A4:A5"/>
    <mergeCell ref="B4:E4"/>
    <mergeCell ref="F4:I4"/>
    <mergeCell ref="J4:M4"/>
    <mergeCell ref="N4:Q4"/>
    <mergeCell ref="R4:R5"/>
    <mergeCell ref="M12:R13"/>
    <mergeCell ref="A19:R19"/>
    <mergeCell ref="A20:R20"/>
    <mergeCell ref="A21:B22"/>
    <mergeCell ref="C21:J21"/>
    <mergeCell ref="K21:N21"/>
    <mergeCell ref="O21:R21"/>
    <mergeCell ref="C22:F22"/>
    <mergeCell ref="G22:J22"/>
    <mergeCell ref="K22:L22"/>
    <mergeCell ref="M22:N22"/>
    <mergeCell ref="O22:P22"/>
    <mergeCell ref="Q22:R22"/>
    <mergeCell ref="Q24:R24"/>
    <mergeCell ref="A25:B25"/>
    <mergeCell ref="C25:F25"/>
    <mergeCell ref="G25:J25"/>
    <mergeCell ref="K25:L25"/>
    <mergeCell ref="M25:N25"/>
    <mergeCell ref="O25:P25"/>
    <mergeCell ref="Q25:R25"/>
    <mergeCell ref="A24:B24"/>
    <mergeCell ref="C24:F24"/>
    <mergeCell ref="O24:P24"/>
    <mergeCell ref="A23:B23"/>
    <mergeCell ref="C23:F23"/>
    <mergeCell ref="G23:J23"/>
    <mergeCell ref="K23:L23"/>
    <mergeCell ref="M24:N24"/>
    <mergeCell ref="G24:J24"/>
    <mergeCell ref="K24:L24"/>
    <mergeCell ref="M23:N23"/>
    <mergeCell ref="M26:N26"/>
    <mergeCell ref="O26:P26"/>
    <mergeCell ref="Q26:R26"/>
    <mergeCell ref="A27:B27"/>
    <mergeCell ref="C27:F27"/>
    <mergeCell ref="G27:J27"/>
    <mergeCell ref="K27:L27"/>
    <mergeCell ref="M27:N27"/>
    <mergeCell ref="O27:P27"/>
    <mergeCell ref="Q27:R27"/>
    <mergeCell ref="A26:B26"/>
    <mergeCell ref="C26:F26"/>
    <mergeCell ref="G26:J26"/>
    <mergeCell ref="K26:L26"/>
    <mergeCell ref="M28:N28"/>
    <mergeCell ref="O28:P28"/>
    <mergeCell ref="Q28:R28"/>
    <mergeCell ref="A28:B28"/>
    <mergeCell ref="C28:F28"/>
    <mergeCell ref="G28:J28"/>
    <mergeCell ref="K28:L28"/>
  </mergeCells>
  <phoneticPr fontId="0" type="noConversion"/>
  <printOptions horizontalCentered="1"/>
  <pageMargins left="0" right="0" top="0.42" bottom="0" header="0" footer="0"/>
  <pageSetup paperSize="9" orientation="landscape" blackAndWhite="1" r:id="rId1"/>
  <headerFooter alignWithMargins="0"/>
</worksheet>
</file>

<file path=xl/worksheets/sheet55.xml><?xml version="1.0" encoding="utf-8"?>
<worksheet xmlns="http://schemas.openxmlformats.org/spreadsheetml/2006/main" xmlns:r="http://schemas.openxmlformats.org/officeDocument/2006/relationships">
  <dimension ref="A1:K46"/>
  <sheetViews>
    <sheetView workbookViewId="0">
      <selection activeCell="F14" sqref="F14"/>
    </sheetView>
  </sheetViews>
  <sheetFormatPr defaultRowHeight="12.75"/>
  <cols>
    <col min="1" max="1" width="17.7109375" customWidth="1"/>
    <col min="2" max="6" width="14.140625" customWidth="1"/>
  </cols>
  <sheetData>
    <row r="1" spans="1:11" ht="12.75" customHeight="1">
      <c r="A1" s="1658" t="s">
        <v>680</v>
      </c>
      <c r="B1" s="1658"/>
      <c r="C1" s="1658"/>
      <c r="D1" s="1658"/>
      <c r="E1" s="1658"/>
      <c r="F1" s="1658"/>
    </row>
    <row r="2" spans="1:11" ht="41.25" customHeight="1">
      <c r="A2" s="1670" t="str">
        <f>CONCATENATE("Micro &amp; Small Scale  Enterprises with corresponding Employment 
in the district of ",District!A1)</f>
        <v>Micro &amp; Small Scale  Enterprises with corresponding Employment 
in the district of Purulia</v>
      </c>
      <c r="B2" s="1670"/>
      <c r="C2" s="1670"/>
      <c r="D2" s="1670"/>
      <c r="E2" s="1670"/>
      <c r="F2" s="1670"/>
    </row>
    <row r="3" spans="1:11" ht="12.75" customHeight="1">
      <c r="A3" s="49"/>
      <c r="B3" s="194"/>
      <c r="C3" s="49"/>
      <c r="D3" s="24"/>
      <c r="E3" s="49"/>
      <c r="F3" s="364" t="s">
        <v>1058</v>
      </c>
    </row>
    <row r="4" spans="1:11" ht="14.25" customHeight="1">
      <c r="A4" s="1726" t="s">
        <v>951</v>
      </c>
      <c r="B4" s="1727"/>
      <c r="C4" s="1663" t="s">
        <v>952</v>
      </c>
      <c r="D4" s="1667"/>
      <c r="E4" s="1663" t="s">
        <v>84</v>
      </c>
      <c r="F4" s="1667"/>
    </row>
    <row r="5" spans="1:11" ht="14.25" customHeight="1">
      <c r="A5" s="1728"/>
      <c r="B5" s="1729"/>
      <c r="C5" s="322" t="s">
        <v>1532</v>
      </c>
      <c r="D5" s="300" t="s">
        <v>1533</v>
      </c>
      <c r="E5" s="322" t="s">
        <v>1532</v>
      </c>
      <c r="F5" s="300" t="s">
        <v>1533</v>
      </c>
    </row>
    <row r="6" spans="1:11" ht="13.5" customHeight="1">
      <c r="A6" s="1675" t="s">
        <v>1008</v>
      </c>
      <c r="B6" s="1699"/>
      <c r="C6" s="277" t="s">
        <v>1009</v>
      </c>
      <c r="D6" s="293" t="s">
        <v>1010</v>
      </c>
      <c r="E6" s="277" t="s">
        <v>1011</v>
      </c>
      <c r="F6" s="293" t="s">
        <v>1015</v>
      </c>
    </row>
    <row r="7" spans="1:11" ht="18" customHeight="1">
      <c r="A7" s="1724" t="s">
        <v>1526</v>
      </c>
      <c r="B7" s="1725"/>
      <c r="C7" s="99">
        <v>314</v>
      </c>
      <c r="D7" s="94">
        <v>937</v>
      </c>
      <c r="E7" s="99">
        <v>2163</v>
      </c>
      <c r="F7" s="99">
        <v>7787</v>
      </c>
      <c r="G7" s="31"/>
      <c r="H7" s="31"/>
      <c r="I7" s="31"/>
      <c r="J7" s="31"/>
      <c r="K7" s="2"/>
    </row>
    <row r="8" spans="1:11" ht="18" customHeight="1">
      <c r="A8" s="1722" t="s">
        <v>1525</v>
      </c>
      <c r="B8" s="1723"/>
      <c r="C8" s="99">
        <v>207</v>
      </c>
      <c r="D8" s="94">
        <v>1144</v>
      </c>
      <c r="E8" s="99">
        <v>1484</v>
      </c>
      <c r="F8" s="99">
        <v>9271</v>
      </c>
      <c r="G8" s="31"/>
      <c r="H8" s="106"/>
      <c r="I8" s="31"/>
      <c r="J8" s="31"/>
      <c r="K8" s="2"/>
    </row>
    <row r="9" spans="1:11" ht="18" customHeight="1">
      <c r="A9" s="1722" t="s">
        <v>1051</v>
      </c>
      <c r="B9" s="1723"/>
      <c r="C9" s="99">
        <v>352</v>
      </c>
      <c r="D9" s="94">
        <v>1496</v>
      </c>
      <c r="E9" s="99">
        <v>2519</v>
      </c>
      <c r="F9" s="99">
        <v>11790</v>
      </c>
      <c r="G9" s="31"/>
      <c r="H9" s="31"/>
      <c r="I9" s="31"/>
      <c r="J9" s="31"/>
      <c r="K9" s="2"/>
    </row>
    <row r="10" spans="1:11" ht="18" customHeight="1">
      <c r="A10" s="1722" t="s">
        <v>1250</v>
      </c>
      <c r="B10" s="1723"/>
      <c r="C10" s="99">
        <v>152</v>
      </c>
      <c r="D10" s="94">
        <f>D9+C10</f>
        <v>1648</v>
      </c>
      <c r="E10" s="99">
        <v>1559</v>
      </c>
      <c r="F10" s="99">
        <f>F9+E10</f>
        <v>13349</v>
      </c>
      <c r="G10" s="2"/>
      <c r="H10" s="2"/>
      <c r="I10" s="2"/>
      <c r="J10" s="2"/>
      <c r="K10" s="2"/>
    </row>
    <row r="11" spans="1:11" ht="18" customHeight="1">
      <c r="A11" s="1720" t="s">
        <v>527</v>
      </c>
      <c r="B11" s="1721"/>
      <c r="C11" s="89">
        <v>316</v>
      </c>
      <c r="D11" s="43">
        <v>1964</v>
      </c>
      <c r="E11" s="89">
        <v>1170</v>
      </c>
      <c r="F11" s="89">
        <v>14519</v>
      </c>
    </row>
    <row r="12" spans="1:11" ht="12.95" customHeight="1">
      <c r="C12" s="567" t="s">
        <v>1400</v>
      </c>
      <c r="D12" s="1678" t="s">
        <v>1054</v>
      </c>
      <c r="E12" s="1678"/>
      <c r="F12" s="1678"/>
    </row>
    <row r="13" spans="1:11" ht="12.95" customHeight="1">
      <c r="C13" s="560"/>
      <c r="D13" s="1679"/>
      <c r="E13" s="1679"/>
      <c r="F13" s="1679"/>
    </row>
    <row r="14" spans="1:11" ht="12" customHeight="1">
      <c r="C14" s="560"/>
    </row>
    <row r="15" spans="1:11">
      <c r="D15" s="19"/>
      <c r="E15" s="19"/>
      <c r="F15" s="19"/>
    </row>
    <row r="16" spans="1:11" ht="13.5" customHeight="1">
      <c r="A16" s="1658" t="s">
        <v>681</v>
      </c>
      <c r="B16" s="1658"/>
      <c r="C16" s="1658"/>
      <c r="D16" s="1658"/>
      <c r="E16" s="1658"/>
      <c r="F16" s="1658"/>
    </row>
    <row r="17" spans="1:6" ht="15.75" customHeight="1">
      <c r="A17" s="1676" t="str">
        <f>CONCATENATE(" Mouzas Electrified in the district of ",District!A1)</f>
        <v xml:space="preserve"> Mouzas Electrified in the district of Purulia</v>
      </c>
      <c r="B17" s="1676"/>
      <c r="C17" s="1676"/>
      <c r="D17" s="1676"/>
      <c r="E17" s="1676"/>
      <c r="F17" s="1676"/>
    </row>
    <row r="18" spans="1:6">
      <c r="A18" s="49"/>
      <c r="B18" s="158"/>
      <c r="C18" s="158"/>
      <c r="D18" s="158"/>
      <c r="E18" s="158"/>
      <c r="F18" s="315" t="s">
        <v>1058</v>
      </c>
    </row>
    <row r="19" spans="1:6" ht="13.5" customHeight="1">
      <c r="A19" s="1668" t="s">
        <v>748</v>
      </c>
      <c r="B19" s="1663" t="s">
        <v>819</v>
      </c>
      <c r="C19" s="1671"/>
      <c r="D19" s="1671"/>
      <c r="E19" s="1671"/>
      <c r="F19" s="1714"/>
    </row>
    <row r="20" spans="1:6" ht="15" customHeight="1">
      <c r="A20" s="1669"/>
      <c r="B20" s="1324">
        <v>2010</v>
      </c>
      <c r="C20" s="1324">
        <v>2011</v>
      </c>
      <c r="D20" s="1324">
        <v>2012</v>
      </c>
      <c r="E20" s="1324">
        <v>2013</v>
      </c>
      <c r="F20" s="61">
        <v>2014</v>
      </c>
    </row>
    <row r="21" spans="1:6" ht="15" customHeight="1">
      <c r="A21" s="293" t="s">
        <v>1008</v>
      </c>
      <c r="B21" s="293" t="s">
        <v>1009</v>
      </c>
      <c r="C21" s="293" t="s">
        <v>1010</v>
      </c>
      <c r="D21" s="293" t="s">
        <v>1011</v>
      </c>
      <c r="E21" s="293" t="s">
        <v>1015</v>
      </c>
      <c r="F21" s="293" t="s">
        <v>1016</v>
      </c>
    </row>
    <row r="22" spans="1:6" ht="26.25" customHeight="1">
      <c r="A22" s="513" t="s">
        <v>1370</v>
      </c>
      <c r="B22" s="301">
        <f>SUM(B23:B29)</f>
        <v>814</v>
      </c>
      <c r="C22" s="301">
        <f>SUM(C23:C29)</f>
        <v>849</v>
      </c>
      <c r="D22" s="301">
        <f>SUM(D23:D29)</f>
        <v>861</v>
      </c>
      <c r="E22" s="301">
        <f>SUM(E23:E29)</f>
        <v>876</v>
      </c>
      <c r="F22" s="301">
        <f>SUM(F23:F29)</f>
        <v>881</v>
      </c>
    </row>
    <row r="23" spans="1:6" ht="15" customHeight="1">
      <c r="A23" s="251" t="s">
        <v>26</v>
      </c>
      <c r="B23" s="105">
        <v>82</v>
      </c>
      <c r="C23" s="105">
        <v>88</v>
      </c>
      <c r="D23" s="105">
        <v>91</v>
      </c>
      <c r="E23" s="105">
        <v>93</v>
      </c>
      <c r="F23" s="105">
        <v>93</v>
      </c>
    </row>
    <row r="24" spans="1:6" ht="15" customHeight="1">
      <c r="A24" s="251" t="s">
        <v>27</v>
      </c>
      <c r="B24" s="105">
        <v>114</v>
      </c>
      <c r="C24" s="105">
        <v>126</v>
      </c>
      <c r="D24" s="105">
        <v>129</v>
      </c>
      <c r="E24" s="105">
        <v>133</v>
      </c>
      <c r="F24" s="105">
        <v>135</v>
      </c>
    </row>
    <row r="25" spans="1:6" ht="15" customHeight="1">
      <c r="A25" s="251" t="s">
        <v>53</v>
      </c>
      <c r="B25" s="105">
        <v>83</v>
      </c>
      <c r="C25" s="105">
        <v>90</v>
      </c>
      <c r="D25" s="105">
        <v>90</v>
      </c>
      <c r="E25" s="105">
        <v>90</v>
      </c>
      <c r="F25" s="105">
        <v>92</v>
      </c>
    </row>
    <row r="26" spans="1:6" ht="15" customHeight="1">
      <c r="A26" s="251" t="s">
        <v>28</v>
      </c>
      <c r="B26" s="105">
        <v>188</v>
      </c>
      <c r="C26" s="105">
        <v>191</v>
      </c>
      <c r="D26" s="105">
        <v>194</v>
      </c>
      <c r="E26" s="105">
        <v>199</v>
      </c>
      <c r="F26" s="105">
        <v>199</v>
      </c>
    </row>
    <row r="27" spans="1:6" ht="15" customHeight="1">
      <c r="A27" s="251" t="s">
        <v>29</v>
      </c>
      <c r="B27" s="105">
        <v>103</v>
      </c>
      <c r="C27" s="105">
        <v>105</v>
      </c>
      <c r="D27" s="105">
        <v>107</v>
      </c>
      <c r="E27" s="105">
        <v>110</v>
      </c>
      <c r="F27" s="105">
        <v>110</v>
      </c>
    </row>
    <row r="28" spans="1:6" ht="15" customHeight="1">
      <c r="A28" s="251" t="s">
        <v>48</v>
      </c>
      <c r="B28" s="105">
        <v>129</v>
      </c>
      <c r="C28" s="105">
        <v>131</v>
      </c>
      <c r="D28" s="105">
        <v>131</v>
      </c>
      <c r="E28" s="105">
        <v>131</v>
      </c>
      <c r="F28" s="105">
        <v>131</v>
      </c>
    </row>
    <row r="29" spans="1:6" ht="15" customHeight="1">
      <c r="A29" s="251" t="s">
        <v>54</v>
      </c>
      <c r="B29" s="105">
        <v>115</v>
      </c>
      <c r="C29" s="105">
        <v>118</v>
      </c>
      <c r="D29" s="105">
        <v>119</v>
      </c>
      <c r="E29" s="105">
        <v>120</v>
      </c>
      <c r="F29" s="105">
        <v>121</v>
      </c>
    </row>
    <row r="30" spans="1:6" ht="26.25" customHeight="1">
      <c r="A30" s="513" t="s">
        <v>1369</v>
      </c>
      <c r="B30" s="302">
        <f>SUM(B31:B37)</f>
        <v>837</v>
      </c>
      <c r="C30" s="302">
        <f>SUM(C31:C37)</f>
        <v>870</v>
      </c>
      <c r="D30" s="302">
        <f>SUM(D31:D37)</f>
        <v>881</v>
      </c>
      <c r="E30" s="302">
        <f>SUM(E31:E37)</f>
        <v>886</v>
      </c>
      <c r="F30" s="302">
        <f>SUM(F31:F37)</f>
        <v>891</v>
      </c>
    </row>
    <row r="31" spans="1:6" ht="15" customHeight="1">
      <c r="A31" s="251" t="s">
        <v>33</v>
      </c>
      <c r="B31" s="105">
        <v>118</v>
      </c>
      <c r="C31" s="105">
        <v>128</v>
      </c>
      <c r="D31" s="105">
        <v>130</v>
      </c>
      <c r="E31" s="105">
        <v>131</v>
      </c>
      <c r="F31" s="105">
        <v>132</v>
      </c>
    </row>
    <row r="32" spans="1:6" ht="15" customHeight="1">
      <c r="A32" s="251" t="s">
        <v>34</v>
      </c>
      <c r="B32" s="105">
        <v>112</v>
      </c>
      <c r="C32" s="105">
        <v>110</v>
      </c>
      <c r="D32" s="105">
        <v>111</v>
      </c>
      <c r="E32" s="105">
        <v>111</v>
      </c>
      <c r="F32" s="105">
        <v>111</v>
      </c>
    </row>
    <row r="33" spans="1:6" ht="15" customHeight="1">
      <c r="A33" s="251" t="s">
        <v>55</v>
      </c>
      <c r="B33" s="105">
        <v>192</v>
      </c>
      <c r="C33" s="105">
        <v>213</v>
      </c>
      <c r="D33" s="105">
        <v>214</v>
      </c>
      <c r="E33" s="105">
        <v>215</v>
      </c>
      <c r="F33" s="105">
        <v>217</v>
      </c>
    </row>
    <row r="34" spans="1:6" ht="15" customHeight="1">
      <c r="A34" s="251" t="s">
        <v>56</v>
      </c>
      <c r="B34" s="105">
        <v>114</v>
      </c>
      <c r="C34" s="105">
        <v>120</v>
      </c>
      <c r="D34" s="105">
        <v>122</v>
      </c>
      <c r="E34" s="105">
        <v>123</v>
      </c>
      <c r="F34" s="105">
        <v>124</v>
      </c>
    </row>
    <row r="35" spans="1:6" ht="15" customHeight="1">
      <c r="A35" s="251" t="s">
        <v>45</v>
      </c>
      <c r="B35" s="105">
        <v>95</v>
      </c>
      <c r="C35" s="105">
        <v>96</v>
      </c>
      <c r="D35" s="105">
        <v>97</v>
      </c>
      <c r="E35" s="105">
        <v>98</v>
      </c>
      <c r="F35" s="105">
        <v>98</v>
      </c>
    </row>
    <row r="36" spans="1:6" ht="15" customHeight="1">
      <c r="A36" s="251" t="s">
        <v>46</v>
      </c>
      <c r="B36" s="105">
        <v>100</v>
      </c>
      <c r="C36" s="105">
        <v>102</v>
      </c>
      <c r="D36" s="105">
        <v>105</v>
      </c>
      <c r="E36" s="105">
        <v>106</v>
      </c>
      <c r="F36" s="105">
        <v>107</v>
      </c>
    </row>
    <row r="37" spans="1:6" ht="15" customHeight="1">
      <c r="A37" s="251" t="s">
        <v>47</v>
      </c>
      <c r="B37" s="105">
        <v>106</v>
      </c>
      <c r="C37" s="105">
        <v>101</v>
      </c>
      <c r="D37" s="105">
        <v>102</v>
      </c>
      <c r="E37" s="105">
        <v>102</v>
      </c>
      <c r="F37" s="105">
        <v>102</v>
      </c>
    </row>
    <row r="38" spans="1:6" ht="24" customHeight="1">
      <c r="A38" s="513" t="s">
        <v>1368</v>
      </c>
      <c r="B38" s="302">
        <f>SUM(B39:B44)</f>
        <v>695</v>
      </c>
      <c r="C38" s="302">
        <f>SUM(C39:C44)</f>
        <v>688</v>
      </c>
      <c r="D38" s="302">
        <f>SUM(D39:D44)</f>
        <v>687</v>
      </c>
      <c r="E38" s="302">
        <f>SUM(E39:E44)</f>
        <v>689</v>
      </c>
      <c r="F38" s="302">
        <f>SUM(F39:F44)</f>
        <v>692</v>
      </c>
    </row>
    <row r="39" spans="1:6" ht="15" customHeight="1">
      <c r="A39" s="251" t="s">
        <v>36</v>
      </c>
      <c r="B39" s="105">
        <v>209</v>
      </c>
      <c r="C39" s="105">
        <v>199</v>
      </c>
      <c r="D39" s="105">
        <v>199</v>
      </c>
      <c r="E39" s="105">
        <v>199</v>
      </c>
      <c r="F39" s="105">
        <v>199</v>
      </c>
    </row>
    <row r="40" spans="1:6" ht="15" customHeight="1">
      <c r="A40" s="251" t="s">
        <v>37</v>
      </c>
      <c r="B40" s="105">
        <v>105</v>
      </c>
      <c r="C40" s="105">
        <v>109</v>
      </c>
      <c r="D40" s="105">
        <v>111</v>
      </c>
      <c r="E40" s="105">
        <v>113</v>
      </c>
      <c r="F40" s="105">
        <v>115</v>
      </c>
    </row>
    <row r="41" spans="1:6" ht="15" customHeight="1">
      <c r="A41" s="251" t="s">
        <v>38</v>
      </c>
      <c r="B41" s="105">
        <v>115</v>
      </c>
      <c r="C41" s="105">
        <v>117</v>
      </c>
      <c r="D41" s="105">
        <v>118</v>
      </c>
      <c r="E41" s="105">
        <v>118</v>
      </c>
      <c r="F41" s="105">
        <v>119</v>
      </c>
    </row>
    <row r="42" spans="1:6" ht="15" customHeight="1">
      <c r="A42" s="251" t="s">
        <v>40</v>
      </c>
      <c r="B42" s="105">
        <v>90</v>
      </c>
      <c r="C42" s="105">
        <v>80</v>
      </c>
      <c r="D42" s="105">
        <v>80</v>
      </c>
      <c r="E42" s="105">
        <v>80</v>
      </c>
      <c r="F42" s="105">
        <v>80</v>
      </c>
    </row>
    <row r="43" spans="1:6" ht="15" customHeight="1">
      <c r="A43" s="251" t="s">
        <v>52</v>
      </c>
      <c r="B43" s="105">
        <v>85</v>
      </c>
      <c r="C43" s="105">
        <v>90</v>
      </c>
      <c r="D43" s="105">
        <v>90</v>
      </c>
      <c r="E43" s="105">
        <v>90</v>
      </c>
      <c r="F43" s="105">
        <v>90</v>
      </c>
    </row>
    <row r="44" spans="1:6" ht="15" customHeight="1">
      <c r="A44" s="252" t="s">
        <v>39</v>
      </c>
      <c r="B44" s="105">
        <v>91</v>
      </c>
      <c r="C44" s="105">
        <v>93</v>
      </c>
      <c r="D44" s="105">
        <v>89</v>
      </c>
      <c r="E44" s="105">
        <v>89</v>
      </c>
      <c r="F44" s="105">
        <v>89</v>
      </c>
    </row>
    <row r="45" spans="1:6" ht="15" customHeight="1">
      <c r="A45" s="365" t="s">
        <v>1035</v>
      </c>
      <c r="B45" s="319">
        <f>SUM(B22,B30,B38)</f>
        <v>2346</v>
      </c>
      <c r="C45" s="319">
        <f>SUM(C22,C30,C38)</f>
        <v>2407</v>
      </c>
      <c r="D45" s="319">
        <f>SUM(D22,D30,D38)</f>
        <v>2429</v>
      </c>
      <c r="E45" s="319">
        <f>SUM(E22,E30,E38)</f>
        <v>2451</v>
      </c>
      <c r="F45" s="319">
        <f>SUM(F22,F30,F38)</f>
        <v>2464</v>
      </c>
    </row>
    <row r="46" spans="1:6" ht="15" customHeight="1">
      <c r="A46" s="49"/>
      <c r="B46" s="49"/>
      <c r="C46" s="359"/>
      <c r="D46" s="366"/>
      <c r="E46" s="316"/>
      <c r="F46" s="360" t="s">
        <v>118</v>
      </c>
    </row>
  </sheetData>
  <mergeCells count="16">
    <mergeCell ref="A1:F1"/>
    <mergeCell ref="A6:B6"/>
    <mergeCell ref="A10:B10"/>
    <mergeCell ref="E4:F4"/>
    <mergeCell ref="C4:D4"/>
    <mergeCell ref="A2:F2"/>
    <mergeCell ref="A8:B8"/>
    <mergeCell ref="A9:B9"/>
    <mergeCell ref="A7:B7"/>
    <mergeCell ref="A4:B5"/>
    <mergeCell ref="D12:F13"/>
    <mergeCell ref="A11:B11"/>
    <mergeCell ref="A19:A20"/>
    <mergeCell ref="B19:F19"/>
    <mergeCell ref="A17:F17"/>
    <mergeCell ref="A16:F16"/>
  </mergeCells>
  <phoneticPr fontId="0" type="noConversion"/>
  <printOptions horizontalCentered="1" verticalCentered="1"/>
  <pageMargins left="0.18" right="0.1" top="0.5" bottom="0.1" header="0.5" footer="0.1"/>
  <pageSetup paperSize="9" orientation="portrait" blackAndWhite="1" r:id="rId1"/>
  <headerFooter alignWithMargins="0"/>
</worksheet>
</file>

<file path=xl/worksheets/sheet56.xml><?xml version="1.0" encoding="utf-8"?>
<worksheet xmlns="http://schemas.openxmlformats.org/spreadsheetml/2006/main" xmlns:r="http://schemas.openxmlformats.org/officeDocument/2006/relationships">
  <dimension ref="A1:K41"/>
  <sheetViews>
    <sheetView workbookViewId="0">
      <selection activeCell="F14" sqref="F14"/>
    </sheetView>
  </sheetViews>
  <sheetFormatPr defaultRowHeight="12.75"/>
  <cols>
    <col min="1" max="1" width="13" customWidth="1"/>
    <col min="2" max="2" width="12.140625" bestFit="1" customWidth="1"/>
    <col min="3" max="3" width="13.5703125" customWidth="1"/>
    <col min="4" max="4" width="12.7109375" customWidth="1"/>
    <col min="5" max="10" width="14.5703125" customWidth="1"/>
  </cols>
  <sheetData>
    <row r="1" spans="1:11" ht="13.5" customHeight="1">
      <c r="A1" s="1658" t="s">
        <v>682</v>
      </c>
      <c r="B1" s="1658"/>
      <c r="C1" s="1658"/>
      <c r="D1" s="1658"/>
      <c r="E1" s="1658"/>
      <c r="F1" s="1658"/>
      <c r="G1" s="1658"/>
      <c r="H1" s="1658"/>
      <c r="I1" s="1658"/>
      <c r="J1" s="1658"/>
    </row>
    <row r="2" spans="1:11" ht="15.75" customHeight="1">
      <c r="A2" s="1660" t="str">
        <f>CONCATENATE("Consumption of Electricity by different sectors in the district of ",District!A1)</f>
        <v>Consumption of Electricity by different sectors in the district of Purulia</v>
      </c>
      <c r="B2" s="1660"/>
      <c r="C2" s="1660"/>
      <c r="D2" s="1660"/>
      <c r="E2" s="1660"/>
      <c r="F2" s="1660"/>
      <c r="G2" s="1660"/>
      <c r="H2" s="1660"/>
      <c r="I2" s="1660"/>
      <c r="J2" s="1660"/>
    </row>
    <row r="3" spans="1:11" ht="12" customHeight="1">
      <c r="A3" s="49"/>
      <c r="B3" s="197"/>
      <c r="C3" s="197"/>
      <c r="D3" s="197"/>
      <c r="E3" s="197"/>
      <c r="F3" s="30"/>
      <c r="G3" s="30"/>
      <c r="H3" s="179"/>
      <c r="I3" s="316"/>
      <c r="J3" s="367" t="s">
        <v>1500</v>
      </c>
    </row>
    <row r="4" spans="1:11" ht="51.75" customHeight="1">
      <c r="A4" s="514" t="s">
        <v>951</v>
      </c>
      <c r="B4" s="515" t="s">
        <v>85</v>
      </c>
      <c r="C4" s="516" t="s">
        <v>239</v>
      </c>
      <c r="D4" s="517" t="s">
        <v>86</v>
      </c>
      <c r="E4" s="516" t="s">
        <v>87</v>
      </c>
      <c r="F4" s="517" t="s">
        <v>88</v>
      </c>
      <c r="G4" s="516" t="s">
        <v>1341</v>
      </c>
      <c r="H4" s="518" t="s">
        <v>826</v>
      </c>
      <c r="I4" s="519" t="s">
        <v>366</v>
      </c>
      <c r="J4" s="273" t="s">
        <v>1035</v>
      </c>
    </row>
    <row r="5" spans="1:11" ht="21.75" customHeight="1">
      <c r="A5" s="489" t="s">
        <v>1008</v>
      </c>
      <c r="B5" s="489" t="s">
        <v>1009</v>
      </c>
      <c r="C5" s="489" t="s">
        <v>1010</v>
      </c>
      <c r="D5" s="489" t="s">
        <v>1011</v>
      </c>
      <c r="E5" s="489" t="s">
        <v>1015</v>
      </c>
      <c r="F5" s="489" t="s">
        <v>1016</v>
      </c>
      <c r="G5" s="489" t="s">
        <v>1017</v>
      </c>
      <c r="H5" s="667" t="s">
        <v>1039</v>
      </c>
      <c r="I5" s="489" t="s">
        <v>1040</v>
      </c>
      <c r="J5" s="490" t="s">
        <v>1041</v>
      </c>
      <c r="K5" s="447"/>
    </row>
    <row r="6" spans="1:11" ht="46.5" customHeight="1">
      <c r="A6" s="332" t="s">
        <v>1526</v>
      </c>
      <c r="B6" s="99">
        <v>91998</v>
      </c>
      <c r="C6" s="31">
        <v>18758</v>
      </c>
      <c r="D6" s="99">
        <v>13713</v>
      </c>
      <c r="E6" s="31">
        <v>1337</v>
      </c>
      <c r="F6" s="94">
        <v>555</v>
      </c>
      <c r="G6" s="101">
        <v>1278</v>
      </c>
      <c r="H6" s="50">
        <v>32842</v>
      </c>
      <c r="I6" s="31">
        <v>5574</v>
      </c>
      <c r="J6" s="150">
        <f>SUM(B6:I6)</f>
        <v>166055</v>
      </c>
    </row>
    <row r="7" spans="1:11" ht="46.5" customHeight="1">
      <c r="A7" s="332" t="s">
        <v>1525</v>
      </c>
      <c r="B7" s="99">
        <v>101766</v>
      </c>
      <c r="C7" s="31">
        <v>22734</v>
      </c>
      <c r="D7" s="99">
        <v>13471</v>
      </c>
      <c r="E7" s="31">
        <v>2071</v>
      </c>
      <c r="F7" s="94">
        <v>688</v>
      </c>
      <c r="G7" s="99">
        <v>1423</v>
      </c>
      <c r="H7" s="50">
        <v>31992</v>
      </c>
      <c r="I7" s="31">
        <v>7811</v>
      </c>
      <c r="J7" s="87">
        <f>SUM(B7:I7)</f>
        <v>181956</v>
      </c>
    </row>
    <row r="8" spans="1:11" ht="46.5" customHeight="1">
      <c r="A8" s="332" t="s">
        <v>1051</v>
      </c>
      <c r="B8" s="99">
        <v>107020</v>
      </c>
      <c r="C8" s="31">
        <v>23958</v>
      </c>
      <c r="D8" s="99">
        <v>12090</v>
      </c>
      <c r="E8" s="31">
        <v>943</v>
      </c>
      <c r="F8" s="94">
        <v>485</v>
      </c>
      <c r="G8" s="99">
        <v>1245</v>
      </c>
      <c r="H8" s="50">
        <v>32568</v>
      </c>
      <c r="I8" s="31">
        <v>6324</v>
      </c>
      <c r="J8" s="87">
        <f>SUM(B8:I8)</f>
        <v>184633</v>
      </c>
    </row>
    <row r="9" spans="1:11" ht="46.5" customHeight="1">
      <c r="A9" s="332" t="s">
        <v>1250</v>
      </c>
      <c r="B9" s="99">
        <v>129820</v>
      </c>
      <c r="C9" s="99">
        <v>28070</v>
      </c>
      <c r="D9" s="99">
        <v>15372</v>
      </c>
      <c r="E9" s="99">
        <v>910</v>
      </c>
      <c r="F9" s="94">
        <v>782</v>
      </c>
      <c r="G9" s="99">
        <v>1485</v>
      </c>
      <c r="H9" s="50">
        <v>38275</v>
      </c>
      <c r="I9" s="94">
        <v>174</v>
      </c>
      <c r="J9" s="87">
        <f>SUM(B9:I9)</f>
        <v>214888</v>
      </c>
    </row>
    <row r="10" spans="1:11" ht="46.5" customHeight="1">
      <c r="A10" s="267" t="s">
        <v>527</v>
      </c>
      <c r="B10" s="89">
        <v>130376</v>
      </c>
      <c r="C10" s="89">
        <v>29427</v>
      </c>
      <c r="D10" s="89">
        <v>13267</v>
      </c>
      <c r="E10" s="89">
        <v>1489</v>
      </c>
      <c r="F10" s="43">
        <v>925</v>
      </c>
      <c r="G10" s="89">
        <v>795</v>
      </c>
      <c r="H10" s="48">
        <v>41900</v>
      </c>
      <c r="I10" s="43">
        <v>10171</v>
      </c>
      <c r="J10" s="88">
        <f>SUM(B10:I10)</f>
        <v>228350</v>
      </c>
    </row>
    <row r="11" spans="1:11">
      <c r="A11" s="200"/>
      <c r="B11" s="188"/>
      <c r="D11" s="198"/>
      <c r="E11" s="199"/>
      <c r="F11" s="196"/>
      <c r="H11" s="205"/>
      <c r="I11" s="205"/>
      <c r="J11" s="565" t="s">
        <v>820</v>
      </c>
    </row>
    <row r="12" spans="1:11" ht="11.25" customHeight="1">
      <c r="A12" s="49"/>
      <c r="B12" s="49"/>
      <c r="C12" s="49"/>
      <c r="D12" s="49"/>
      <c r="E12" s="49"/>
      <c r="F12" s="49"/>
      <c r="G12" s="49"/>
      <c r="H12" s="49"/>
      <c r="I12" s="49"/>
      <c r="J12" s="49"/>
    </row>
    <row r="13" spans="1:11" ht="13.5" customHeight="1"/>
    <row r="14" spans="1:11" ht="18" customHeight="1"/>
    <row r="16" spans="1:11" ht="28.5" customHeight="1"/>
    <row r="17" spans="11:11" ht="15" customHeight="1"/>
    <row r="18" spans="11:11" ht="15" customHeight="1">
      <c r="K18" s="447"/>
    </row>
    <row r="19" spans="11:11" ht="15" customHeight="1"/>
    <row r="20" spans="11:11" ht="15" customHeight="1"/>
    <row r="21" spans="11:11" ht="15" customHeight="1"/>
    <row r="22" spans="11:11" ht="15" customHeight="1"/>
    <row r="23" spans="11:11" ht="15" customHeight="1"/>
    <row r="24" spans="11:11" ht="15" customHeight="1"/>
    <row r="25" spans="11:11" ht="15" customHeight="1"/>
    <row r="26" spans="11:11" ht="15" customHeight="1"/>
    <row r="27" spans="11:11" ht="15" customHeight="1"/>
    <row r="28" spans="11:11" ht="15" customHeight="1"/>
    <row r="29" spans="11:11" ht="13.5" customHeight="1"/>
    <row r="30" spans="11:11" ht="14.25" customHeight="1"/>
    <row r="31" spans="11:11" ht="14.25" customHeight="1"/>
    <row r="32" spans="11:11" ht="14.25" customHeight="1"/>
    <row r="33" spans="2:8" ht="14.25" customHeight="1"/>
    <row r="34" spans="2:8" ht="14.25" customHeight="1"/>
    <row r="35" spans="2:8" ht="14.25" customHeight="1"/>
    <row r="36" spans="2:8" ht="14.25" customHeight="1"/>
    <row r="37" spans="2:8" ht="14.25" customHeight="1"/>
    <row r="38" spans="2:8" ht="14.25" customHeight="1"/>
    <row r="39" spans="2:8" ht="14.25" customHeight="1"/>
    <row r="41" spans="2:8">
      <c r="B41" s="57"/>
      <c r="C41" s="57"/>
      <c r="F41" s="14"/>
      <c r="H41" s="72"/>
    </row>
  </sheetData>
  <mergeCells count="2">
    <mergeCell ref="A2:J2"/>
    <mergeCell ref="A1:J1"/>
  </mergeCells>
  <phoneticPr fontId="0" type="noConversion"/>
  <printOptions horizontalCentered="1" verticalCentered="1"/>
  <pageMargins left="0.1" right="0.1" top="0" bottom="0" header="0.14000000000000001" footer="0.14000000000000001"/>
  <pageSetup paperSize="9" orientation="landscape" blackAndWhite="1" r:id="rId1"/>
  <headerFooter alignWithMargins="0"/>
</worksheet>
</file>

<file path=xl/worksheets/sheet57.xml><?xml version="1.0" encoding="utf-8"?>
<worksheet xmlns="http://schemas.openxmlformats.org/spreadsheetml/2006/main" xmlns:r="http://schemas.openxmlformats.org/officeDocument/2006/relationships">
  <dimension ref="A1:L35"/>
  <sheetViews>
    <sheetView workbookViewId="0">
      <selection activeCell="F14" sqref="F14"/>
    </sheetView>
  </sheetViews>
  <sheetFormatPr defaultRowHeight="12.75"/>
  <cols>
    <col min="2" max="11" width="12.5703125" customWidth="1"/>
  </cols>
  <sheetData>
    <row r="1" spans="1:11">
      <c r="A1" s="1658" t="s">
        <v>831</v>
      </c>
      <c r="B1" s="1658"/>
      <c r="C1" s="1658"/>
      <c r="D1" s="1658"/>
      <c r="E1" s="1658"/>
      <c r="F1" s="1658"/>
      <c r="G1" s="1658"/>
      <c r="H1" s="1658"/>
      <c r="I1" s="1658"/>
      <c r="J1" s="1658"/>
      <c r="K1" s="1658"/>
    </row>
    <row r="2" spans="1:11" ht="16.5">
      <c r="A2" s="1660" t="s">
        <v>1645</v>
      </c>
      <c r="B2" s="1660"/>
      <c r="C2" s="1660"/>
      <c r="D2" s="1660"/>
      <c r="E2" s="1660"/>
      <c r="F2" s="1660"/>
      <c r="G2" s="1660"/>
      <c r="H2" s="1660"/>
      <c r="I2" s="1660"/>
      <c r="J2" s="1660"/>
      <c r="K2" s="1660"/>
    </row>
    <row r="3" spans="1:11">
      <c r="A3" s="49"/>
      <c r="B3" s="49"/>
      <c r="C3" s="129"/>
      <c r="D3" s="129"/>
      <c r="E3" s="129"/>
      <c r="F3" s="1731"/>
      <c r="G3" s="1731"/>
      <c r="H3" s="1731"/>
      <c r="I3" s="1731"/>
      <c r="J3" s="1731"/>
      <c r="K3" s="1731"/>
    </row>
    <row r="4" spans="1:11" ht="42" customHeight="1">
      <c r="A4" s="270" t="s">
        <v>1330</v>
      </c>
      <c r="B4" s="270" t="s">
        <v>89</v>
      </c>
      <c r="C4" s="209" t="s">
        <v>739</v>
      </c>
      <c r="D4" s="268" t="s">
        <v>740</v>
      </c>
      <c r="E4" s="209" t="s">
        <v>74</v>
      </c>
      <c r="F4" s="275" t="s">
        <v>1520</v>
      </c>
      <c r="G4" s="209" t="s">
        <v>741</v>
      </c>
      <c r="H4" s="274" t="s">
        <v>742</v>
      </c>
      <c r="I4" s="285" t="s">
        <v>743</v>
      </c>
      <c r="J4" s="368" t="s">
        <v>744</v>
      </c>
      <c r="K4" s="285" t="s">
        <v>745</v>
      </c>
    </row>
    <row r="5" spans="1:11" ht="14.25" customHeight="1">
      <c r="A5" s="277" t="s">
        <v>1008</v>
      </c>
      <c r="B5" s="277" t="s">
        <v>1009</v>
      </c>
      <c r="C5" s="293" t="s">
        <v>1010</v>
      </c>
      <c r="D5" s="278" t="s">
        <v>1011</v>
      </c>
      <c r="E5" s="293" t="s">
        <v>1015</v>
      </c>
      <c r="F5" s="278" t="s">
        <v>1016</v>
      </c>
      <c r="G5" s="293" t="s">
        <v>1017</v>
      </c>
      <c r="H5" s="331" t="s">
        <v>1039</v>
      </c>
      <c r="I5" s="293" t="s">
        <v>1040</v>
      </c>
      <c r="J5" s="331" t="s">
        <v>1041</v>
      </c>
      <c r="K5" s="293" t="s">
        <v>1042</v>
      </c>
    </row>
    <row r="6" spans="1:11" ht="14.25" customHeight="1">
      <c r="A6" s="303" t="s">
        <v>1503</v>
      </c>
      <c r="B6" s="101">
        <v>14</v>
      </c>
      <c r="C6" s="688">
        <v>405</v>
      </c>
      <c r="D6" s="101">
        <v>1404</v>
      </c>
      <c r="E6" s="688">
        <v>188</v>
      </c>
      <c r="F6" s="101">
        <v>46</v>
      </c>
      <c r="G6" s="688">
        <v>37</v>
      </c>
      <c r="H6" s="101">
        <v>6072</v>
      </c>
      <c r="I6" s="688">
        <v>6408</v>
      </c>
      <c r="J6" s="101">
        <v>286</v>
      </c>
      <c r="K6" s="101">
        <v>186</v>
      </c>
    </row>
    <row r="7" spans="1:11" ht="14.25" customHeight="1">
      <c r="A7" s="332" t="s">
        <v>1504</v>
      </c>
      <c r="B7" s="99">
        <v>10</v>
      </c>
      <c r="C7" s="31">
        <v>113</v>
      </c>
      <c r="D7" s="99">
        <v>1053</v>
      </c>
      <c r="E7" s="31">
        <v>5266</v>
      </c>
      <c r="F7" s="99">
        <v>1505</v>
      </c>
      <c r="G7" s="31">
        <v>867</v>
      </c>
      <c r="H7" s="99">
        <v>1838</v>
      </c>
      <c r="I7" s="31">
        <v>2865</v>
      </c>
      <c r="J7" s="99">
        <v>1015</v>
      </c>
      <c r="K7" s="99">
        <v>1050</v>
      </c>
    </row>
    <row r="8" spans="1:11" ht="14.25" customHeight="1">
      <c r="A8" s="332" t="s">
        <v>1641</v>
      </c>
      <c r="B8" s="99">
        <v>1</v>
      </c>
      <c r="C8" s="31">
        <v>79</v>
      </c>
      <c r="D8" s="99">
        <v>86</v>
      </c>
      <c r="E8" s="31">
        <v>5</v>
      </c>
      <c r="F8" s="99">
        <v>2</v>
      </c>
      <c r="G8" s="31">
        <v>2</v>
      </c>
      <c r="H8" s="99">
        <v>27</v>
      </c>
      <c r="I8" s="31">
        <v>52</v>
      </c>
      <c r="J8" s="99">
        <v>18</v>
      </c>
      <c r="K8" s="99">
        <v>17</v>
      </c>
    </row>
    <row r="9" spans="1:11" ht="14.25" customHeight="1">
      <c r="A9" s="332" t="s">
        <v>1505</v>
      </c>
      <c r="B9" s="99">
        <v>1</v>
      </c>
      <c r="C9" s="31">
        <v>0</v>
      </c>
      <c r="D9" s="99">
        <v>1</v>
      </c>
      <c r="E9" s="31">
        <v>5</v>
      </c>
      <c r="F9" s="99">
        <v>1</v>
      </c>
      <c r="G9" s="31">
        <v>1</v>
      </c>
      <c r="H9" s="99">
        <v>2</v>
      </c>
      <c r="I9" s="31">
        <v>2</v>
      </c>
      <c r="J9" s="99">
        <v>0</v>
      </c>
      <c r="K9" s="99">
        <v>0</v>
      </c>
    </row>
    <row r="10" spans="1:11" ht="14.25" customHeight="1">
      <c r="A10" s="332" t="s">
        <v>1642</v>
      </c>
      <c r="B10" s="99">
        <v>1</v>
      </c>
      <c r="C10" s="31">
        <v>108</v>
      </c>
      <c r="D10" s="99">
        <v>855</v>
      </c>
      <c r="E10" s="31">
        <v>63</v>
      </c>
      <c r="F10" s="99">
        <v>25</v>
      </c>
      <c r="G10" s="31">
        <v>46</v>
      </c>
      <c r="H10" s="99">
        <v>1850</v>
      </c>
      <c r="I10" s="31">
        <v>1932</v>
      </c>
      <c r="J10" s="99">
        <v>65</v>
      </c>
      <c r="K10" s="99">
        <v>31</v>
      </c>
    </row>
    <row r="11" spans="1:11" ht="14.25" customHeight="1">
      <c r="A11" s="332" t="s">
        <v>1506</v>
      </c>
      <c r="B11" s="99">
        <v>1</v>
      </c>
      <c r="C11" s="31">
        <v>708</v>
      </c>
      <c r="D11" s="99">
        <v>9985</v>
      </c>
      <c r="E11" s="31">
        <v>551</v>
      </c>
      <c r="F11" s="99">
        <v>224</v>
      </c>
      <c r="G11" s="31">
        <v>2010</v>
      </c>
      <c r="H11" s="99">
        <v>7878</v>
      </c>
      <c r="I11" s="31">
        <v>10131</v>
      </c>
      <c r="J11" s="99">
        <v>2204</v>
      </c>
      <c r="K11" s="99">
        <v>2114</v>
      </c>
    </row>
    <row r="12" spans="1:11" ht="14.25" customHeight="1">
      <c r="A12" s="332" t="s">
        <v>1507</v>
      </c>
      <c r="B12" s="99">
        <v>8</v>
      </c>
      <c r="C12" s="31">
        <v>516</v>
      </c>
      <c r="D12" s="99">
        <v>2910</v>
      </c>
      <c r="E12" s="31">
        <v>225</v>
      </c>
      <c r="F12" s="99">
        <v>75</v>
      </c>
      <c r="G12" s="31">
        <v>189</v>
      </c>
      <c r="H12" s="99">
        <v>12027</v>
      </c>
      <c r="I12" s="31">
        <v>12102</v>
      </c>
      <c r="J12" s="99">
        <v>10</v>
      </c>
      <c r="K12" s="99">
        <v>-43</v>
      </c>
    </row>
    <row r="13" spans="1:11" ht="14.25" customHeight="1">
      <c r="A13" s="332" t="s">
        <v>1508</v>
      </c>
      <c r="B13" s="99">
        <v>2</v>
      </c>
      <c r="C13" s="31">
        <v>667</v>
      </c>
      <c r="D13" s="99">
        <v>2584</v>
      </c>
      <c r="E13" s="31">
        <v>223</v>
      </c>
      <c r="F13" s="99">
        <v>84</v>
      </c>
      <c r="G13" s="31">
        <v>220</v>
      </c>
      <c r="H13" s="99">
        <v>9008</v>
      </c>
      <c r="I13" s="31">
        <v>9696</v>
      </c>
      <c r="J13" s="99">
        <v>588</v>
      </c>
      <c r="K13" s="99">
        <v>415</v>
      </c>
    </row>
    <row r="14" spans="1:11" ht="14.25" customHeight="1">
      <c r="A14" s="332" t="s">
        <v>1509</v>
      </c>
      <c r="B14" s="99">
        <v>9</v>
      </c>
      <c r="C14" s="31">
        <v>7233</v>
      </c>
      <c r="D14" s="99">
        <v>10548</v>
      </c>
      <c r="E14" s="31">
        <v>588</v>
      </c>
      <c r="F14" s="99">
        <v>263</v>
      </c>
      <c r="G14" s="31">
        <v>1330</v>
      </c>
      <c r="H14" s="99">
        <v>17551</v>
      </c>
      <c r="I14" s="31">
        <v>31245</v>
      </c>
      <c r="J14" s="99">
        <v>13197</v>
      </c>
      <c r="K14" s="99">
        <v>12681</v>
      </c>
    </row>
    <row r="15" spans="1:11" s="1345" customFormat="1" ht="14.25" customHeight="1">
      <c r="A15" s="1347" t="s">
        <v>1510</v>
      </c>
      <c r="B15" s="99">
        <v>16</v>
      </c>
      <c r="C15" s="1346">
        <v>90143</v>
      </c>
      <c r="D15" s="99">
        <v>126224</v>
      </c>
      <c r="E15" s="1346">
        <v>1754</v>
      </c>
      <c r="F15" s="99">
        <v>686</v>
      </c>
      <c r="G15" s="1346">
        <v>1287</v>
      </c>
      <c r="H15" s="99">
        <v>174773</v>
      </c>
      <c r="I15" s="1346">
        <v>184002</v>
      </c>
      <c r="J15" s="99">
        <v>5505</v>
      </c>
      <c r="K15" s="99">
        <v>127</v>
      </c>
    </row>
    <row r="16" spans="1:11" s="1345" customFormat="1" ht="14.25" customHeight="1">
      <c r="A16" s="1347" t="s">
        <v>1511</v>
      </c>
      <c r="B16" s="99">
        <v>3</v>
      </c>
      <c r="C16" s="1346">
        <v>3506</v>
      </c>
      <c r="D16" s="99">
        <v>6790</v>
      </c>
      <c r="E16" s="1346">
        <v>280</v>
      </c>
      <c r="F16" s="99">
        <v>104</v>
      </c>
      <c r="G16" s="1346">
        <v>165</v>
      </c>
      <c r="H16" s="99">
        <v>7209</v>
      </c>
      <c r="I16" s="1346">
        <v>8092</v>
      </c>
      <c r="J16" s="99">
        <v>301</v>
      </c>
      <c r="K16" s="99">
        <v>128</v>
      </c>
    </row>
    <row r="17" spans="1:12" s="1345" customFormat="1" ht="14.25" customHeight="1">
      <c r="A17" s="1347" t="s">
        <v>1643</v>
      </c>
      <c r="B17" s="99">
        <v>1</v>
      </c>
      <c r="C17" s="1346">
        <v>423</v>
      </c>
      <c r="D17" s="99">
        <v>1373</v>
      </c>
      <c r="E17" s="1346">
        <v>13</v>
      </c>
      <c r="F17" s="99">
        <v>4</v>
      </c>
      <c r="G17" s="1346">
        <v>9</v>
      </c>
      <c r="H17" s="99">
        <v>8613</v>
      </c>
      <c r="I17" s="1346">
        <v>8972</v>
      </c>
      <c r="J17" s="99">
        <v>309</v>
      </c>
      <c r="K17" s="99">
        <v>158</v>
      </c>
    </row>
    <row r="18" spans="1:12" ht="14.25" customHeight="1">
      <c r="A18" s="336" t="s">
        <v>1644</v>
      </c>
      <c r="B18" s="89">
        <v>1</v>
      </c>
      <c r="C18" s="22">
        <v>1</v>
      </c>
      <c r="D18" s="89">
        <v>7</v>
      </c>
      <c r="E18" s="22">
        <v>0</v>
      </c>
      <c r="F18" s="89">
        <v>0</v>
      </c>
      <c r="G18" s="22">
        <v>0</v>
      </c>
      <c r="H18" s="89">
        <v>1</v>
      </c>
      <c r="I18" s="22">
        <v>2</v>
      </c>
      <c r="J18" s="89">
        <v>0</v>
      </c>
      <c r="K18" s="89">
        <v>0</v>
      </c>
    </row>
    <row r="19" spans="1:12" ht="24.75" customHeight="1">
      <c r="A19" s="687" t="s">
        <v>1334</v>
      </c>
      <c r="B19" s="91">
        <f>SUM(B6:B18)</f>
        <v>68</v>
      </c>
      <c r="C19" s="91">
        <f t="shared" ref="C19:K19" si="0">SUM(C6:C18)</f>
        <v>103902</v>
      </c>
      <c r="D19" s="91">
        <f t="shared" si="0"/>
        <v>163820</v>
      </c>
      <c r="E19" s="91">
        <f t="shared" si="0"/>
        <v>9161</v>
      </c>
      <c r="F19" s="91">
        <f t="shared" si="0"/>
        <v>3019</v>
      </c>
      <c r="G19" s="91">
        <f t="shared" si="0"/>
        <v>6163</v>
      </c>
      <c r="H19" s="91">
        <f t="shared" si="0"/>
        <v>246849</v>
      </c>
      <c r="I19" s="91">
        <f t="shared" si="0"/>
        <v>275501</v>
      </c>
      <c r="J19" s="91">
        <f t="shared" si="0"/>
        <v>23498</v>
      </c>
      <c r="K19" s="91">
        <f t="shared" si="0"/>
        <v>16864</v>
      </c>
    </row>
    <row r="20" spans="1:12" ht="20.25" customHeight="1">
      <c r="A20" s="494"/>
      <c r="B20" s="494"/>
      <c r="C20" s="494"/>
      <c r="D20" s="494"/>
      <c r="E20" s="494"/>
      <c r="F20" s="494"/>
      <c r="G20" s="494"/>
      <c r="H20" s="494"/>
      <c r="I20" s="494"/>
      <c r="J20" s="494"/>
      <c r="K20" s="495"/>
    </row>
    <row r="21" spans="1:12" ht="25.5">
      <c r="A21" s="781" t="s">
        <v>1330</v>
      </c>
      <c r="B21" s="1730" t="s">
        <v>1409</v>
      </c>
      <c r="C21" s="1730"/>
      <c r="D21" s="1000"/>
      <c r="E21" s="1000"/>
      <c r="F21" s="1000"/>
      <c r="G21" s="1000"/>
      <c r="H21" s="1000"/>
      <c r="I21" s="1000"/>
      <c r="J21" s="1000"/>
      <c r="K21" s="1037"/>
    </row>
    <row r="22" spans="1:12">
      <c r="A22" s="721">
        <v>10</v>
      </c>
      <c r="B22" s="1001" t="s">
        <v>1320</v>
      </c>
      <c r="C22" s="1001"/>
      <c r="D22" s="1001"/>
      <c r="E22" s="1001"/>
      <c r="F22" s="1001"/>
      <c r="G22" s="1001"/>
      <c r="H22" s="1001"/>
      <c r="I22" s="1001"/>
      <c r="J22" s="1001"/>
      <c r="K22" s="1002"/>
    </row>
    <row r="23" spans="1:12" ht="15" customHeight="1">
      <c r="A23" s="126">
        <v>12</v>
      </c>
      <c r="B23" s="225" t="s">
        <v>1321</v>
      </c>
      <c r="C23" s="225"/>
      <c r="D23" s="225"/>
      <c r="E23" s="225"/>
      <c r="F23" s="225"/>
      <c r="G23" s="225"/>
      <c r="H23" s="225"/>
      <c r="I23" s="225"/>
      <c r="J23" s="225"/>
      <c r="K23" s="591"/>
      <c r="L23" s="335"/>
    </row>
    <row r="24" spans="1:12" s="1345" customFormat="1" ht="15" customHeight="1">
      <c r="A24" s="1344">
        <v>15</v>
      </c>
      <c r="B24" s="225" t="s">
        <v>1646</v>
      </c>
      <c r="C24" s="225"/>
      <c r="D24" s="225"/>
      <c r="E24" s="225"/>
      <c r="F24" s="225"/>
      <c r="G24" s="225"/>
      <c r="H24" s="225"/>
      <c r="I24" s="225"/>
      <c r="J24" s="225"/>
      <c r="K24" s="591"/>
      <c r="L24" s="1348"/>
    </row>
    <row r="25" spans="1:12" ht="15" customHeight="1">
      <c r="A25" s="126">
        <v>16</v>
      </c>
      <c r="B25" s="225" t="s">
        <v>933</v>
      </c>
      <c r="C25" s="225"/>
      <c r="D25" s="225"/>
      <c r="E25" s="225"/>
      <c r="F25" s="225"/>
      <c r="G25" s="225"/>
      <c r="H25" s="225"/>
      <c r="I25" s="225"/>
      <c r="J25" s="225"/>
      <c r="K25" s="591"/>
      <c r="L25" s="335"/>
    </row>
    <row r="26" spans="1:12" s="1345" customFormat="1" ht="15" customHeight="1">
      <c r="A26" s="1344">
        <v>17</v>
      </c>
      <c r="B26" s="111" t="s">
        <v>1647</v>
      </c>
      <c r="C26" s="225"/>
      <c r="D26" s="225"/>
      <c r="E26" s="225"/>
      <c r="F26" s="225"/>
      <c r="G26" s="225"/>
      <c r="H26" s="225"/>
      <c r="I26" s="225"/>
      <c r="J26" s="225"/>
      <c r="K26" s="591"/>
      <c r="L26" s="1348"/>
    </row>
    <row r="27" spans="1:12" ht="15" customHeight="1">
      <c r="A27" s="126">
        <v>19</v>
      </c>
      <c r="B27" s="225" t="s">
        <v>1328</v>
      </c>
      <c r="C27" s="225"/>
      <c r="D27" s="225"/>
      <c r="E27" s="225"/>
      <c r="F27" s="225"/>
      <c r="G27" s="225"/>
      <c r="H27" s="225"/>
      <c r="I27" s="225"/>
      <c r="J27" s="225"/>
      <c r="K27" s="591"/>
      <c r="L27" s="335"/>
    </row>
    <row r="28" spans="1:12" ht="15" customHeight="1">
      <c r="A28" s="126">
        <v>20</v>
      </c>
      <c r="B28" s="225" t="s">
        <v>1332</v>
      </c>
      <c r="C28" s="225"/>
      <c r="D28" s="225"/>
      <c r="E28" s="225"/>
      <c r="F28" s="225"/>
      <c r="G28" s="225"/>
      <c r="H28" s="225"/>
      <c r="I28" s="225"/>
      <c r="J28" s="225"/>
      <c r="K28" s="591"/>
      <c r="L28" s="335"/>
    </row>
    <row r="29" spans="1:12" ht="15" customHeight="1">
      <c r="A29" s="126">
        <v>22</v>
      </c>
      <c r="B29" s="225" t="s">
        <v>404</v>
      </c>
      <c r="C29" s="225"/>
      <c r="D29" s="225"/>
      <c r="E29" s="225"/>
      <c r="F29" s="225"/>
      <c r="G29" s="225"/>
      <c r="H29" s="225"/>
      <c r="I29" s="225"/>
      <c r="J29" s="225"/>
      <c r="K29" s="591"/>
      <c r="L29" s="335"/>
    </row>
    <row r="30" spans="1:12" ht="15" customHeight="1">
      <c r="A30" s="126">
        <v>23</v>
      </c>
      <c r="B30" s="225" t="s">
        <v>1329</v>
      </c>
      <c r="C30" s="225"/>
      <c r="D30" s="225"/>
      <c r="E30" s="225"/>
      <c r="F30" s="225"/>
      <c r="G30" s="225"/>
      <c r="H30" s="225"/>
      <c r="I30" s="225"/>
      <c r="J30" s="225"/>
      <c r="K30" s="591"/>
      <c r="L30" s="335"/>
    </row>
    <row r="31" spans="1:12" ht="15" customHeight="1">
      <c r="A31" s="126">
        <v>24</v>
      </c>
      <c r="B31" s="225" t="s">
        <v>1333</v>
      </c>
      <c r="C31" s="225"/>
      <c r="D31" s="225"/>
      <c r="E31" s="225"/>
      <c r="F31" s="225"/>
      <c r="G31" s="225"/>
      <c r="H31" s="225"/>
      <c r="I31" s="225"/>
      <c r="J31" s="225"/>
      <c r="K31" s="591"/>
      <c r="L31" s="335"/>
    </row>
    <row r="32" spans="1:12" ht="15" customHeight="1">
      <c r="A32" s="126">
        <v>25</v>
      </c>
      <c r="B32" s="590" t="s">
        <v>689</v>
      </c>
      <c r="C32" s="225"/>
      <c r="D32" s="225"/>
      <c r="E32" s="225"/>
      <c r="F32" s="225"/>
      <c r="G32" s="225"/>
      <c r="H32" s="225"/>
      <c r="I32" s="225"/>
      <c r="J32" s="225"/>
      <c r="K32" s="591"/>
      <c r="L32" s="335"/>
    </row>
    <row r="33" spans="1:12" s="1345" customFormat="1" ht="15" customHeight="1">
      <c r="A33" s="1343">
        <v>27</v>
      </c>
      <c r="B33" s="1349" t="s">
        <v>1648</v>
      </c>
      <c r="C33" s="225"/>
      <c r="D33" s="225"/>
      <c r="E33" s="225"/>
      <c r="F33" s="225"/>
      <c r="G33" s="225"/>
      <c r="H33" s="225"/>
      <c r="I33" s="225"/>
      <c r="J33" s="225"/>
      <c r="K33" s="591"/>
      <c r="L33" s="1348"/>
    </row>
    <row r="34" spans="1:12" ht="15" customHeight="1">
      <c r="A34" s="587">
        <v>33</v>
      </c>
      <c r="B34" s="595" t="s">
        <v>1512</v>
      </c>
      <c r="C34" s="690"/>
      <c r="D34" s="690"/>
      <c r="E34" s="690"/>
      <c r="F34" s="690"/>
      <c r="G34" s="690"/>
      <c r="H34" s="690"/>
      <c r="I34" s="690"/>
      <c r="J34" s="690"/>
      <c r="K34" s="1208"/>
      <c r="L34" s="335"/>
    </row>
    <row r="35" spans="1:12">
      <c r="A35" s="210"/>
      <c r="B35" s="225"/>
      <c r="C35" s="210"/>
      <c r="D35" s="210"/>
      <c r="E35" s="210"/>
      <c r="F35" s="210"/>
      <c r="G35" s="210"/>
      <c r="H35" s="210"/>
      <c r="I35" s="210"/>
      <c r="J35" s="5"/>
      <c r="K35" s="545" t="s">
        <v>772</v>
      </c>
      <c r="L35" s="335"/>
    </row>
  </sheetData>
  <mergeCells count="4">
    <mergeCell ref="A1:K1"/>
    <mergeCell ref="B21:C21"/>
    <mergeCell ref="A2:K2"/>
    <mergeCell ref="F3:K3"/>
  </mergeCells>
  <phoneticPr fontId="0" type="noConversion"/>
  <printOptions horizontalCentered="1" verticalCentered="1"/>
  <pageMargins left="0" right="0" top="0" bottom="0" header="0.5" footer="0.5"/>
  <pageSetup paperSize="9" orientation="landscape" blackAndWhite="1" r:id="rId1"/>
  <headerFooter alignWithMargins="0"/>
</worksheet>
</file>

<file path=xl/worksheets/sheet58.xml><?xml version="1.0" encoding="utf-8"?>
<worksheet xmlns="http://schemas.openxmlformats.org/spreadsheetml/2006/main" xmlns:r="http://schemas.openxmlformats.org/officeDocument/2006/relationships">
  <dimension ref="A1:J26"/>
  <sheetViews>
    <sheetView workbookViewId="0">
      <selection activeCell="F14" sqref="F14"/>
    </sheetView>
  </sheetViews>
  <sheetFormatPr defaultRowHeight="12.75"/>
  <cols>
    <col min="1" max="7" width="14.28515625" customWidth="1"/>
    <col min="8" max="8" width="15.140625" customWidth="1"/>
    <col min="9" max="9" width="14.28515625" customWidth="1"/>
  </cols>
  <sheetData>
    <row r="1" spans="1:10" ht="16.5" customHeight="1">
      <c r="A1" s="1658" t="s">
        <v>833</v>
      </c>
      <c r="B1" s="1658"/>
      <c r="C1" s="1658"/>
      <c r="D1" s="1658"/>
      <c r="E1" s="1658"/>
      <c r="F1" s="1658"/>
      <c r="G1" s="1658"/>
      <c r="H1" s="1658"/>
      <c r="I1" s="1658"/>
    </row>
    <row r="2" spans="1:10" ht="18" customHeight="1">
      <c r="A2" s="1660" t="str">
        <f>CONCATENATE("Production in Sericulture Industry in the district of ",District!A1)</f>
        <v>Production in Sericulture Industry in the district of Purulia</v>
      </c>
      <c r="B2" s="1660"/>
      <c r="C2" s="1660"/>
      <c r="D2" s="1660"/>
      <c r="E2" s="1660"/>
      <c r="F2" s="1660"/>
      <c r="G2" s="1660"/>
      <c r="H2" s="1660"/>
      <c r="I2" s="1660"/>
      <c r="J2" s="24"/>
    </row>
    <row r="3" spans="1:10" ht="13.5" customHeight="1">
      <c r="B3" s="26"/>
      <c r="C3" s="26"/>
      <c r="D3" s="26"/>
      <c r="E3" s="26"/>
      <c r="F3" s="18"/>
      <c r="G3" s="18"/>
      <c r="H3" s="24"/>
      <c r="I3" s="24"/>
      <c r="J3" s="24"/>
    </row>
    <row r="4" spans="1:10" ht="15.75" customHeight="1">
      <c r="A4" s="1713" t="s">
        <v>951</v>
      </c>
      <c r="B4" s="1663" t="s">
        <v>1255</v>
      </c>
      <c r="C4" s="1671"/>
      <c r="D4" s="1671"/>
      <c r="E4" s="1667"/>
      <c r="F4" s="1663" t="s">
        <v>1256</v>
      </c>
      <c r="G4" s="1671"/>
      <c r="H4" s="1671"/>
      <c r="I4" s="1667"/>
      <c r="J4" s="6"/>
    </row>
    <row r="5" spans="1:10" ht="28.5" customHeight="1">
      <c r="A5" s="1715"/>
      <c r="B5" s="322" t="s">
        <v>1580</v>
      </c>
      <c r="C5" s="300" t="s">
        <v>1581</v>
      </c>
      <c r="D5" s="317" t="s">
        <v>1582</v>
      </c>
      <c r="E5" s="300" t="s">
        <v>135</v>
      </c>
      <c r="F5" s="322" t="s">
        <v>132</v>
      </c>
      <c r="G5" s="300" t="s">
        <v>133</v>
      </c>
      <c r="H5" s="533" t="s">
        <v>134</v>
      </c>
      <c r="I5" s="376" t="s">
        <v>135</v>
      </c>
      <c r="J5" s="6"/>
    </row>
    <row r="6" spans="1:10" ht="15" customHeight="1">
      <c r="A6" s="277" t="s">
        <v>1008</v>
      </c>
      <c r="B6" s="277" t="s">
        <v>1009</v>
      </c>
      <c r="C6" s="293" t="s">
        <v>1010</v>
      </c>
      <c r="D6" s="278" t="s">
        <v>1011</v>
      </c>
      <c r="E6" s="293" t="s">
        <v>1015</v>
      </c>
      <c r="F6" s="277" t="s">
        <v>1016</v>
      </c>
      <c r="G6" s="293" t="s">
        <v>1017</v>
      </c>
      <c r="H6" s="278" t="s">
        <v>1039</v>
      </c>
      <c r="I6" s="293" t="s">
        <v>1040</v>
      </c>
      <c r="J6" s="25"/>
    </row>
    <row r="7" spans="1:10" ht="21" customHeight="1">
      <c r="A7" s="332" t="s">
        <v>1526</v>
      </c>
      <c r="B7" s="99">
        <v>0.51900000000000002</v>
      </c>
      <c r="C7" s="31">
        <v>5.7720000000000002</v>
      </c>
      <c r="D7" s="99" t="s">
        <v>57</v>
      </c>
      <c r="E7" s="31" t="s">
        <v>57</v>
      </c>
      <c r="F7" s="191">
        <v>68.822000000000003</v>
      </c>
      <c r="G7" s="192">
        <v>8658</v>
      </c>
      <c r="H7" s="99" t="s">
        <v>57</v>
      </c>
      <c r="I7" s="50" t="s">
        <v>57</v>
      </c>
    </row>
    <row r="8" spans="1:10" ht="21" customHeight="1">
      <c r="A8" s="332" t="s">
        <v>1525</v>
      </c>
      <c r="B8" s="676" t="s">
        <v>580</v>
      </c>
      <c r="C8" s="161">
        <v>7.89</v>
      </c>
      <c r="D8" s="99" t="s">
        <v>57</v>
      </c>
      <c r="E8" s="31" t="s">
        <v>57</v>
      </c>
      <c r="F8" s="1237" t="s">
        <v>580</v>
      </c>
      <c r="G8" s="192">
        <v>15780</v>
      </c>
      <c r="H8" s="99" t="s">
        <v>57</v>
      </c>
      <c r="I8" s="50" t="s">
        <v>57</v>
      </c>
    </row>
    <row r="9" spans="1:10" ht="21" customHeight="1">
      <c r="A9" s="332" t="s">
        <v>1051</v>
      </c>
      <c r="B9" s="676">
        <v>0.42399999999999999</v>
      </c>
      <c r="C9" s="161">
        <v>10.02</v>
      </c>
      <c r="D9" s="99" t="s">
        <v>57</v>
      </c>
      <c r="E9" s="31" t="s">
        <v>57</v>
      </c>
      <c r="F9" s="1237">
        <v>82.085999999999999</v>
      </c>
      <c r="G9" s="192">
        <v>20400</v>
      </c>
      <c r="H9" s="99" t="s">
        <v>57</v>
      </c>
      <c r="I9" s="50" t="s">
        <v>57</v>
      </c>
    </row>
    <row r="10" spans="1:10" ht="21" customHeight="1">
      <c r="A10" s="332" t="s">
        <v>1250</v>
      </c>
      <c r="B10" s="668">
        <v>6.58</v>
      </c>
      <c r="C10" s="162">
        <v>8.25</v>
      </c>
      <c r="D10" s="99" t="s">
        <v>57</v>
      </c>
      <c r="E10" s="99" t="s">
        <v>57</v>
      </c>
      <c r="F10" s="1237">
        <v>1316.26</v>
      </c>
      <c r="G10" s="191">
        <v>18159.59</v>
      </c>
      <c r="H10" s="99" t="s">
        <v>57</v>
      </c>
      <c r="I10" s="99" t="s">
        <v>57</v>
      </c>
    </row>
    <row r="11" spans="1:10" ht="21" customHeight="1">
      <c r="A11" s="267" t="s">
        <v>527</v>
      </c>
      <c r="B11" s="664">
        <v>0.23</v>
      </c>
      <c r="C11" s="375">
        <v>8.19</v>
      </c>
      <c r="D11" s="1252" t="s">
        <v>57</v>
      </c>
      <c r="E11" s="1252" t="s">
        <v>57</v>
      </c>
      <c r="F11" s="1238">
        <v>51.37</v>
      </c>
      <c r="G11" s="193">
        <v>17208.64</v>
      </c>
      <c r="H11" s="1252" t="s">
        <v>57</v>
      </c>
      <c r="I11" s="1252" t="s">
        <v>57</v>
      </c>
      <c r="J11" s="6"/>
    </row>
    <row r="12" spans="1:10">
      <c r="A12" s="632" t="s">
        <v>581</v>
      </c>
      <c r="B12" s="371"/>
      <c r="C12" s="372"/>
      <c r="D12" s="369"/>
      <c r="E12" s="369"/>
      <c r="F12" s="370"/>
      <c r="G12" s="370"/>
      <c r="H12" s="305"/>
      <c r="I12" s="559" t="str">
        <f>CONCATENATE("Source : Assistant Director of Sericulture, ",District!A1)</f>
        <v>Source : Assistant Director of Sericulture, Purulia</v>
      </c>
    </row>
    <row r="13" spans="1:10">
      <c r="A13" s="633" t="s">
        <v>531</v>
      </c>
      <c r="B13" s="19"/>
      <c r="C13" s="2"/>
    </row>
    <row r="14" spans="1:10">
      <c r="B14" s="19"/>
      <c r="C14" s="2"/>
    </row>
    <row r="15" spans="1:10">
      <c r="B15" s="246"/>
      <c r="C15" s="246"/>
    </row>
    <row r="16" spans="1:10" ht="14.25" customHeight="1">
      <c r="B16" s="1658" t="s">
        <v>832</v>
      </c>
      <c r="C16" s="1658"/>
      <c r="D16" s="1658"/>
      <c r="E16" s="1658"/>
      <c r="F16" s="1658"/>
      <c r="G16" s="1658"/>
      <c r="H16" s="1658"/>
    </row>
    <row r="17" spans="2:8" ht="33" customHeight="1">
      <c r="B17" s="1673" t="str">
        <f>CONCATENATE("Number of Factories, Production of Lac and Persons employed in Lac Industry 
in the district of ",District!A1)</f>
        <v>Number of Factories, Production of Lac and Persons employed in Lac Industry 
in the district of Purulia</v>
      </c>
      <c r="C17" s="1673"/>
      <c r="D17" s="1673"/>
      <c r="E17" s="1673"/>
      <c r="F17" s="1673"/>
      <c r="G17" s="1673"/>
      <c r="H17" s="1673"/>
    </row>
    <row r="18" spans="2:8" ht="30" customHeight="1">
      <c r="B18" s="292" t="s">
        <v>951</v>
      </c>
      <c r="C18" s="1663" t="s">
        <v>465</v>
      </c>
      <c r="D18" s="1667"/>
      <c r="E18" s="1709" t="s">
        <v>1521</v>
      </c>
      <c r="F18" s="1667"/>
      <c r="G18" s="1709" t="s">
        <v>1335</v>
      </c>
      <c r="H18" s="1667"/>
    </row>
    <row r="19" spans="2:8" ht="14.25" customHeight="1">
      <c r="B19" s="293" t="s">
        <v>1008</v>
      </c>
      <c r="C19" s="1675" t="s">
        <v>1009</v>
      </c>
      <c r="D19" s="1699"/>
      <c r="E19" s="1675" t="s">
        <v>1010</v>
      </c>
      <c r="F19" s="1699"/>
      <c r="G19" s="1732" t="s">
        <v>1011</v>
      </c>
      <c r="H19" s="1699"/>
    </row>
    <row r="20" spans="2:8" ht="21" customHeight="1">
      <c r="B20" s="332" t="s">
        <v>1526</v>
      </c>
      <c r="C20" s="1704">
        <v>182</v>
      </c>
      <c r="D20" s="1705"/>
      <c r="E20" s="1704">
        <v>2675</v>
      </c>
      <c r="F20" s="1705"/>
      <c r="G20" s="1735">
        <v>3.5489999999999999</v>
      </c>
      <c r="H20" s="1736"/>
    </row>
    <row r="21" spans="2:8" ht="21" customHeight="1">
      <c r="B21" s="332" t="s">
        <v>1525</v>
      </c>
      <c r="C21" s="1694">
        <v>183</v>
      </c>
      <c r="D21" s="1695"/>
      <c r="E21" s="1694">
        <v>2648</v>
      </c>
      <c r="F21" s="1695"/>
      <c r="G21" s="1733">
        <v>3.5619999999999998</v>
      </c>
      <c r="H21" s="1734"/>
    </row>
    <row r="22" spans="2:8" ht="21" customHeight="1">
      <c r="B22" s="332" t="s">
        <v>1051</v>
      </c>
      <c r="C22" s="1694">
        <v>258</v>
      </c>
      <c r="D22" s="1695"/>
      <c r="E22" s="1694">
        <v>2898</v>
      </c>
      <c r="F22" s="1695"/>
      <c r="G22" s="1733">
        <v>4.548</v>
      </c>
      <c r="H22" s="1734"/>
    </row>
    <row r="23" spans="2:8" ht="21" customHeight="1">
      <c r="B23" s="332" t="s">
        <v>1250</v>
      </c>
      <c r="C23" s="1694">
        <v>258</v>
      </c>
      <c r="D23" s="1695"/>
      <c r="E23" s="1698">
        <v>2849</v>
      </c>
      <c r="F23" s="1698"/>
      <c r="G23" s="1733">
        <v>4.5010000000000003</v>
      </c>
      <c r="H23" s="1734"/>
    </row>
    <row r="24" spans="2:8" ht="21" customHeight="1">
      <c r="B24" s="336" t="s">
        <v>527</v>
      </c>
      <c r="C24" s="1689">
        <v>184</v>
      </c>
      <c r="D24" s="1690"/>
      <c r="E24" s="1693">
        <v>4029</v>
      </c>
      <c r="F24" s="1693"/>
      <c r="G24" s="1737">
        <v>3.57</v>
      </c>
      <c r="H24" s="1738"/>
    </row>
    <row r="25" spans="2:8">
      <c r="F25" s="570" t="s">
        <v>1469</v>
      </c>
      <c r="G25" s="373" t="s">
        <v>1401</v>
      </c>
      <c r="H25" s="305"/>
    </row>
    <row r="26" spans="2:8">
      <c r="F26" s="560"/>
      <c r="G26" s="374" t="s">
        <v>1284</v>
      </c>
      <c r="H26" s="305"/>
    </row>
  </sheetData>
  <mergeCells count="28">
    <mergeCell ref="F4:I4"/>
    <mergeCell ref="C24:D24"/>
    <mergeCell ref="C19:D19"/>
    <mergeCell ref="C20:D20"/>
    <mergeCell ref="C21:D21"/>
    <mergeCell ref="C22:D22"/>
    <mergeCell ref="C18:D18"/>
    <mergeCell ref="B16:H16"/>
    <mergeCell ref="B17:H17"/>
    <mergeCell ref="E18:F18"/>
    <mergeCell ref="E24:F24"/>
    <mergeCell ref="G24:H24"/>
    <mergeCell ref="A1:I1"/>
    <mergeCell ref="C23:D23"/>
    <mergeCell ref="G19:H19"/>
    <mergeCell ref="B4:E4"/>
    <mergeCell ref="E19:F19"/>
    <mergeCell ref="A4:A5"/>
    <mergeCell ref="G21:H21"/>
    <mergeCell ref="G20:H20"/>
    <mergeCell ref="E20:F20"/>
    <mergeCell ref="E21:F21"/>
    <mergeCell ref="E22:F22"/>
    <mergeCell ref="G22:H22"/>
    <mergeCell ref="E23:F23"/>
    <mergeCell ref="G23:H23"/>
    <mergeCell ref="G18:H18"/>
    <mergeCell ref="A2:I2"/>
  </mergeCells>
  <phoneticPr fontId="0" type="noConversion"/>
  <printOptions horizontalCentered="1" verticalCentered="1"/>
  <pageMargins left="0.1" right="0.1" top="0.15" bottom="0.1" header="0.15" footer="0.1"/>
  <pageSetup paperSize="9" orientation="landscape" blackAndWhite="1" r:id="rId1"/>
  <headerFooter alignWithMargins="0"/>
</worksheet>
</file>

<file path=xl/worksheets/sheet59.xml><?xml version="1.0" encoding="utf-8"?>
<worksheet xmlns="http://schemas.openxmlformats.org/spreadsheetml/2006/main" xmlns:r="http://schemas.openxmlformats.org/officeDocument/2006/relationships">
  <dimension ref="A1:J15"/>
  <sheetViews>
    <sheetView workbookViewId="0">
      <selection activeCell="F14" sqref="F14"/>
    </sheetView>
  </sheetViews>
  <sheetFormatPr defaultRowHeight="12.75"/>
  <cols>
    <col min="1" max="1" width="3" customWidth="1"/>
    <col min="2" max="2" width="2.42578125" customWidth="1"/>
    <col min="3" max="3" width="30.5703125" customWidth="1"/>
    <col min="4" max="4" width="15.140625" customWidth="1"/>
    <col min="5" max="5" width="17" customWidth="1"/>
    <col min="6" max="8" width="13.7109375" customWidth="1"/>
  </cols>
  <sheetData>
    <row r="1" spans="1:10" ht="15.75" customHeight="1">
      <c r="A1" s="1658" t="s">
        <v>834</v>
      </c>
      <c r="B1" s="1658"/>
      <c r="C1" s="1658"/>
      <c r="D1" s="1658"/>
      <c r="E1" s="1658"/>
      <c r="F1" s="1658"/>
      <c r="G1" s="1658"/>
      <c r="H1" s="1658"/>
    </row>
    <row r="2" spans="1:10" ht="21" customHeight="1">
      <c r="A2" s="1660" t="str">
        <f>CONCATENATE("Employment in Registered Factories and State Government Offices in the district of ",District!A1)</f>
        <v>Employment in Registered Factories and State Government Offices in the district of Purulia</v>
      </c>
      <c r="B2" s="1660"/>
      <c r="C2" s="1660"/>
      <c r="D2" s="1660"/>
      <c r="E2" s="1660"/>
      <c r="F2" s="1660"/>
      <c r="G2" s="1660"/>
      <c r="H2" s="1660"/>
    </row>
    <row r="3" spans="1:10" ht="21" customHeight="1">
      <c r="A3" s="529"/>
      <c r="B3" s="529"/>
      <c r="C3" s="529"/>
      <c r="D3" s="529"/>
      <c r="E3" s="529"/>
      <c r="F3" s="529"/>
      <c r="G3" s="529"/>
      <c r="H3" s="291" t="s">
        <v>1058</v>
      </c>
    </row>
    <row r="4" spans="1:10" ht="25.5" customHeight="1">
      <c r="A4" s="1663" t="s">
        <v>137</v>
      </c>
      <c r="B4" s="1671"/>
      <c r="C4" s="1667"/>
      <c r="D4" s="620">
        <v>2010</v>
      </c>
      <c r="E4" s="376">
        <v>2011</v>
      </c>
      <c r="F4" s="376">
        <v>2012</v>
      </c>
      <c r="G4" s="376">
        <v>2013</v>
      </c>
      <c r="H4" s="376">
        <v>2014</v>
      </c>
      <c r="J4" s="447"/>
    </row>
    <row r="5" spans="1:10" ht="25.5" customHeight="1">
      <c r="A5" s="1675" t="s">
        <v>1008</v>
      </c>
      <c r="B5" s="1732"/>
      <c r="C5" s="1699"/>
      <c r="D5" s="277" t="s">
        <v>1009</v>
      </c>
      <c r="E5" s="293" t="s">
        <v>1010</v>
      </c>
      <c r="F5" s="331" t="s">
        <v>1011</v>
      </c>
      <c r="G5" s="293" t="s">
        <v>1015</v>
      </c>
      <c r="H5" s="279" t="s">
        <v>1016</v>
      </c>
    </row>
    <row r="6" spans="1:10" ht="39.75" customHeight="1">
      <c r="A6" s="530" t="s">
        <v>1435</v>
      </c>
      <c r="B6" s="1741" t="s">
        <v>1298</v>
      </c>
      <c r="C6" s="1742"/>
      <c r="D6" s="342"/>
      <c r="E6" s="708"/>
      <c r="F6" s="377"/>
      <c r="G6" s="377"/>
      <c r="H6" s="377"/>
    </row>
    <row r="7" spans="1:10" ht="36" customHeight="1">
      <c r="A7" s="99"/>
      <c r="B7" s="103" t="s">
        <v>13</v>
      </c>
      <c r="C7" s="190" t="s">
        <v>15</v>
      </c>
      <c r="D7" s="50">
        <v>100</v>
      </c>
      <c r="E7" s="99">
        <v>103</v>
      </c>
      <c r="F7" s="99">
        <v>109</v>
      </c>
      <c r="G7" s="99" t="s">
        <v>529</v>
      </c>
      <c r="H7" s="1351" t="s">
        <v>1666</v>
      </c>
    </row>
    <row r="8" spans="1:10" ht="39.75" customHeight="1">
      <c r="A8" s="99"/>
      <c r="B8" s="103" t="s">
        <v>14</v>
      </c>
      <c r="C8" s="190" t="s">
        <v>16</v>
      </c>
      <c r="D8" s="50">
        <v>6845</v>
      </c>
      <c r="E8" s="99">
        <v>6940</v>
      </c>
      <c r="F8" s="99">
        <v>7270</v>
      </c>
      <c r="G8" s="99" t="s">
        <v>530</v>
      </c>
      <c r="H8" s="1351" t="s">
        <v>1667</v>
      </c>
    </row>
    <row r="9" spans="1:10" ht="53.25" customHeight="1">
      <c r="A9" s="696" t="s">
        <v>563</v>
      </c>
      <c r="B9" s="1739" t="s">
        <v>222</v>
      </c>
      <c r="C9" s="1740"/>
      <c r="D9" s="127" t="s">
        <v>970</v>
      </c>
      <c r="E9" s="128">
        <v>12431</v>
      </c>
      <c r="F9" s="128" t="s">
        <v>970</v>
      </c>
      <c r="G9" s="128">
        <v>12577</v>
      </c>
      <c r="H9" s="128">
        <v>7574</v>
      </c>
    </row>
    <row r="10" spans="1:10" ht="13.5" customHeight="1">
      <c r="A10" s="403"/>
      <c r="B10" s="363"/>
      <c r="C10" s="402"/>
      <c r="D10" s="305"/>
      <c r="E10" s="570" t="s">
        <v>776</v>
      </c>
      <c r="F10" s="573" t="s">
        <v>1336</v>
      </c>
      <c r="G10" s="305"/>
      <c r="H10" s="305"/>
      <c r="I10" s="305"/>
    </row>
    <row r="11" spans="1:10" ht="13.5" customHeight="1">
      <c r="A11" s="363"/>
      <c r="B11" s="351"/>
      <c r="C11" s="351"/>
      <c r="D11" s="351"/>
      <c r="E11" s="559" t="s">
        <v>782</v>
      </c>
      <c r="F11" s="573" t="s">
        <v>1337</v>
      </c>
      <c r="G11" s="321"/>
      <c r="H11" s="321"/>
      <c r="I11" s="305"/>
    </row>
    <row r="12" spans="1:10" ht="13.5" customHeight="1">
      <c r="A12" s="363"/>
      <c r="B12" s="363"/>
      <c r="C12" s="363"/>
      <c r="D12" s="351"/>
      <c r="E12" s="338"/>
      <c r="F12" s="362"/>
      <c r="G12" s="362"/>
      <c r="H12" s="362"/>
      <c r="I12" s="305"/>
    </row>
    <row r="13" spans="1:10" ht="13.5" customHeight="1">
      <c r="A13" s="363"/>
      <c r="B13" s="363"/>
      <c r="C13" s="363"/>
      <c r="D13" s="351"/>
      <c r="E13" s="305"/>
      <c r="F13" s="362"/>
      <c r="G13" s="362"/>
      <c r="H13" s="362"/>
      <c r="I13" s="318"/>
    </row>
    <row r="14" spans="1:10" ht="12.75" customHeight="1">
      <c r="A14" s="363"/>
      <c r="B14" s="363"/>
      <c r="C14" s="363"/>
      <c r="D14" s="305"/>
      <c r="E14" s="338"/>
      <c r="F14" s="362"/>
      <c r="G14" s="362"/>
      <c r="H14" s="362"/>
      <c r="I14" s="305"/>
    </row>
    <row r="15" spans="1:10">
      <c r="F15" s="362"/>
      <c r="G15" s="362"/>
      <c r="H15" s="362"/>
    </row>
  </sheetData>
  <mergeCells count="6">
    <mergeCell ref="B9:C9"/>
    <mergeCell ref="B6:C6"/>
    <mergeCell ref="A1:H1"/>
    <mergeCell ref="A2:H2"/>
    <mergeCell ref="A4:C4"/>
    <mergeCell ref="A5:C5"/>
  </mergeCells>
  <phoneticPr fontId="0" type="noConversion"/>
  <conditionalFormatting sqref="A6:C65536 A1:A4 H1:IV1048576 B1:G3 D4:G65536">
    <cfRule type="cellIs" dxfId="2" priority="1" stopIfTrue="1" operator="equal">
      <formula>".."</formula>
    </cfRule>
  </conditionalFormatting>
  <printOptions horizontalCentered="1" verticalCentered="1"/>
  <pageMargins left="0.14000000000000001" right="0.14000000000000001" top="0.19" bottom="0.14000000000000001" header="0.16" footer="0.14000000000000001"/>
  <pageSetup paperSize="9" orientation="landscape" blackAndWhite="1" r:id="rId1"/>
  <headerFooter alignWithMargins="0"/>
</worksheet>
</file>

<file path=xl/worksheets/sheet6.xml><?xml version="1.0" encoding="utf-8"?>
<worksheet xmlns="http://schemas.openxmlformats.org/spreadsheetml/2006/main" xmlns:r="http://schemas.openxmlformats.org/officeDocument/2006/relationships">
  <sheetPr codeName="Sheet3"/>
  <dimension ref="A1:H30"/>
  <sheetViews>
    <sheetView workbookViewId="0">
      <selection activeCell="F14" sqref="F14"/>
    </sheetView>
  </sheetViews>
  <sheetFormatPr defaultRowHeight="12.75"/>
  <cols>
    <col min="1" max="1" width="13.7109375" style="723" customWidth="1"/>
    <col min="2" max="7" width="14.7109375" style="723" customWidth="1"/>
    <col min="8" max="8" width="15.42578125" style="723" customWidth="1"/>
    <col min="9" max="16384" width="9.140625" style="723"/>
  </cols>
  <sheetData>
    <row r="1" spans="1:8" ht="14.25" customHeight="1">
      <c r="A1" s="1399" t="s">
        <v>628</v>
      </c>
      <c r="B1" s="1399"/>
      <c r="C1" s="1399"/>
      <c r="D1" s="1399"/>
      <c r="E1" s="1399"/>
      <c r="F1" s="1399"/>
      <c r="G1" s="1399"/>
      <c r="H1" s="1399"/>
    </row>
    <row r="2" spans="1:8" ht="20.25" customHeight="1">
      <c r="A2" s="1394" t="str">
        <f>CONCATENATE("Geographical Location of ",District!$A$1," district and its headquarters")</f>
        <v>Geographical Location of Purulia district and its headquarters</v>
      </c>
      <c r="B2" s="1394"/>
      <c r="C2" s="1394"/>
      <c r="D2" s="1394"/>
      <c r="E2" s="1394"/>
      <c r="F2" s="1394"/>
      <c r="G2" s="1394"/>
      <c r="H2" s="1394"/>
    </row>
    <row r="3" spans="1:8" ht="15.75" customHeight="1">
      <c r="A3" s="1408" t="s">
        <v>1001</v>
      </c>
      <c r="B3" s="1400" t="s">
        <v>1002</v>
      </c>
      <c r="C3" s="1401"/>
      <c r="D3" s="1407" t="s">
        <v>1003</v>
      </c>
      <c r="E3" s="1401"/>
      <c r="F3" s="1408" t="s">
        <v>109</v>
      </c>
      <c r="G3" s="1408" t="s">
        <v>1002</v>
      </c>
      <c r="H3" s="1408" t="s">
        <v>1003</v>
      </c>
    </row>
    <row r="4" spans="1:8" ht="15" customHeight="1">
      <c r="A4" s="1409"/>
      <c r="B4" s="728" t="s">
        <v>1004</v>
      </c>
      <c r="C4" s="728" t="s">
        <v>1005</v>
      </c>
      <c r="D4" s="125" t="s">
        <v>1006</v>
      </c>
      <c r="E4" s="728" t="s">
        <v>1007</v>
      </c>
      <c r="F4" s="1409"/>
      <c r="G4" s="1409"/>
      <c r="H4" s="1409"/>
    </row>
    <row r="5" spans="1:8" ht="16.5" customHeight="1">
      <c r="A5" s="729" t="s">
        <v>1008</v>
      </c>
      <c r="B5" s="729" t="s">
        <v>1009</v>
      </c>
      <c r="C5" s="729" t="s">
        <v>1010</v>
      </c>
      <c r="D5" s="730" t="s">
        <v>1011</v>
      </c>
      <c r="E5" s="731" t="s">
        <v>1015</v>
      </c>
      <c r="F5" s="731" t="s">
        <v>1016</v>
      </c>
      <c r="G5" s="731" t="s">
        <v>1017</v>
      </c>
      <c r="H5" s="731" t="s">
        <v>1039</v>
      </c>
    </row>
    <row r="6" spans="1:8" ht="50.25" customHeight="1">
      <c r="A6" s="728" t="str">
        <f>District!$A$1</f>
        <v>Purulia</v>
      </c>
      <c r="B6" s="732" t="s">
        <v>21</v>
      </c>
      <c r="C6" s="733" t="s">
        <v>390</v>
      </c>
      <c r="D6" s="734" t="s">
        <v>22</v>
      </c>
      <c r="E6" s="732" t="s">
        <v>23</v>
      </c>
      <c r="F6" s="735" t="s">
        <v>20</v>
      </c>
      <c r="G6" s="732" t="s">
        <v>24</v>
      </c>
      <c r="H6" s="732" t="s">
        <v>25</v>
      </c>
    </row>
    <row r="7" spans="1:8">
      <c r="B7" s="736"/>
      <c r="D7" s="736"/>
      <c r="E7" s="1402" t="s">
        <v>485</v>
      </c>
      <c r="F7" s="1402"/>
      <c r="G7" s="1402"/>
      <c r="H7" s="1402"/>
    </row>
    <row r="8" spans="1:8">
      <c r="B8" s="736"/>
      <c r="D8" s="736"/>
      <c r="E8" s="737"/>
      <c r="F8" s="737"/>
      <c r="G8" s="737"/>
      <c r="H8" s="737"/>
    </row>
    <row r="9" spans="1:8" ht="14.25" customHeight="1">
      <c r="A9" s="1399" t="s">
        <v>629</v>
      </c>
      <c r="B9" s="1399"/>
      <c r="C9" s="1399"/>
      <c r="D9" s="1399"/>
      <c r="E9" s="1399"/>
      <c r="F9" s="1399"/>
      <c r="G9" s="1399"/>
      <c r="H9" s="1399"/>
    </row>
    <row r="10" spans="1:8" ht="15" customHeight="1">
      <c r="A10" s="1394" t="str">
        <f>CONCATENATE("Monthly Rainfall in the district of ",District!$A$1)</f>
        <v>Monthly Rainfall in the district of Purulia</v>
      </c>
      <c r="B10" s="1394"/>
      <c r="C10" s="1394"/>
      <c r="D10" s="1394"/>
      <c r="E10" s="1394"/>
      <c r="F10" s="1394"/>
      <c r="G10" s="1394"/>
      <c r="H10" s="1394"/>
    </row>
    <row r="11" spans="1:8" ht="12.75" customHeight="1">
      <c r="C11" s="738"/>
      <c r="D11" s="738"/>
      <c r="E11" s="738"/>
      <c r="F11" s="738"/>
      <c r="G11" s="738"/>
      <c r="H11" s="738" t="s">
        <v>1067</v>
      </c>
    </row>
    <row r="12" spans="1:8" ht="18.75" customHeight="1">
      <c r="A12" s="1403" t="s">
        <v>1018</v>
      </c>
      <c r="B12" s="1404"/>
      <c r="C12" s="728" t="s">
        <v>1019</v>
      </c>
      <c r="D12" s="1400" t="s">
        <v>1020</v>
      </c>
      <c r="E12" s="1400"/>
      <c r="F12" s="1400"/>
      <c r="G12" s="1400"/>
      <c r="H12" s="1401"/>
    </row>
    <row r="13" spans="1:8" ht="17.25" customHeight="1">
      <c r="A13" s="1405"/>
      <c r="B13" s="1406"/>
      <c r="C13" s="739">
        <f>H13</f>
        <v>2014</v>
      </c>
      <c r="D13" s="740">
        <v>2010</v>
      </c>
      <c r="E13" s="740">
        <v>2011</v>
      </c>
      <c r="F13" s="740">
        <v>2012</v>
      </c>
      <c r="G13" s="740">
        <v>2013</v>
      </c>
      <c r="H13" s="740">
        <v>2014</v>
      </c>
    </row>
    <row r="14" spans="1:8" ht="15" customHeight="1">
      <c r="A14" s="1395" t="s">
        <v>1008</v>
      </c>
      <c r="B14" s="1396"/>
      <c r="C14" s="739" t="s">
        <v>1009</v>
      </c>
      <c r="D14" s="597" t="s">
        <v>1010</v>
      </c>
      <c r="E14" s="739" t="s">
        <v>1011</v>
      </c>
      <c r="F14" s="594" t="s">
        <v>1015</v>
      </c>
      <c r="G14" s="739" t="s">
        <v>1016</v>
      </c>
      <c r="H14" s="729" t="s">
        <v>1017</v>
      </c>
    </row>
    <row r="15" spans="1:8" ht="18.95" customHeight="1">
      <c r="A15" s="1397" t="s">
        <v>1021</v>
      </c>
      <c r="B15" s="1398"/>
      <c r="C15" s="744">
        <v>12</v>
      </c>
      <c r="D15" s="745" t="s">
        <v>57</v>
      </c>
      <c r="E15" s="491">
        <v>4</v>
      </c>
      <c r="F15" s="491">
        <v>37</v>
      </c>
      <c r="G15" s="782">
        <v>1</v>
      </c>
      <c r="H15" s="782">
        <v>2</v>
      </c>
    </row>
    <row r="16" spans="1:8" ht="18.95" customHeight="1">
      <c r="A16" s="1397" t="s">
        <v>1022</v>
      </c>
      <c r="B16" s="1398"/>
      <c r="C16" s="744">
        <v>20</v>
      </c>
      <c r="D16" s="744">
        <v>1</v>
      </c>
      <c r="E16" s="126">
        <v>1</v>
      </c>
      <c r="F16" s="126">
        <v>22</v>
      </c>
      <c r="G16" s="602">
        <v>14</v>
      </c>
      <c r="H16" s="602">
        <v>31</v>
      </c>
    </row>
    <row r="17" spans="1:8" ht="18.95" customHeight="1">
      <c r="A17" s="1390" t="s">
        <v>1023</v>
      </c>
      <c r="B17" s="1391"/>
      <c r="C17" s="744">
        <v>22</v>
      </c>
      <c r="D17" s="744">
        <v>1</v>
      </c>
      <c r="E17" s="126">
        <v>37</v>
      </c>
      <c r="F17" s="126">
        <v>6</v>
      </c>
      <c r="G17" s="602">
        <v>2</v>
      </c>
      <c r="H17" s="602">
        <v>25</v>
      </c>
    </row>
    <row r="18" spans="1:8" ht="18.95" customHeight="1">
      <c r="A18" s="1390" t="s">
        <v>1024</v>
      </c>
      <c r="B18" s="1391"/>
      <c r="C18" s="744">
        <v>31</v>
      </c>
      <c r="D18" s="744">
        <v>9</v>
      </c>
      <c r="E18" s="126">
        <v>38</v>
      </c>
      <c r="F18" s="126">
        <v>50</v>
      </c>
      <c r="G18" s="602">
        <v>43</v>
      </c>
      <c r="H18" s="602">
        <v>2</v>
      </c>
    </row>
    <row r="19" spans="1:8" ht="18.95" customHeight="1">
      <c r="A19" s="1390" t="s">
        <v>1026</v>
      </c>
      <c r="B19" s="1391"/>
      <c r="C19" s="744">
        <v>59</v>
      </c>
      <c r="D19" s="744">
        <v>79</v>
      </c>
      <c r="E19" s="126">
        <v>79</v>
      </c>
      <c r="F19" s="126">
        <v>24</v>
      </c>
      <c r="G19" s="602">
        <v>246</v>
      </c>
      <c r="H19" s="602">
        <v>61</v>
      </c>
    </row>
    <row r="20" spans="1:8" ht="18.95" customHeight="1">
      <c r="A20" s="1390" t="s">
        <v>1027</v>
      </c>
      <c r="B20" s="1391"/>
      <c r="C20" s="744">
        <v>253</v>
      </c>
      <c r="D20" s="744">
        <v>104</v>
      </c>
      <c r="E20" s="126">
        <v>421</v>
      </c>
      <c r="F20" s="126">
        <v>145</v>
      </c>
      <c r="G20" s="602">
        <v>201</v>
      </c>
      <c r="H20" s="602">
        <v>163</v>
      </c>
    </row>
    <row r="21" spans="1:8" ht="18.95" customHeight="1">
      <c r="A21" s="1390" t="s">
        <v>1028</v>
      </c>
      <c r="B21" s="1391"/>
      <c r="C21" s="744">
        <v>299</v>
      </c>
      <c r="D21" s="744">
        <v>159</v>
      </c>
      <c r="E21" s="126">
        <v>227</v>
      </c>
      <c r="F21" s="126">
        <v>354</v>
      </c>
      <c r="G21" s="602">
        <v>190</v>
      </c>
      <c r="H21" s="602">
        <v>252</v>
      </c>
    </row>
    <row r="22" spans="1:8" ht="18.95" customHeight="1">
      <c r="A22" s="1390" t="s">
        <v>1029</v>
      </c>
      <c r="B22" s="1391"/>
      <c r="C22" s="744">
        <v>291</v>
      </c>
      <c r="D22" s="744">
        <v>192</v>
      </c>
      <c r="E22" s="126">
        <v>393</v>
      </c>
      <c r="F22" s="126">
        <v>299</v>
      </c>
      <c r="G22" s="602">
        <v>300</v>
      </c>
      <c r="H22" s="602">
        <v>230</v>
      </c>
    </row>
    <row r="23" spans="1:8" ht="18.95" customHeight="1">
      <c r="A23" s="1390" t="s">
        <v>1030</v>
      </c>
      <c r="B23" s="1391"/>
      <c r="C23" s="744">
        <v>234</v>
      </c>
      <c r="D23" s="744">
        <v>148</v>
      </c>
      <c r="E23" s="126">
        <v>337</v>
      </c>
      <c r="F23" s="126">
        <v>363</v>
      </c>
      <c r="G23" s="602">
        <v>219</v>
      </c>
      <c r="H23" s="602">
        <v>193</v>
      </c>
    </row>
    <row r="24" spans="1:8" ht="18.95" customHeight="1">
      <c r="A24" s="1390" t="s">
        <v>1031</v>
      </c>
      <c r="B24" s="1391"/>
      <c r="C24" s="744">
        <v>70</v>
      </c>
      <c r="D24" s="744">
        <v>46</v>
      </c>
      <c r="E24" s="126">
        <v>20</v>
      </c>
      <c r="F24" s="126">
        <v>26</v>
      </c>
      <c r="G24" s="602">
        <v>345</v>
      </c>
      <c r="H24" s="602">
        <v>65</v>
      </c>
    </row>
    <row r="25" spans="1:8" ht="18.95" customHeight="1">
      <c r="A25" s="1390" t="s">
        <v>1032</v>
      </c>
      <c r="B25" s="1391"/>
      <c r="C25" s="744">
        <v>19</v>
      </c>
      <c r="D25" s="744">
        <v>9</v>
      </c>
      <c r="E25" s="126" t="s">
        <v>57</v>
      </c>
      <c r="F25" s="126">
        <v>60</v>
      </c>
      <c r="G25" s="126" t="s">
        <v>57</v>
      </c>
      <c r="H25" s="522" t="s">
        <v>57</v>
      </c>
    </row>
    <row r="26" spans="1:8" ht="18.95" customHeight="1">
      <c r="A26" s="1390" t="s">
        <v>1033</v>
      </c>
      <c r="B26" s="1391"/>
      <c r="C26" s="746">
        <v>13</v>
      </c>
      <c r="D26" s="747">
        <v>50</v>
      </c>
      <c r="E26" s="128" t="s">
        <v>57</v>
      </c>
      <c r="F26" s="128">
        <v>10</v>
      </c>
      <c r="G26" s="126" t="s">
        <v>57</v>
      </c>
      <c r="H26" s="522" t="s">
        <v>57</v>
      </c>
    </row>
    <row r="27" spans="1:8" ht="24" customHeight="1">
      <c r="A27" s="1392" t="s">
        <v>1035</v>
      </c>
      <c r="B27" s="1393"/>
      <c r="C27" s="735">
        <f t="shared" ref="C27:H27" si="0">SUM(C15:C26)</f>
        <v>1323</v>
      </c>
      <c r="D27" s="102">
        <f t="shared" si="0"/>
        <v>798</v>
      </c>
      <c r="E27" s="735">
        <f t="shared" si="0"/>
        <v>1557</v>
      </c>
      <c r="F27" s="102">
        <f t="shared" si="0"/>
        <v>1396</v>
      </c>
      <c r="G27" s="735">
        <f t="shared" si="0"/>
        <v>1561</v>
      </c>
      <c r="H27" s="735">
        <f t="shared" si="0"/>
        <v>1024</v>
      </c>
    </row>
    <row r="28" spans="1:8">
      <c r="F28" s="542" t="s">
        <v>1563</v>
      </c>
      <c r="G28" s="540" t="s">
        <v>1374</v>
      </c>
      <c r="H28" s="112"/>
    </row>
    <row r="29" spans="1:8">
      <c r="F29" s="540"/>
      <c r="G29" s="540" t="s">
        <v>1306</v>
      </c>
    </row>
    <row r="30" spans="1:8">
      <c r="E30" s="749"/>
    </row>
  </sheetData>
  <mergeCells count="27">
    <mergeCell ref="A1:H1"/>
    <mergeCell ref="A9:H9"/>
    <mergeCell ref="D12:H12"/>
    <mergeCell ref="E7:H7"/>
    <mergeCell ref="A12:B13"/>
    <mergeCell ref="B3:C3"/>
    <mergeCell ref="D3:E3"/>
    <mergeCell ref="A2:H2"/>
    <mergeCell ref="A3:A4"/>
    <mergeCell ref="F3:F4"/>
    <mergeCell ref="G3:G4"/>
    <mergeCell ref="H3:H4"/>
    <mergeCell ref="A26:B26"/>
    <mergeCell ref="A27:B27"/>
    <mergeCell ref="A10:H10"/>
    <mergeCell ref="A22:B22"/>
    <mergeCell ref="A23:B23"/>
    <mergeCell ref="A24:B24"/>
    <mergeCell ref="A25:B25"/>
    <mergeCell ref="A18:B18"/>
    <mergeCell ref="A19:B19"/>
    <mergeCell ref="A20:B20"/>
    <mergeCell ref="A21:B21"/>
    <mergeCell ref="A14:B14"/>
    <mergeCell ref="A15:B15"/>
    <mergeCell ref="A16:B16"/>
    <mergeCell ref="A17:B17"/>
  </mergeCells>
  <phoneticPr fontId="0" type="noConversion"/>
  <printOptions horizontalCentered="1" verticalCentered="1"/>
  <pageMargins left="0.1" right="0.1" top="0.1" bottom="0.1" header="0.15" footer="0.1"/>
  <pageSetup paperSize="9" orientation="landscape" blackAndWhite="1" r:id="rId1"/>
  <headerFooter alignWithMargins="0"/>
</worksheet>
</file>

<file path=xl/worksheets/sheet60.xml><?xml version="1.0" encoding="utf-8"?>
<worksheet xmlns="http://schemas.openxmlformats.org/spreadsheetml/2006/main" xmlns:r="http://schemas.openxmlformats.org/officeDocument/2006/relationships">
  <sheetPr codeName="Sheet59"/>
  <dimension ref="B1:N32"/>
  <sheetViews>
    <sheetView workbookViewId="0">
      <selection activeCell="P4" sqref="P4"/>
    </sheetView>
  </sheetViews>
  <sheetFormatPr defaultRowHeight="12.75"/>
  <cols>
    <col min="1" max="1" width="5.7109375" style="39" customWidth="1"/>
    <col min="2" max="2" width="13" style="39" customWidth="1"/>
    <col min="3" max="14" width="10.28515625" style="39" customWidth="1"/>
    <col min="15" max="16384" width="9.140625" style="39"/>
  </cols>
  <sheetData>
    <row r="1" spans="2:14" ht="13.5" customHeight="1">
      <c r="B1" s="1754" t="s">
        <v>835</v>
      </c>
      <c r="C1" s="1754"/>
      <c r="D1" s="1754"/>
      <c r="E1" s="1754"/>
      <c r="F1" s="1754"/>
      <c r="G1" s="1754"/>
      <c r="H1" s="1754"/>
      <c r="I1" s="1754"/>
      <c r="J1" s="1754"/>
      <c r="K1" s="1754"/>
      <c r="L1" s="1754"/>
      <c r="M1" s="1754"/>
      <c r="N1" s="1754"/>
    </row>
    <row r="2" spans="2:14" ht="17.25" customHeight="1">
      <c r="B2" s="1756" t="str">
        <f>CONCATENATE("Number of Establishments in rural and urban areas in the district of ",District!A1)</f>
        <v>Number of Establishments in rural and urban areas in the district of Purulia</v>
      </c>
      <c r="C2" s="1756"/>
      <c r="D2" s="1756"/>
      <c r="E2" s="1756"/>
      <c r="F2" s="1756"/>
      <c r="G2" s="1756"/>
      <c r="H2" s="1756"/>
      <c r="I2" s="1756"/>
      <c r="J2" s="1756"/>
      <c r="K2" s="1756"/>
      <c r="L2" s="1756"/>
      <c r="M2" s="1756"/>
      <c r="N2" s="1756"/>
    </row>
    <row r="3" spans="2:14" ht="15" customHeight="1">
      <c r="B3" s="1758" t="s">
        <v>136</v>
      </c>
      <c r="C3" s="1747" t="s">
        <v>330</v>
      </c>
      <c r="D3" s="1747"/>
      <c r="E3" s="1747"/>
      <c r="F3" s="1748"/>
      <c r="G3" s="1755" t="s">
        <v>331</v>
      </c>
      <c r="H3" s="1747"/>
      <c r="I3" s="1747"/>
      <c r="J3" s="1748"/>
      <c r="K3" s="1747" t="s">
        <v>584</v>
      </c>
      <c r="L3" s="1747"/>
      <c r="M3" s="1747"/>
      <c r="N3" s="1748"/>
    </row>
    <row r="4" spans="2:14" ht="15" customHeight="1">
      <c r="B4" s="1759"/>
      <c r="C4" s="1747">
        <v>2005</v>
      </c>
      <c r="D4" s="1748"/>
      <c r="E4" s="1747">
        <v>2013</v>
      </c>
      <c r="F4" s="1748"/>
      <c r="G4" s="1747">
        <v>2005</v>
      </c>
      <c r="H4" s="1748"/>
      <c r="I4" s="1747">
        <v>2013</v>
      </c>
      <c r="J4" s="1748"/>
      <c r="K4" s="1747">
        <v>2005</v>
      </c>
      <c r="L4" s="1748"/>
      <c r="M4" s="1747">
        <v>2013</v>
      </c>
      <c r="N4" s="1748"/>
    </row>
    <row r="5" spans="2:14" ht="29.25" customHeight="1">
      <c r="B5" s="1759"/>
      <c r="C5" s="379" t="s">
        <v>139</v>
      </c>
      <c r="D5" s="380" t="s">
        <v>140</v>
      </c>
      <c r="E5" s="380" t="s">
        <v>139</v>
      </c>
      <c r="F5" s="378" t="s">
        <v>140</v>
      </c>
      <c r="G5" s="380" t="s">
        <v>139</v>
      </c>
      <c r="H5" s="378" t="s">
        <v>140</v>
      </c>
      <c r="I5" s="380" t="s">
        <v>139</v>
      </c>
      <c r="J5" s="380" t="s">
        <v>140</v>
      </c>
      <c r="K5" s="380" t="s">
        <v>139</v>
      </c>
      <c r="L5" s="378" t="s">
        <v>140</v>
      </c>
      <c r="M5" s="379" t="s">
        <v>139</v>
      </c>
      <c r="N5" s="378" t="s">
        <v>140</v>
      </c>
    </row>
    <row r="6" spans="2:14" ht="16.5" customHeight="1">
      <c r="B6" s="383" t="s">
        <v>1008</v>
      </c>
      <c r="C6" s="384" t="s">
        <v>1009</v>
      </c>
      <c r="D6" s="385" t="s">
        <v>1010</v>
      </c>
      <c r="E6" s="385" t="s">
        <v>1011</v>
      </c>
      <c r="F6" s="383" t="s">
        <v>1015</v>
      </c>
      <c r="G6" s="385" t="s">
        <v>1016</v>
      </c>
      <c r="H6" s="383" t="s">
        <v>1017</v>
      </c>
      <c r="I6" s="385" t="s">
        <v>1039</v>
      </c>
      <c r="J6" s="385" t="s">
        <v>1040</v>
      </c>
      <c r="K6" s="386" t="s">
        <v>1041</v>
      </c>
      <c r="L6" s="387" t="s">
        <v>1042</v>
      </c>
      <c r="M6" s="388" t="s">
        <v>1076</v>
      </c>
      <c r="N6" s="387" t="s">
        <v>1077</v>
      </c>
    </row>
    <row r="7" spans="2:14" ht="18" customHeight="1">
      <c r="B7" s="392" t="s">
        <v>1073</v>
      </c>
      <c r="C7" s="119">
        <v>1082</v>
      </c>
      <c r="D7" s="119">
        <v>22111</v>
      </c>
      <c r="E7" s="119">
        <v>539</v>
      </c>
      <c r="F7" s="119">
        <v>14310</v>
      </c>
      <c r="G7" s="119">
        <v>3402</v>
      </c>
      <c r="H7" s="119">
        <v>52189</v>
      </c>
      <c r="I7" s="119">
        <v>19446</v>
      </c>
      <c r="J7" s="119">
        <v>69203</v>
      </c>
      <c r="K7" s="119">
        <f>SUM(G7,C7)</f>
        <v>4484</v>
      </c>
      <c r="L7" s="119">
        <f>SUM(H7,D7)</f>
        <v>74300</v>
      </c>
      <c r="M7" s="119">
        <f>SUM(I7,E7)</f>
        <v>19985</v>
      </c>
      <c r="N7" s="120">
        <f>SUM(J7,F7)</f>
        <v>83513</v>
      </c>
    </row>
    <row r="8" spans="2:14" ht="18" customHeight="1">
      <c r="B8" s="392" t="s">
        <v>1072</v>
      </c>
      <c r="C8" s="119">
        <v>89</v>
      </c>
      <c r="D8" s="119">
        <v>6727</v>
      </c>
      <c r="E8" s="119">
        <v>143</v>
      </c>
      <c r="F8" s="119">
        <v>8397</v>
      </c>
      <c r="G8" s="119">
        <v>174</v>
      </c>
      <c r="H8" s="119">
        <v>8758</v>
      </c>
      <c r="I8" s="119">
        <v>1111</v>
      </c>
      <c r="J8" s="119">
        <v>16925</v>
      </c>
      <c r="K8" s="119">
        <f>SUM(G8,C8)</f>
        <v>263</v>
      </c>
      <c r="L8" s="119">
        <f>SUM(H8,D8)</f>
        <v>15485</v>
      </c>
      <c r="M8" s="119">
        <f>SUM(I8,E8)</f>
        <v>1254</v>
      </c>
      <c r="N8" s="120">
        <f>SUM(J8,F8)</f>
        <v>25322</v>
      </c>
    </row>
    <row r="9" spans="2:14" ht="18" customHeight="1">
      <c r="B9" s="393" t="s">
        <v>1035</v>
      </c>
      <c r="C9" s="280">
        <f t="shared" ref="C9:D9" si="0">SUM(C7:C8)</f>
        <v>1171</v>
      </c>
      <c r="D9" s="280">
        <f t="shared" si="0"/>
        <v>28838</v>
      </c>
      <c r="E9" s="280">
        <f>SUM(E7:E8)</f>
        <v>682</v>
      </c>
      <c r="F9" s="280">
        <f>SUM(F7:F8)</f>
        <v>22707</v>
      </c>
      <c r="G9" s="280">
        <f t="shared" ref="G9:H9" si="1">SUM(G7:G8)</f>
        <v>3576</v>
      </c>
      <c r="H9" s="280">
        <f t="shared" si="1"/>
        <v>60947</v>
      </c>
      <c r="I9" s="280">
        <f>SUM(I7:I8)</f>
        <v>20557</v>
      </c>
      <c r="J9" s="280">
        <f>SUM(J7:J8)</f>
        <v>86128</v>
      </c>
      <c r="K9" s="280">
        <f>SUM(G9,C9)</f>
        <v>4747</v>
      </c>
      <c r="L9" s="280">
        <f>SUM(H9,D9)</f>
        <v>89785</v>
      </c>
      <c r="M9" s="280">
        <f>SUM(I9,E9)</f>
        <v>21239</v>
      </c>
      <c r="N9" s="281">
        <f>SUM(J9,F9)</f>
        <v>108835</v>
      </c>
    </row>
    <row r="10" spans="2:14">
      <c r="K10" s="389"/>
      <c r="L10" s="389"/>
      <c r="M10" s="389"/>
      <c r="N10" s="574" t="s">
        <v>1639</v>
      </c>
    </row>
    <row r="11" spans="2:14">
      <c r="K11" s="389"/>
      <c r="L11" s="389"/>
      <c r="M11" s="389"/>
      <c r="N11" s="390"/>
    </row>
    <row r="12" spans="2:14">
      <c r="B12" s="1754" t="s">
        <v>827</v>
      </c>
      <c r="C12" s="1754"/>
      <c r="D12" s="1754"/>
      <c r="E12" s="1754"/>
      <c r="F12" s="1754"/>
      <c r="G12" s="1754"/>
      <c r="H12" s="1754"/>
      <c r="I12" s="1754"/>
      <c r="J12" s="1754"/>
      <c r="K12" s="1754"/>
      <c r="L12" s="1754"/>
      <c r="M12" s="1754"/>
      <c r="N12" s="1754"/>
    </row>
    <row r="13" spans="2:14" ht="15" customHeight="1">
      <c r="B13" s="1756" t="str">
        <f>CONCATENATE("Number of Persons usually working  in rural and urban Establishments in the district of ",District!A1)</f>
        <v>Number of Persons usually working  in rural and urban Establishments in the district of Purulia</v>
      </c>
      <c r="C13" s="1756"/>
      <c r="D13" s="1756"/>
      <c r="E13" s="1756"/>
      <c r="F13" s="1756"/>
      <c r="G13" s="1756"/>
      <c r="H13" s="1756"/>
      <c r="I13" s="1756"/>
      <c r="J13" s="1756"/>
      <c r="K13" s="1756"/>
      <c r="L13" s="1756"/>
      <c r="M13" s="1756"/>
      <c r="N13" s="1756"/>
    </row>
    <row r="14" spans="2:14" ht="15" customHeight="1">
      <c r="B14" s="1758" t="s">
        <v>136</v>
      </c>
      <c r="C14" s="1747" t="s">
        <v>330</v>
      </c>
      <c r="D14" s="1747"/>
      <c r="E14" s="1747"/>
      <c r="F14" s="1748"/>
      <c r="G14" s="1755" t="s">
        <v>331</v>
      </c>
      <c r="H14" s="1747"/>
      <c r="I14" s="1747"/>
      <c r="J14" s="1748"/>
      <c r="K14" s="1747" t="s">
        <v>584</v>
      </c>
      <c r="L14" s="1747"/>
      <c r="M14" s="1747"/>
      <c r="N14" s="1748"/>
    </row>
    <row r="15" spans="2:14" ht="15" customHeight="1">
      <c r="B15" s="1759"/>
      <c r="C15" s="1747">
        <v>2005</v>
      </c>
      <c r="D15" s="1748"/>
      <c r="E15" s="1747">
        <v>2013</v>
      </c>
      <c r="F15" s="1748"/>
      <c r="G15" s="1747">
        <v>2005</v>
      </c>
      <c r="H15" s="1748"/>
      <c r="I15" s="1747">
        <v>2013</v>
      </c>
      <c r="J15" s="1748"/>
      <c r="K15" s="1747">
        <v>2005</v>
      </c>
      <c r="L15" s="1748"/>
      <c r="M15" s="1747">
        <v>2013</v>
      </c>
      <c r="N15" s="1748"/>
    </row>
    <row r="16" spans="2:14" ht="27.75" customHeight="1">
      <c r="B16" s="1759"/>
      <c r="C16" s="379" t="s">
        <v>139</v>
      </c>
      <c r="D16" s="378" t="s">
        <v>140</v>
      </c>
      <c r="E16" s="379" t="s">
        <v>139</v>
      </c>
      <c r="F16" s="378" t="s">
        <v>140</v>
      </c>
      <c r="G16" s="381" t="s">
        <v>139</v>
      </c>
      <c r="H16" s="378" t="s">
        <v>140</v>
      </c>
      <c r="I16" s="382" t="s">
        <v>139</v>
      </c>
      <c r="J16" s="378" t="s">
        <v>140</v>
      </c>
      <c r="K16" s="381" t="s">
        <v>139</v>
      </c>
      <c r="L16" s="378" t="s">
        <v>140</v>
      </c>
      <c r="M16" s="379" t="s">
        <v>139</v>
      </c>
      <c r="N16" s="378" t="s">
        <v>140</v>
      </c>
    </row>
    <row r="17" spans="2:14" ht="15" customHeight="1">
      <c r="B17" s="383" t="s">
        <v>1008</v>
      </c>
      <c r="C17" s="384" t="s">
        <v>1009</v>
      </c>
      <c r="D17" s="383" t="s">
        <v>1010</v>
      </c>
      <c r="E17" s="384" t="s">
        <v>1011</v>
      </c>
      <c r="F17" s="383" t="s">
        <v>1015</v>
      </c>
      <c r="G17" s="385" t="s">
        <v>1016</v>
      </c>
      <c r="H17" s="383" t="s">
        <v>1017</v>
      </c>
      <c r="I17" s="384" t="s">
        <v>1039</v>
      </c>
      <c r="J17" s="383" t="s">
        <v>1040</v>
      </c>
      <c r="K17" s="386" t="s">
        <v>1041</v>
      </c>
      <c r="L17" s="387" t="s">
        <v>1042</v>
      </c>
      <c r="M17" s="388" t="s">
        <v>1076</v>
      </c>
      <c r="N17" s="387" t="s">
        <v>1077</v>
      </c>
    </row>
    <row r="18" spans="2:14" ht="18" customHeight="1">
      <c r="B18" s="484" t="s">
        <v>1073</v>
      </c>
      <c r="C18" s="282">
        <v>3365</v>
      </c>
      <c r="D18" s="120">
        <v>98028</v>
      </c>
      <c r="E18" s="282">
        <v>1592</v>
      </c>
      <c r="F18" s="120">
        <v>61275</v>
      </c>
      <c r="G18" s="121">
        <v>4749</v>
      </c>
      <c r="H18" s="120">
        <v>76271</v>
      </c>
      <c r="I18" s="121">
        <v>26514</v>
      </c>
      <c r="J18" s="120">
        <v>112884</v>
      </c>
      <c r="K18" s="119">
        <f t="shared" ref="K18:K19" si="2">SUM(G18,C18)</f>
        <v>8114</v>
      </c>
      <c r="L18" s="120">
        <f t="shared" ref="L18:L19" si="3">SUM(H18,D18)</f>
        <v>174299</v>
      </c>
      <c r="M18" s="282">
        <f t="shared" ref="M18:M19" si="4">SUM(I18,E18)</f>
        <v>28106</v>
      </c>
      <c r="N18" s="120">
        <f t="shared" ref="N18:N19" si="5">SUM(J18,F18)</f>
        <v>174159</v>
      </c>
    </row>
    <row r="19" spans="2:14" ht="18" customHeight="1">
      <c r="B19" s="484" t="s">
        <v>1072</v>
      </c>
      <c r="C19" s="282">
        <v>414</v>
      </c>
      <c r="D19" s="120">
        <v>40801</v>
      </c>
      <c r="E19" s="282">
        <v>674</v>
      </c>
      <c r="F19" s="120">
        <v>33077</v>
      </c>
      <c r="G19" s="121">
        <v>325</v>
      </c>
      <c r="H19" s="120">
        <v>10540</v>
      </c>
      <c r="I19" s="121">
        <v>1554</v>
      </c>
      <c r="J19" s="120">
        <v>20707</v>
      </c>
      <c r="K19" s="119">
        <f t="shared" si="2"/>
        <v>739</v>
      </c>
      <c r="L19" s="120">
        <f t="shared" si="3"/>
        <v>51341</v>
      </c>
      <c r="M19" s="282">
        <f t="shared" si="4"/>
        <v>2228</v>
      </c>
      <c r="N19" s="120">
        <f t="shared" si="5"/>
        <v>53784</v>
      </c>
    </row>
    <row r="20" spans="2:14" ht="18" customHeight="1">
      <c r="B20" s="485" t="s">
        <v>1035</v>
      </c>
      <c r="C20" s="283">
        <f t="shared" ref="C20:D20" si="6">C18+C19</f>
        <v>3779</v>
      </c>
      <c r="D20" s="281">
        <f t="shared" si="6"/>
        <v>138829</v>
      </c>
      <c r="E20" s="283">
        <f>SUM(E18:E19)</f>
        <v>2266</v>
      </c>
      <c r="F20" s="281">
        <f>SUM(F18:F19)</f>
        <v>94352</v>
      </c>
      <c r="G20" s="283">
        <f t="shared" ref="G20:H20" si="7">G18+G19</f>
        <v>5074</v>
      </c>
      <c r="H20" s="281">
        <f t="shared" si="7"/>
        <v>86811</v>
      </c>
      <c r="I20" s="283">
        <f>SUM(I18:I19)</f>
        <v>28068</v>
      </c>
      <c r="J20" s="281">
        <f>SUM(J18:J19)</f>
        <v>133591</v>
      </c>
      <c r="K20" s="280">
        <f>C20+G20</f>
        <v>8853</v>
      </c>
      <c r="L20" s="281">
        <f>D20+H20</f>
        <v>225640</v>
      </c>
      <c r="M20" s="228">
        <f>E20+I20</f>
        <v>30334</v>
      </c>
      <c r="N20" s="281">
        <f>F20+J20</f>
        <v>227943</v>
      </c>
    </row>
    <row r="21" spans="2:14">
      <c r="K21" s="389"/>
      <c r="L21" s="389"/>
      <c r="M21" s="389"/>
      <c r="N21" s="574" t="s">
        <v>1640</v>
      </c>
    </row>
    <row r="22" spans="2:14">
      <c r="K22" s="389"/>
      <c r="L22" s="389"/>
      <c r="M22" s="389"/>
      <c r="N22" s="390"/>
    </row>
    <row r="23" spans="2:14">
      <c r="B23" s="1753" t="s">
        <v>836</v>
      </c>
      <c r="C23" s="1753"/>
      <c r="D23" s="1753"/>
      <c r="E23" s="1753"/>
      <c r="F23" s="1753"/>
      <c r="G23" s="1753"/>
      <c r="H23" s="1753"/>
      <c r="I23" s="1753"/>
      <c r="J23" s="1753"/>
      <c r="K23" s="1753"/>
      <c r="L23" s="1753"/>
      <c r="M23" s="1753"/>
    </row>
    <row r="24" spans="2:14" ht="33.75" customHeight="1">
      <c r="C24" s="1757" t="str">
        <f>CONCATENATE("Percentage of Hired Workers and Females employed in Non-agricultural Establishments 
in the district of ",District!A1)</f>
        <v>Percentage of Hired Workers and Females employed in Non-agricultural Establishments 
in the district of Purulia</v>
      </c>
      <c r="D24" s="1757"/>
      <c r="E24" s="1757"/>
      <c r="F24" s="1757"/>
      <c r="G24" s="1757"/>
      <c r="H24" s="1757"/>
      <c r="I24" s="1757"/>
      <c r="J24" s="1757"/>
      <c r="K24" s="1757"/>
      <c r="L24" s="1757"/>
      <c r="M24" s="1757"/>
    </row>
    <row r="25" spans="2:14" ht="15" customHeight="1">
      <c r="C25" s="1713" t="s">
        <v>136</v>
      </c>
      <c r="D25" s="1744"/>
      <c r="E25" s="1714"/>
      <c r="F25" s="1663" t="s">
        <v>147</v>
      </c>
      <c r="G25" s="1671"/>
      <c r="H25" s="1671"/>
      <c r="I25" s="1667"/>
      <c r="J25" s="1663" t="s">
        <v>148</v>
      </c>
      <c r="K25" s="1671"/>
      <c r="L25" s="1671"/>
      <c r="M25" s="1667"/>
    </row>
    <row r="26" spans="2:14" ht="15" customHeight="1">
      <c r="B26" s="284"/>
      <c r="C26" s="1715"/>
      <c r="D26" s="1745"/>
      <c r="E26" s="1716"/>
      <c r="F26" s="1663">
        <v>2005</v>
      </c>
      <c r="G26" s="1667"/>
      <c r="H26" s="1663">
        <v>2013</v>
      </c>
      <c r="I26" s="1667"/>
      <c r="J26" s="1663">
        <v>2005</v>
      </c>
      <c r="K26" s="1667"/>
      <c r="L26" s="1663">
        <v>2013</v>
      </c>
      <c r="M26" s="1667"/>
    </row>
    <row r="27" spans="2:14" ht="15" customHeight="1">
      <c r="C27" s="1675" t="s">
        <v>1008</v>
      </c>
      <c r="D27" s="1732"/>
      <c r="E27" s="1699"/>
      <c r="F27" s="1700" t="s">
        <v>1009</v>
      </c>
      <c r="G27" s="1703"/>
      <c r="H27" s="1700" t="s">
        <v>1010</v>
      </c>
      <c r="I27" s="1703"/>
      <c r="J27" s="1700" t="s">
        <v>1011</v>
      </c>
      <c r="K27" s="1703"/>
      <c r="L27" s="1700" t="s">
        <v>1015</v>
      </c>
      <c r="M27" s="1703"/>
    </row>
    <row r="28" spans="2:14" ht="18" customHeight="1">
      <c r="C28" s="1722" t="s">
        <v>1073</v>
      </c>
      <c r="D28" s="1746"/>
      <c r="E28" s="1723"/>
      <c r="F28" s="1749">
        <v>46.73</v>
      </c>
      <c r="G28" s="1750"/>
      <c r="H28" s="1749">
        <v>30.59</v>
      </c>
      <c r="I28" s="1750"/>
      <c r="J28" s="1749">
        <v>18.7</v>
      </c>
      <c r="K28" s="1750"/>
      <c r="L28" s="1749">
        <v>31.87</v>
      </c>
      <c r="M28" s="1750"/>
    </row>
    <row r="29" spans="2:14" ht="18" customHeight="1">
      <c r="C29" s="1722" t="s">
        <v>1072</v>
      </c>
      <c r="D29" s="1746"/>
      <c r="E29" s="1723"/>
      <c r="F29" s="1749">
        <v>67.5</v>
      </c>
      <c r="G29" s="1750"/>
      <c r="H29" s="1749">
        <v>46.15</v>
      </c>
      <c r="I29" s="1750"/>
      <c r="J29" s="1749">
        <v>6.77</v>
      </c>
      <c r="K29" s="1750"/>
      <c r="L29" s="1749">
        <v>12.62</v>
      </c>
      <c r="M29" s="1750"/>
    </row>
    <row r="30" spans="2:14" ht="18" customHeight="1">
      <c r="C30" s="1720" t="s">
        <v>1035</v>
      </c>
      <c r="D30" s="1743"/>
      <c r="E30" s="1721"/>
      <c r="F30" s="1751">
        <v>51.46</v>
      </c>
      <c r="G30" s="1752"/>
      <c r="H30" s="1751">
        <v>34.26</v>
      </c>
      <c r="I30" s="1752"/>
      <c r="J30" s="1751">
        <v>15.98</v>
      </c>
      <c r="K30" s="1752"/>
      <c r="L30" s="1751">
        <v>27.33</v>
      </c>
      <c r="M30" s="1752"/>
    </row>
    <row r="31" spans="2:14">
      <c r="E31"/>
      <c r="F31"/>
      <c r="G31" s="56"/>
      <c r="H31" s="56"/>
      <c r="J31" s="391"/>
      <c r="K31" s="391"/>
      <c r="L31" s="391"/>
      <c r="M31" s="574" t="s">
        <v>1640</v>
      </c>
    </row>
    <row r="32" spans="2:14">
      <c r="E32"/>
      <c r="F32"/>
      <c r="G32" s="56"/>
      <c r="H32" s="56"/>
      <c r="I32" s="56"/>
    </row>
  </sheetData>
  <mergeCells count="53">
    <mergeCell ref="B12:N12"/>
    <mergeCell ref="B2:N2"/>
    <mergeCell ref="K14:N14"/>
    <mergeCell ref="C14:F14"/>
    <mergeCell ref="G3:J3"/>
    <mergeCell ref="B3:B5"/>
    <mergeCell ref="K3:N3"/>
    <mergeCell ref="C3:F3"/>
    <mergeCell ref="C4:D4"/>
    <mergeCell ref="K4:L4"/>
    <mergeCell ref="M4:N4"/>
    <mergeCell ref="I4:J4"/>
    <mergeCell ref="B14:B16"/>
    <mergeCell ref="C15:D15"/>
    <mergeCell ref="M15:N15"/>
    <mergeCell ref="I15:J15"/>
    <mergeCell ref="B1:N1"/>
    <mergeCell ref="H30:I30"/>
    <mergeCell ref="E4:F4"/>
    <mergeCell ref="G14:J14"/>
    <mergeCell ref="G4:H4"/>
    <mergeCell ref="H27:I27"/>
    <mergeCell ref="J26:K26"/>
    <mergeCell ref="J27:K27"/>
    <mergeCell ref="B13:N13"/>
    <mergeCell ref="L26:M26"/>
    <mergeCell ref="C24:M24"/>
    <mergeCell ref="L29:M29"/>
    <mergeCell ref="F28:G28"/>
    <mergeCell ref="F29:G29"/>
    <mergeCell ref="E15:F15"/>
    <mergeCell ref="F27:G27"/>
    <mergeCell ref="J25:M25"/>
    <mergeCell ref="G15:H15"/>
    <mergeCell ref="H29:I29"/>
    <mergeCell ref="H28:I28"/>
    <mergeCell ref="L30:M30"/>
    <mergeCell ref="J28:K28"/>
    <mergeCell ref="J29:K29"/>
    <mergeCell ref="J30:K30"/>
    <mergeCell ref="L28:M28"/>
    <mergeCell ref="L27:M27"/>
    <mergeCell ref="F25:I25"/>
    <mergeCell ref="F26:G26"/>
    <mergeCell ref="H26:I26"/>
    <mergeCell ref="F30:G30"/>
    <mergeCell ref="B23:M23"/>
    <mergeCell ref="K15:L15"/>
    <mergeCell ref="C30:E30"/>
    <mergeCell ref="C25:E26"/>
    <mergeCell ref="C27:E27"/>
    <mergeCell ref="C28:E28"/>
    <mergeCell ref="C29:E29"/>
  </mergeCells>
  <phoneticPr fontId="0" type="noConversion"/>
  <printOptions horizontalCentered="1" verticalCentered="1"/>
  <pageMargins left="0.1" right="0.1" top="0.2" bottom="0.18" header="0.15" footer="0.1"/>
  <pageSetup paperSize="9" orientation="landscape" blackAndWhite="1" r:id="rId1"/>
  <headerFooter alignWithMargins="0"/>
</worksheet>
</file>

<file path=xl/worksheets/sheet61.xml><?xml version="1.0" encoding="utf-8"?>
<worksheet xmlns="http://schemas.openxmlformats.org/spreadsheetml/2006/main" xmlns:r="http://schemas.openxmlformats.org/officeDocument/2006/relationships">
  <dimension ref="A1:M25"/>
  <sheetViews>
    <sheetView workbookViewId="0">
      <selection activeCell="F14" sqref="F14"/>
    </sheetView>
  </sheetViews>
  <sheetFormatPr defaultRowHeight="12.75"/>
  <cols>
    <col min="1" max="1" width="3" customWidth="1"/>
    <col min="2" max="2" width="19.85546875" customWidth="1"/>
    <col min="3" max="7" width="13.28515625" customWidth="1"/>
    <col min="8" max="8" width="14.85546875" customWidth="1"/>
  </cols>
  <sheetData>
    <row r="1" spans="1:13" ht="28.5" customHeight="1">
      <c r="A1" s="1658" t="s">
        <v>838</v>
      </c>
      <c r="B1" s="1658"/>
      <c r="C1" s="1658"/>
      <c r="D1" s="1658"/>
      <c r="E1" s="1658"/>
      <c r="F1" s="1658"/>
      <c r="G1" s="1658"/>
    </row>
    <row r="2" spans="1:13" ht="36.75" customHeight="1">
      <c r="A2" s="1670" t="str">
        <f>CONCATENATE("Applicants on the Live-register of Employment Exchanges 
in the district of ",District!A1," by main occupational group")</f>
        <v>Applicants on the Live-register of Employment Exchanges 
in the district of Purulia by main occupational group</v>
      </c>
      <c r="B2" s="1670"/>
      <c r="C2" s="1670"/>
      <c r="D2" s="1670"/>
      <c r="E2" s="1670"/>
      <c r="F2" s="1670"/>
      <c r="G2" s="1670"/>
      <c r="H2" s="32"/>
      <c r="I2" s="32"/>
      <c r="J2" s="32"/>
      <c r="K2" s="24"/>
    </row>
    <row r="3" spans="1:13" ht="13.5" customHeight="1">
      <c r="C3" s="18"/>
      <c r="D3" s="18"/>
      <c r="E3" s="18"/>
      <c r="F3" s="18"/>
      <c r="G3" s="417" t="s">
        <v>1058</v>
      </c>
      <c r="H3" s="18"/>
      <c r="I3" s="24"/>
      <c r="J3" s="24"/>
      <c r="K3" s="24"/>
    </row>
    <row r="4" spans="1:13" ht="21.95" customHeight="1">
      <c r="A4" s="1663" t="s">
        <v>149</v>
      </c>
      <c r="B4" s="1667"/>
      <c r="C4" s="300">
        <v>2010</v>
      </c>
      <c r="D4" s="300">
        <v>2011</v>
      </c>
      <c r="E4" s="300">
        <v>2012</v>
      </c>
      <c r="F4" s="300">
        <v>2013</v>
      </c>
      <c r="G4" s="300">
        <v>2014</v>
      </c>
      <c r="H4" s="31"/>
      <c r="I4" s="31"/>
      <c r="J4" s="31"/>
      <c r="K4" s="6"/>
    </row>
    <row r="5" spans="1:13" ht="21.95" customHeight="1">
      <c r="A5" s="1675" t="s">
        <v>1008</v>
      </c>
      <c r="B5" s="1699"/>
      <c r="C5" s="279" t="s">
        <v>1009</v>
      </c>
      <c r="D5" s="293" t="s">
        <v>1010</v>
      </c>
      <c r="E5" s="331" t="s">
        <v>1011</v>
      </c>
      <c r="F5" s="293" t="s">
        <v>1015</v>
      </c>
      <c r="G5" s="324" t="s">
        <v>1016</v>
      </c>
      <c r="H5" s="15"/>
      <c r="I5" s="25"/>
      <c r="J5" s="25"/>
      <c r="K5" s="25"/>
    </row>
    <row r="6" spans="1:13" ht="30" customHeight="1">
      <c r="A6" s="352"/>
      <c r="B6" s="396" t="s">
        <v>150</v>
      </c>
      <c r="C6" s="157">
        <v>2734</v>
      </c>
      <c r="D6" s="157">
        <v>2678</v>
      </c>
      <c r="E6" s="157">
        <v>3478</v>
      </c>
      <c r="F6" s="157">
        <v>4365</v>
      </c>
      <c r="G6" s="157">
        <v>4923</v>
      </c>
      <c r="H6" s="6"/>
      <c r="I6" s="6"/>
      <c r="J6" s="6"/>
    </row>
    <row r="7" spans="1:13" ht="30" customHeight="1">
      <c r="A7" s="352"/>
      <c r="B7" s="396" t="s">
        <v>151</v>
      </c>
      <c r="C7" s="104">
        <v>4067</v>
      </c>
      <c r="D7" s="104">
        <v>4584</v>
      </c>
      <c r="E7" s="104">
        <v>7149</v>
      </c>
      <c r="F7" s="104">
        <v>7396</v>
      </c>
      <c r="G7" s="104">
        <v>7985</v>
      </c>
      <c r="H7" s="6"/>
      <c r="I7" s="394"/>
      <c r="J7" s="534"/>
      <c r="K7" s="394"/>
      <c r="L7" s="316"/>
      <c r="M7" s="395"/>
    </row>
    <row r="8" spans="1:13" ht="30" customHeight="1">
      <c r="A8" s="352"/>
      <c r="B8" s="396" t="s">
        <v>152</v>
      </c>
      <c r="C8" s="104">
        <v>6748</v>
      </c>
      <c r="D8" s="104">
        <v>8067</v>
      </c>
      <c r="E8" s="104">
        <v>16006</v>
      </c>
      <c r="F8" s="104">
        <v>19460</v>
      </c>
      <c r="G8" s="104">
        <v>20113</v>
      </c>
      <c r="H8" s="6"/>
      <c r="I8" s="106"/>
      <c r="J8" s="6"/>
    </row>
    <row r="9" spans="1:13" ht="30" customHeight="1">
      <c r="A9" s="352"/>
      <c r="B9" s="396" t="s">
        <v>153</v>
      </c>
      <c r="C9" s="104">
        <v>4291</v>
      </c>
      <c r="D9" s="104">
        <v>3681</v>
      </c>
      <c r="E9" s="104">
        <v>6156</v>
      </c>
      <c r="F9" s="104">
        <v>7361</v>
      </c>
      <c r="G9" s="104">
        <v>7997</v>
      </c>
      <c r="H9" s="6"/>
      <c r="I9" s="106"/>
      <c r="J9" s="6"/>
    </row>
    <row r="10" spans="1:13" ht="30" customHeight="1">
      <c r="A10" s="352"/>
      <c r="B10" s="396" t="s">
        <v>85</v>
      </c>
      <c r="C10" s="104">
        <v>1308</v>
      </c>
      <c r="D10" s="104">
        <v>1022</v>
      </c>
      <c r="E10" s="104">
        <v>2049</v>
      </c>
      <c r="F10" s="104">
        <v>4299</v>
      </c>
      <c r="G10" s="104">
        <v>4826</v>
      </c>
      <c r="H10" s="6"/>
      <c r="I10" s="106"/>
      <c r="J10" s="6"/>
    </row>
    <row r="11" spans="1:13" ht="30" customHeight="1">
      <c r="A11" s="352"/>
      <c r="B11" s="396" t="s">
        <v>154</v>
      </c>
      <c r="C11" s="104">
        <v>1777</v>
      </c>
      <c r="D11" s="104">
        <v>1577</v>
      </c>
      <c r="E11" s="104">
        <v>32425</v>
      </c>
      <c r="F11" s="104">
        <v>45091</v>
      </c>
      <c r="G11" s="104">
        <v>45946</v>
      </c>
      <c r="H11" s="6"/>
      <c r="I11" s="106"/>
      <c r="J11" s="6"/>
    </row>
    <row r="12" spans="1:13" ht="30" customHeight="1">
      <c r="A12" s="352"/>
      <c r="B12" s="396" t="s">
        <v>1162</v>
      </c>
      <c r="C12" s="152">
        <v>200734</v>
      </c>
      <c r="D12" s="152">
        <v>118854</v>
      </c>
      <c r="E12" s="152">
        <v>166847</v>
      </c>
      <c r="F12" s="152">
        <v>160435</v>
      </c>
      <c r="G12" s="152">
        <v>163102</v>
      </c>
      <c r="H12" s="6"/>
      <c r="I12" s="106"/>
      <c r="J12" s="6"/>
    </row>
    <row r="13" spans="1:13" ht="27" customHeight="1">
      <c r="A13" s="397"/>
      <c r="B13" s="93" t="s">
        <v>155</v>
      </c>
      <c r="C13" s="93">
        <f>SUM(C6:C12)</f>
        <v>221659</v>
      </c>
      <c r="D13" s="93">
        <f>SUM(D6:D12)</f>
        <v>140463</v>
      </c>
      <c r="E13" s="166">
        <f>SUM(E6:E12)</f>
        <v>234110</v>
      </c>
      <c r="F13" s="166">
        <f>SUM(F6:F12)</f>
        <v>248407</v>
      </c>
      <c r="G13" s="166">
        <f>SUM(G6:G12)</f>
        <v>254892</v>
      </c>
      <c r="H13" s="6"/>
      <c r="I13" s="6"/>
      <c r="J13" s="6"/>
    </row>
    <row r="14" spans="1:13" ht="18" customHeight="1">
      <c r="A14" s="12"/>
      <c r="B14" s="16"/>
      <c r="C14" s="1760" t="s">
        <v>999</v>
      </c>
      <c r="D14" s="1760"/>
      <c r="E14" s="1760"/>
      <c r="F14" s="1760"/>
      <c r="G14" s="1760"/>
      <c r="H14" s="6"/>
      <c r="J14" s="534"/>
      <c r="K14" s="394"/>
      <c r="L14" s="316"/>
      <c r="M14" s="395"/>
    </row>
    <row r="15" spans="1:13" ht="18" customHeight="1">
      <c r="A15" s="12"/>
      <c r="B15" s="16"/>
      <c r="C15" s="6"/>
      <c r="D15" s="63"/>
      <c r="E15" s="63"/>
      <c r="F15" s="72"/>
      <c r="G15" s="73"/>
      <c r="H15" s="6"/>
      <c r="I15" s="6"/>
      <c r="J15" s="6"/>
    </row>
    <row r="16" spans="1:13" ht="16.5" customHeight="1">
      <c r="A16" s="1658" t="s">
        <v>837</v>
      </c>
      <c r="B16" s="1658"/>
      <c r="C16" s="1658"/>
      <c r="D16" s="1658"/>
      <c r="E16" s="1658"/>
      <c r="F16" s="1658"/>
      <c r="G16" s="1658"/>
      <c r="H16" s="6"/>
      <c r="I16" s="6"/>
      <c r="J16" s="6"/>
    </row>
    <row r="17" spans="1:11" ht="32.25" customHeight="1">
      <c r="A17" s="1670" t="str">
        <f>CONCATENATE("Registration and Placement effected by Employment Exchanges 
in the district of ",District!A1)</f>
        <v>Registration and Placement effected by Employment Exchanges 
in the district of Purulia</v>
      </c>
      <c r="B17" s="1670"/>
      <c r="C17" s="1670"/>
      <c r="D17" s="1670"/>
      <c r="E17" s="1670"/>
      <c r="F17" s="1670"/>
      <c r="G17" s="1670"/>
      <c r="H17" s="6"/>
      <c r="I17" s="6"/>
      <c r="J17" s="6"/>
    </row>
    <row r="18" spans="1:11" ht="14.25" customHeight="1">
      <c r="C18" s="18"/>
      <c r="D18" s="18"/>
      <c r="E18" s="18"/>
      <c r="F18" s="18"/>
      <c r="G18" s="417" t="s">
        <v>1058</v>
      </c>
      <c r="H18" s="6"/>
      <c r="I18" s="6"/>
      <c r="J18" s="6"/>
    </row>
    <row r="19" spans="1:11" ht="21.95" customHeight="1">
      <c r="A19" s="1663" t="s">
        <v>1575</v>
      </c>
      <c r="B19" s="1671"/>
      <c r="C19" s="300">
        <v>2010</v>
      </c>
      <c r="D19" s="300">
        <v>2011</v>
      </c>
      <c r="E19" s="300">
        <v>2012</v>
      </c>
      <c r="F19" s="300">
        <v>2013</v>
      </c>
      <c r="G19" s="300">
        <v>2014</v>
      </c>
      <c r="H19" s="6"/>
      <c r="I19" s="6"/>
      <c r="J19" s="6"/>
    </row>
    <row r="20" spans="1:11" ht="21.95" customHeight="1">
      <c r="A20" s="1675" t="s">
        <v>1008</v>
      </c>
      <c r="B20" s="1699"/>
      <c r="C20" s="277" t="s">
        <v>1009</v>
      </c>
      <c r="D20" s="293" t="s">
        <v>1010</v>
      </c>
      <c r="E20" s="331" t="s">
        <v>1011</v>
      </c>
      <c r="F20" s="293" t="s">
        <v>1015</v>
      </c>
      <c r="G20" s="324" t="s">
        <v>1016</v>
      </c>
      <c r="H20" s="6"/>
      <c r="I20" s="6"/>
      <c r="J20" s="6"/>
    </row>
    <row r="21" spans="1:11" ht="34.5" customHeight="1">
      <c r="A21" s="1761" t="s">
        <v>728</v>
      </c>
      <c r="B21" s="1762"/>
      <c r="C21" s="156">
        <v>6991</v>
      </c>
      <c r="D21" s="232">
        <v>7205</v>
      </c>
      <c r="E21" s="156">
        <v>8395</v>
      </c>
      <c r="F21" s="156">
        <v>20194</v>
      </c>
      <c r="G21" s="156">
        <v>9506</v>
      </c>
      <c r="H21" s="6"/>
      <c r="I21" s="6"/>
      <c r="J21" s="6"/>
    </row>
    <row r="22" spans="1:11" ht="34.5" customHeight="1">
      <c r="A22" s="1763" t="s">
        <v>729</v>
      </c>
      <c r="B22" s="1764"/>
      <c r="C22" s="146">
        <v>21</v>
      </c>
      <c r="D22" s="233">
        <v>3</v>
      </c>
      <c r="E22" s="146" t="s">
        <v>57</v>
      </c>
      <c r="F22" s="146">
        <v>1</v>
      </c>
      <c r="G22" s="146">
        <v>3</v>
      </c>
      <c r="H22" s="6"/>
      <c r="I22" s="6"/>
      <c r="J22" s="6"/>
      <c r="K22" s="6"/>
    </row>
    <row r="23" spans="1:11" ht="34.5" customHeight="1">
      <c r="A23" s="1763" t="s">
        <v>730</v>
      </c>
      <c r="B23" s="1764"/>
      <c r="C23" s="146">
        <v>90</v>
      </c>
      <c r="D23" s="233">
        <v>34</v>
      </c>
      <c r="E23" s="146">
        <v>68</v>
      </c>
      <c r="F23" s="146">
        <v>7</v>
      </c>
      <c r="G23" s="146">
        <v>122</v>
      </c>
      <c r="H23" s="6"/>
    </row>
    <row r="24" spans="1:11" ht="34.5" customHeight="1">
      <c r="A24" s="1765" t="s">
        <v>731</v>
      </c>
      <c r="B24" s="1766"/>
      <c r="C24" s="89">
        <v>221659</v>
      </c>
      <c r="D24" s="89">
        <v>140463</v>
      </c>
      <c r="E24" s="89">
        <v>234110</v>
      </c>
      <c r="F24" s="89">
        <v>248407</v>
      </c>
      <c r="G24" s="89">
        <v>254892</v>
      </c>
      <c r="H24" s="11"/>
    </row>
    <row r="25" spans="1:11" ht="21.95" customHeight="1">
      <c r="A25" s="12"/>
      <c r="B25" s="16"/>
      <c r="C25" s="1760" t="s">
        <v>999</v>
      </c>
      <c r="D25" s="1760"/>
      <c r="E25" s="1760"/>
      <c r="F25" s="1760"/>
      <c r="G25" s="1760"/>
      <c r="H25" s="537"/>
    </row>
  </sheetData>
  <mergeCells count="14">
    <mergeCell ref="A17:G17"/>
    <mergeCell ref="A19:B19"/>
    <mergeCell ref="A1:G1"/>
    <mergeCell ref="A16:G16"/>
    <mergeCell ref="A5:B5"/>
    <mergeCell ref="A2:G2"/>
    <mergeCell ref="A4:B4"/>
    <mergeCell ref="C14:G14"/>
    <mergeCell ref="A20:B20"/>
    <mergeCell ref="C25:G25"/>
    <mergeCell ref="A21:B21"/>
    <mergeCell ref="A22:B22"/>
    <mergeCell ref="A23:B23"/>
    <mergeCell ref="A24:B24"/>
  </mergeCells>
  <phoneticPr fontId="0" type="noConversion"/>
  <printOptions horizontalCentered="1" verticalCentered="1"/>
  <pageMargins left="0.1" right="0.1" top="0" bottom="0" header="0.5" footer="0.1"/>
  <pageSetup paperSize="9" orientation="portrait" blackAndWhite="1" r:id="rId1"/>
  <headerFooter alignWithMargins="0"/>
</worksheet>
</file>

<file path=xl/worksheets/sheet62.xml><?xml version="1.0" encoding="utf-8"?>
<worksheet xmlns="http://schemas.openxmlformats.org/spreadsheetml/2006/main" xmlns:r="http://schemas.openxmlformats.org/officeDocument/2006/relationships">
  <sheetPr codeName="Sheet40"/>
  <dimension ref="A1:K48"/>
  <sheetViews>
    <sheetView topLeftCell="A13" workbookViewId="0">
      <selection activeCell="F14" sqref="F14"/>
    </sheetView>
  </sheetViews>
  <sheetFormatPr defaultRowHeight="12.4" customHeight="1"/>
  <cols>
    <col min="1" max="1" width="17.85546875" customWidth="1"/>
    <col min="2" max="2" width="10" customWidth="1"/>
    <col min="3" max="3" width="13.140625" customWidth="1"/>
    <col min="4" max="4" width="10.140625" customWidth="1"/>
    <col min="5" max="5" width="12.85546875" customWidth="1"/>
    <col min="6" max="6" width="9.85546875" customWidth="1"/>
    <col min="7" max="7" width="13.5703125" customWidth="1"/>
  </cols>
  <sheetData>
    <row r="1" spans="1:7" ht="13.5" customHeight="1">
      <c r="A1" s="1658" t="s">
        <v>839</v>
      </c>
      <c r="B1" s="1658"/>
      <c r="C1" s="1658"/>
      <c r="D1" s="1658"/>
      <c r="E1" s="1658"/>
      <c r="F1" s="1658"/>
      <c r="G1" s="1658"/>
    </row>
    <row r="2" spans="1:7" ht="32.25" customHeight="1">
      <c r="A2" s="1770" t="str">
        <f>CONCATENATE("Assistance to Old-aged Persons, Widows and Handicapped 
in the district of ",District!A1)</f>
        <v>Assistance to Old-aged Persons, Widows and Handicapped 
in the district of Purulia</v>
      </c>
      <c r="B2" s="1770"/>
      <c r="C2" s="1770"/>
      <c r="D2" s="1770"/>
      <c r="E2" s="1770"/>
      <c r="F2" s="1770"/>
      <c r="G2" s="1770"/>
    </row>
    <row r="3" spans="1:7" ht="15.75" customHeight="1">
      <c r="A3" s="1668" t="s">
        <v>951</v>
      </c>
      <c r="B3" s="1663" t="s">
        <v>156</v>
      </c>
      <c r="C3" s="1667"/>
      <c r="D3" s="1663" t="s">
        <v>158</v>
      </c>
      <c r="E3" s="1667"/>
      <c r="F3" s="1717" t="s">
        <v>159</v>
      </c>
      <c r="G3" s="1719"/>
    </row>
    <row r="4" spans="1:7" ht="39.75" customHeight="1">
      <c r="A4" s="1669"/>
      <c r="B4" s="519" t="s">
        <v>157</v>
      </c>
      <c r="C4" s="398" t="s">
        <v>539</v>
      </c>
      <c r="D4" s="519" t="s">
        <v>157</v>
      </c>
      <c r="E4" s="398" t="s">
        <v>539</v>
      </c>
      <c r="F4" s="519" t="s">
        <v>157</v>
      </c>
      <c r="G4" s="398" t="s">
        <v>539</v>
      </c>
    </row>
    <row r="5" spans="1:7" ht="15.95" customHeight="1">
      <c r="A5" s="293" t="s">
        <v>1008</v>
      </c>
      <c r="B5" s="293" t="s">
        <v>1009</v>
      </c>
      <c r="C5" s="279" t="s">
        <v>1010</v>
      </c>
      <c r="D5" s="293" t="s">
        <v>1011</v>
      </c>
      <c r="E5" s="279" t="s">
        <v>1015</v>
      </c>
      <c r="F5" s="325" t="s">
        <v>1016</v>
      </c>
      <c r="G5" s="327" t="s">
        <v>1017</v>
      </c>
    </row>
    <row r="6" spans="1:7" ht="18" customHeight="1">
      <c r="A6" s="342" t="s">
        <v>1526</v>
      </c>
      <c r="B6" s="50">
        <v>83361</v>
      </c>
      <c r="C6" s="31">
        <v>315684</v>
      </c>
      <c r="D6" s="99">
        <v>6030</v>
      </c>
      <c r="E6" s="31">
        <v>23057</v>
      </c>
      <c r="F6" s="99">
        <v>1322</v>
      </c>
      <c r="G6" s="50">
        <v>14981</v>
      </c>
    </row>
    <row r="7" spans="1:7" ht="18" customHeight="1">
      <c r="A7" s="342" t="s">
        <v>1525</v>
      </c>
      <c r="B7" s="50">
        <v>88444</v>
      </c>
      <c r="C7" s="31">
        <v>411261</v>
      </c>
      <c r="D7" s="99">
        <v>8530</v>
      </c>
      <c r="E7" s="31">
        <v>42728</v>
      </c>
      <c r="F7" s="99">
        <v>1436</v>
      </c>
      <c r="G7" s="50">
        <v>15364</v>
      </c>
    </row>
    <row r="8" spans="1:7" ht="18" customHeight="1">
      <c r="A8" s="342" t="s">
        <v>1051</v>
      </c>
      <c r="B8" s="50">
        <v>92798</v>
      </c>
      <c r="C8" s="31">
        <v>544952</v>
      </c>
      <c r="D8" s="99">
        <v>10557</v>
      </c>
      <c r="E8" s="31">
        <v>55254</v>
      </c>
      <c r="F8" s="99">
        <v>2019</v>
      </c>
      <c r="G8" s="50">
        <v>16287</v>
      </c>
    </row>
    <row r="9" spans="1:7" ht="18" customHeight="1">
      <c r="A9" s="342" t="s">
        <v>1250</v>
      </c>
      <c r="B9" s="50">
        <v>91663</v>
      </c>
      <c r="C9" s="31">
        <v>390085</v>
      </c>
      <c r="D9" s="99">
        <v>10531</v>
      </c>
      <c r="E9" s="31">
        <v>39826</v>
      </c>
      <c r="F9" s="99">
        <v>2007</v>
      </c>
      <c r="G9" s="50">
        <v>13579</v>
      </c>
    </row>
    <row r="10" spans="1:7" ht="18" customHeight="1">
      <c r="A10" s="343" t="s">
        <v>527</v>
      </c>
      <c r="B10" s="48">
        <f t="shared" ref="B10:G10" si="0">SUM(B12,B21,B30)</f>
        <v>91983</v>
      </c>
      <c r="C10" s="22">
        <f t="shared" si="0"/>
        <v>486097</v>
      </c>
      <c r="D10" s="89">
        <f t="shared" si="0"/>
        <v>12727</v>
      </c>
      <c r="E10" s="22">
        <f t="shared" si="0"/>
        <v>60372</v>
      </c>
      <c r="F10" s="89">
        <f t="shared" si="0"/>
        <v>2008</v>
      </c>
      <c r="G10" s="48">
        <f t="shared" si="0"/>
        <v>17153</v>
      </c>
    </row>
    <row r="11" spans="1:7" ht="24" customHeight="1">
      <c r="A11" s="276" t="s">
        <v>1218</v>
      </c>
      <c r="B11" s="1767" t="str">
        <f>"Year : " &amp; A10</f>
        <v>Year : 2013-14</v>
      </c>
      <c r="C11" s="1768"/>
      <c r="D11" s="1768"/>
      <c r="E11" s="1768"/>
      <c r="F11" s="1768"/>
      <c r="G11" s="1769"/>
    </row>
    <row r="12" spans="1:7" ht="27.75" customHeight="1">
      <c r="A12" s="257" t="s">
        <v>1370</v>
      </c>
      <c r="B12" s="258">
        <f t="shared" ref="B12:G12" si="1">SUM(B13:B20)</f>
        <v>35368</v>
      </c>
      <c r="C12" s="258">
        <f t="shared" si="1"/>
        <v>178029</v>
      </c>
      <c r="D12" s="259">
        <f t="shared" si="1"/>
        <v>4246</v>
      </c>
      <c r="E12" s="258">
        <f t="shared" si="1"/>
        <v>20224</v>
      </c>
      <c r="F12" s="253">
        <f t="shared" si="1"/>
        <v>732</v>
      </c>
      <c r="G12" s="258">
        <f t="shared" si="1"/>
        <v>6257</v>
      </c>
    </row>
    <row r="13" spans="1:7" ht="17.25" customHeight="1">
      <c r="A13" s="400" t="s">
        <v>26</v>
      </c>
      <c r="B13" s="99">
        <v>5774</v>
      </c>
      <c r="C13" s="99">
        <v>29232</v>
      </c>
      <c r="D13" s="31">
        <v>830</v>
      </c>
      <c r="E13" s="99">
        <v>3492</v>
      </c>
      <c r="F13" s="31">
        <v>78</v>
      </c>
      <c r="G13" s="99">
        <v>647</v>
      </c>
    </row>
    <row r="14" spans="1:7" ht="17.25" customHeight="1">
      <c r="A14" s="323" t="s">
        <v>27</v>
      </c>
      <c r="B14" s="99">
        <v>5033</v>
      </c>
      <c r="C14" s="99">
        <v>28004</v>
      </c>
      <c r="D14" s="31">
        <v>235</v>
      </c>
      <c r="E14" s="99">
        <v>1838</v>
      </c>
      <c r="F14" s="31">
        <v>73</v>
      </c>
      <c r="G14" s="99">
        <v>654</v>
      </c>
    </row>
    <row r="15" spans="1:7" ht="17.25" customHeight="1">
      <c r="A15" s="323" t="s">
        <v>53</v>
      </c>
      <c r="B15" s="99">
        <v>4247</v>
      </c>
      <c r="C15" s="99">
        <v>19731</v>
      </c>
      <c r="D15" s="31">
        <v>593</v>
      </c>
      <c r="E15" s="99">
        <v>2702</v>
      </c>
      <c r="F15" s="31">
        <v>79</v>
      </c>
      <c r="G15" s="99">
        <v>668</v>
      </c>
    </row>
    <row r="16" spans="1:7" ht="17.25" customHeight="1">
      <c r="A16" s="323" t="s">
        <v>28</v>
      </c>
      <c r="B16" s="99">
        <v>6645</v>
      </c>
      <c r="C16" s="99">
        <v>36252</v>
      </c>
      <c r="D16" s="31">
        <v>725</v>
      </c>
      <c r="E16" s="99">
        <v>3234</v>
      </c>
      <c r="F16" s="31">
        <v>119</v>
      </c>
      <c r="G16" s="99">
        <v>1048</v>
      </c>
    </row>
    <row r="17" spans="1:11" ht="17.25" customHeight="1">
      <c r="A17" s="323" t="s">
        <v>29</v>
      </c>
      <c r="B17" s="99">
        <v>4700</v>
      </c>
      <c r="C17" s="99">
        <v>21023</v>
      </c>
      <c r="D17" s="31">
        <v>585</v>
      </c>
      <c r="E17" s="99">
        <v>2664</v>
      </c>
      <c r="F17" s="31">
        <v>176</v>
      </c>
      <c r="G17" s="99">
        <v>1420</v>
      </c>
    </row>
    <row r="18" spans="1:11" ht="17.25" customHeight="1">
      <c r="A18" s="323" t="s">
        <v>48</v>
      </c>
      <c r="B18" s="99">
        <v>3641</v>
      </c>
      <c r="C18" s="99">
        <v>17466</v>
      </c>
      <c r="D18" s="31">
        <v>696</v>
      </c>
      <c r="E18" s="99">
        <v>3283</v>
      </c>
      <c r="F18" s="31">
        <v>126</v>
      </c>
      <c r="G18" s="99">
        <v>1117</v>
      </c>
    </row>
    <row r="19" spans="1:11" ht="17.25" customHeight="1">
      <c r="A19" s="323" t="s">
        <v>54</v>
      </c>
      <c r="B19" s="99">
        <v>5314</v>
      </c>
      <c r="C19" s="99">
        <v>26117</v>
      </c>
      <c r="D19" s="31">
        <v>574</v>
      </c>
      <c r="E19" s="99">
        <v>2935</v>
      </c>
      <c r="F19" s="31">
        <v>73</v>
      </c>
      <c r="G19" s="99">
        <v>627</v>
      </c>
    </row>
    <row r="20" spans="1:11" ht="17.25" customHeight="1">
      <c r="A20" s="323" t="s">
        <v>49</v>
      </c>
      <c r="B20" s="99">
        <v>14</v>
      </c>
      <c r="C20" s="99">
        <v>204</v>
      </c>
      <c r="D20" s="31">
        <v>8</v>
      </c>
      <c r="E20" s="99">
        <v>76</v>
      </c>
      <c r="F20" s="106">
        <v>8</v>
      </c>
      <c r="G20" s="104">
        <v>76</v>
      </c>
    </row>
    <row r="21" spans="1:11" ht="27.75" customHeight="1">
      <c r="A21" s="520" t="s">
        <v>1369</v>
      </c>
      <c r="B21" s="260">
        <f t="shared" ref="B21:G21" si="2">SUM(B22:B29)</f>
        <v>33704</v>
      </c>
      <c r="C21" s="260">
        <f t="shared" si="2"/>
        <v>187470</v>
      </c>
      <c r="D21" s="253">
        <f t="shared" si="2"/>
        <v>4683</v>
      </c>
      <c r="E21" s="260">
        <f t="shared" si="2"/>
        <v>21518</v>
      </c>
      <c r="F21" s="253">
        <f t="shared" si="2"/>
        <v>705</v>
      </c>
      <c r="G21" s="260">
        <f t="shared" si="2"/>
        <v>5980</v>
      </c>
    </row>
    <row r="22" spans="1:11" ht="17.25" customHeight="1">
      <c r="A22" s="337" t="s">
        <v>33</v>
      </c>
      <c r="B22" s="99">
        <v>4599</v>
      </c>
      <c r="C22" s="99">
        <v>27697</v>
      </c>
      <c r="D22" s="106">
        <v>623</v>
      </c>
      <c r="E22" s="99">
        <v>2727</v>
      </c>
      <c r="F22" s="107">
        <v>56</v>
      </c>
      <c r="G22" s="99">
        <v>487</v>
      </c>
    </row>
    <row r="23" spans="1:11" ht="17.25" customHeight="1">
      <c r="A23" s="337" t="s">
        <v>34</v>
      </c>
      <c r="B23" s="99">
        <v>4813</v>
      </c>
      <c r="C23" s="99">
        <v>24244</v>
      </c>
      <c r="D23" s="31">
        <v>724</v>
      </c>
      <c r="E23" s="99">
        <v>3224</v>
      </c>
      <c r="F23" s="107">
        <v>112</v>
      </c>
      <c r="G23" s="99">
        <v>982</v>
      </c>
    </row>
    <row r="24" spans="1:11" ht="17.25" customHeight="1">
      <c r="A24" s="337" t="s">
        <v>55</v>
      </c>
      <c r="B24" s="99">
        <v>5174</v>
      </c>
      <c r="C24" s="99">
        <v>32083</v>
      </c>
      <c r="D24" s="31">
        <v>820</v>
      </c>
      <c r="E24" s="99">
        <v>3504</v>
      </c>
      <c r="F24" s="107">
        <v>90</v>
      </c>
      <c r="G24" s="99">
        <v>743</v>
      </c>
    </row>
    <row r="25" spans="1:11" ht="17.25" customHeight="1">
      <c r="A25" s="337" t="s">
        <v>56</v>
      </c>
      <c r="B25" s="99">
        <v>4054</v>
      </c>
      <c r="C25" s="99">
        <v>22362</v>
      </c>
      <c r="D25" s="31">
        <v>578</v>
      </c>
      <c r="E25" s="99">
        <v>2532</v>
      </c>
      <c r="F25" s="107">
        <v>80</v>
      </c>
      <c r="G25" s="99">
        <v>648</v>
      </c>
    </row>
    <row r="26" spans="1:11" ht="17.25" customHeight="1">
      <c r="A26" s="337" t="s">
        <v>45</v>
      </c>
      <c r="B26" s="99">
        <v>5985</v>
      </c>
      <c r="C26" s="99">
        <v>34400</v>
      </c>
      <c r="D26" s="31">
        <v>478</v>
      </c>
      <c r="E26" s="99">
        <v>2573</v>
      </c>
      <c r="F26" s="107">
        <v>95</v>
      </c>
      <c r="G26" s="99">
        <v>772</v>
      </c>
    </row>
    <row r="27" spans="1:11" ht="17.25" customHeight="1">
      <c r="A27" s="337" t="s">
        <v>46</v>
      </c>
      <c r="B27" s="99">
        <v>5656</v>
      </c>
      <c r="C27" s="99">
        <v>30956</v>
      </c>
      <c r="D27" s="31">
        <v>749</v>
      </c>
      <c r="E27" s="99">
        <v>3678</v>
      </c>
      <c r="F27" s="107">
        <v>121</v>
      </c>
      <c r="G27" s="99">
        <v>1056</v>
      </c>
    </row>
    <row r="28" spans="1:11" ht="17.25" customHeight="1">
      <c r="A28" s="337" t="s">
        <v>47</v>
      </c>
      <c r="B28" s="99">
        <v>3387</v>
      </c>
      <c r="C28" s="99">
        <v>15377</v>
      </c>
      <c r="D28" s="31">
        <v>698</v>
      </c>
      <c r="E28" s="99">
        <v>3157</v>
      </c>
      <c r="F28" s="107">
        <v>144</v>
      </c>
      <c r="G28" s="99">
        <v>1226</v>
      </c>
    </row>
    <row r="29" spans="1:11" ht="17.25" customHeight="1">
      <c r="A29" s="337" t="s">
        <v>58</v>
      </c>
      <c r="B29" s="99">
        <v>36</v>
      </c>
      <c r="C29" s="99">
        <v>351</v>
      </c>
      <c r="D29" s="31">
        <v>13</v>
      </c>
      <c r="E29" s="99">
        <v>123</v>
      </c>
      <c r="F29" s="107">
        <v>7</v>
      </c>
      <c r="G29" s="99">
        <v>66</v>
      </c>
    </row>
    <row r="30" spans="1:11" ht="27" customHeight="1">
      <c r="A30" s="512" t="s">
        <v>1371</v>
      </c>
      <c r="B30" s="260">
        <f t="shared" ref="B30:G30" si="3">SUM(B31:B37)</f>
        <v>22911</v>
      </c>
      <c r="C30" s="260">
        <f t="shared" si="3"/>
        <v>120598</v>
      </c>
      <c r="D30" s="253">
        <f>SUM(D31:D37)</f>
        <v>3798</v>
      </c>
      <c r="E30" s="260">
        <f t="shared" si="3"/>
        <v>18630</v>
      </c>
      <c r="F30" s="260">
        <f t="shared" si="3"/>
        <v>571</v>
      </c>
      <c r="G30" s="260">
        <f t="shared" si="3"/>
        <v>4916</v>
      </c>
    </row>
    <row r="31" spans="1:11" ht="17.25" customHeight="1">
      <c r="A31" s="337" t="s">
        <v>36</v>
      </c>
      <c r="B31" s="99">
        <v>6011</v>
      </c>
      <c r="C31" s="99">
        <v>37917</v>
      </c>
      <c r="D31" s="31">
        <v>1019</v>
      </c>
      <c r="E31" s="99">
        <v>4655</v>
      </c>
      <c r="F31" s="107">
        <v>133</v>
      </c>
      <c r="G31" s="99">
        <v>1049</v>
      </c>
      <c r="J31" s="363"/>
      <c r="K31" s="305"/>
    </row>
    <row r="32" spans="1:11" ht="17.25" customHeight="1">
      <c r="A32" s="337" t="s">
        <v>37</v>
      </c>
      <c r="B32" s="99">
        <v>2702</v>
      </c>
      <c r="C32" s="99">
        <v>13040</v>
      </c>
      <c r="D32" s="31">
        <v>636</v>
      </c>
      <c r="E32" s="99">
        <v>3130</v>
      </c>
      <c r="F32" s="107">
        <v>76</v>
      </c>
      <c r="G32" s="99">
        <v>642</v>
      </c>
    </row>
    <row r="33" spans="1:10" ht="17.25" customHeight="1">
      <c r="A33" s="337" t="s">
        <v>38</v>
      </c>
      <c r="B33" s="99">
        <v>3985</v>
      </c>
      <c r="C33" s="99">
        <v>18846</v>
      </c>
      <c r="D33" s="31">
        <v>737</v>
      </c>
      <c r="E33" s="99">
        <v>3389</v>
      </c>
      <c r="F33" s="107">
        <v>90</v>
      </c>
      <c r="G33" s="99">
        <v>778</v>
      </c>
      <c r="J33" s="363"/>
    </row>
    <row r="34" spans="1:10" ht="17.25" customHeight="1">
      <c r="A34" s="337" t="s">
        <v>40</v>
      </c>
      <c r="B34" s="99">
        <v>3642</v>
      </c>
      <c r="C34" s="99">
        <v>16933</v>
      </c>
      <c r="D34" s="31">
        <v>599</v>
      </c>
      <c r="E34" s="99">
        <v>3234</v>
      </c>
      <c r="F34" s="107">
        <v>127</v>
      </c>
      <c r="G34" s="99">
        <v>1149</v>
      </c>
    </row>
    <row r="35" spans="1:10" ht="17.25" customHeight="1">
      <c r="A35" s="337" t="s">
        <v>52</v>
      </c>
      <c r="B35" s="99">
        <v>2727</v>
      </c>
      <c r="C35" s="99">
        <v>11144</v>
      </c>
      <c r="D35" s="31">
        <v>491</v>
      </c>
      <c r="E35" s="99">
        <v>2545</v>
      </c>
      <c r="F35" s="107">
        <v>72</v>
      </c>
      <c r="G35" s="99">
        <v>660</v>
      </c>
    </row>
    <row r="36" spans="1:10" ht="17.25" customHeight="1">
      <c r="A36" s="337" t="s">
        <v>41</v>
      </c>
      <c r="B36" s="99">
        <v>17</v>
      </c>
      <c r="C36" s="99">
        <v>170</v>
      </c>
      <c r="D36" s="31">
        <v>35</v>
      </c>
      <c r="E36" s="99">
        <v>85</v>
      </c>
      <c r="F36" s="107">
        <v>9</v>
      </c>
      <c r="G36" s="99">
        <v>85</v>
      </c>
    </row>
    <row r="37" spans="1:10" ht="17.25" customHeight="1">
      <c r="A37" s="401" t="s">
        <v>39</v>
      </c>
      <c r="B37" s="89">
        <v>3827</v>
      </c>
      <c r="C37" s="89">
        <v>22548</v>
      </c>
      <c r="D37" s="22">
        <v>281</v>
      </c>
      <c r="E37" s="89">
        <v>1592</v>
      </c>
      <c r="F37" s="22">
        <v>64</v>
      </c>
      <c r="G37" s="89">
        <v>553</v>
      </c>
    </row>
    <row r="38" spans="1:10" ht="12.4" customHeight="1">
      <c r="A38" s="1771" t="s">
        <v>64</v>
      </c>
      <c r="B38" s="1771"/>
      <c r="C38" s="575" t="s">
        <v>1469</v>
      </c>
      <c r="D38" s="403" t="s">
        <v>749</v>
      </c>
      <c r="E38" s="560"/>
      <c r="F38" s="560"/>
      <c r="G38" s="560"/>
    </row>
    <row r="39" spans="1:10" ht="12.4" customHeight="1">
      <c r="A39" s="1772"/>
      <c r="B39" s="1772"/>
      <c r="C39" s="560"/>
      <c r="D39" s="403" t="s">
        <v>1294</v>
      </c>
      <c r="E39" s="540"/>
      <c r="F39" s="560"/>
      <c r="G39" s="560"/>
    </row>
    <row r="40" spans="1:10" ht="12.4" customHeight="1">
      <c r="A40" s="1772"/>
      <c r="B40" s="1772"/>
      <c r="C40" s="560"/>
      <c r="D40" s="403" t="s">
        <v>1295</v>
      </c>
      <c r="E40" s="560"/>
      <c r="F40" s="560"/>
      <c r="G40" s="560"/>
    </row>
    <row r="41" spans="1:10" ht="12.4" customHeight="1">
      <c r="A41" s="1772"/>
      <c r="B41" s="1772"/>
      <c r="C41" s="560"/>
      <c r="D41" s="573" t="s">
        <v>821</v>
      </c>
      <c r="E41" s="560"/>
      <c r="F41" s="560"/>
      <c r="G41" s="560"/>
    </row>
    <row r="42" spans="1:10" ht="12.4" customHeight="1">
      <c r="A42" s="1772"/>
      <c r="B42" s="1772"/>
      <c r="C42" s="560"/>
      <c r="D42" s="576" t="s">
        <v>1338</v>
      </c>
      <c r="E42" s="560"/>
      <c r="F42" s="560"/>
      <c r="G42" s="560"/>
    </row>
    <row r="43" spans="1:10" ht="12.4" customHeight="1">
      <c r="A43" s="1772"/>
      <c r="B43" s="1772"/>
      <c r="C43" s="560"/>
      <c r="D43" s="403" t="s">
        <v>750</v>
      </c>
      <c r="E43" s="560"/>
      <c r="F43" s="560"/>
      <c r="G43" s="560"/>
    </row>
    <row r="44" spans="1:10" ht="12.4" customHeight="1">
      <c r="A44" s="305"/>
      <c r="B44" s="305"/>
      <c r="C44" s="305"/>
      <c r="D44" s="305"/>
      <c r="E44" s="305"/>
      <c r="F44" s="305"/>
      <c r="G44" s="305"/>
    </row>
    <row r="45" spans="1:10" ht="12.4" customHeight="1">
      <c r="A45" s="305"/>
      <c r="B45" s="305"/>
      <c r="C45" s="305"/>
      <c r="D45" s="305"/>
      <c r="E45" s="305"/>
      <c r="F45" s="305"/>
      <c r="G45" s="305"/>
    </row>
    <row r="46" spans="1:10" ht="12.4" customHeight="1">
      <c r="A46" s="305"/>
      <c r="B46" s="305"/>
      <c r="C46" s="305"/>
      <c r="D46" s="305"/>
      <c r="E46" s="305"/>
      <c r="F46" s="305"/>
      <c r="G46" s="305"/>
    </row>
    <row r="48" spans="1:10" ht="12.4" customHeight="1">
      <c r="E48" s="2"/>
    </row>
  </sheetData>
  <mergeCells count="8">
    <mergeCell ref="A1:G1"/>
    <mergeCell ref="B11:G11"/>
    <mergeCell ref="A2:G2"/>
    <mergeCell ref="A38:B43"/>
    <mergeCell ref="B3:C3"/>
    <mergeCell ref="D3:E3"/>
    <mergeCell ref="F3:G3"/>
    <mergeCell ref="A3:A4"/>
  </mergeCells>
  <phoneticPr fontId="0" type="noConversion"/>
  <printOptions horizontalCentered="1"/>
  <pageMargins left="0.1" right="0.1" top="0.7" bottom="0.1" header="0.7" footer="0.1"/>
  <pageSetup paperSize="9" orientation="portrait" blackAndWhite="1" r:id="rId1"/>
  <headerFooter alignWithMargins="0"/>
</worksheet>
</file>

<file path=xl/worksheets/sheet63.xml><?xml version="1.0" encoding="utf-8"?>
<worksheet xmlns="http://schemas.openxmlformats.org/spreadsheetml/2006/main" xmlns:r="http://schemas.openxmlformats.org/officeDocument/2006/relationships">
  <dimension ref="A1:V34"/>
  <sheetViews>
    <sheetView topLeftCell="A7" workbookViewId="0">
      <selection activeCell="F14" sqref="F14"/>
    </sheetView>
  </sheetViews>
  <sheetFormatPr defaultRowHeight="12.75"/>
  <cols>
    <col min="1" max="1" width="18.5703125" customWidth="1"/>
    <col min="2" max="2" width="18" customWidth="1"/>
    <col min="3" max="3" width="13.85546875" customWidth="1"/>
    <col min="4" max="6" width="11" customWidth="1"/>
  </cols>
  <sheetData>
    <row r="1" spans="1:22" ht="13.5" customHeight="1">
      <c r="A1" s="1658" t="s">
        <v>852</v>
      </c>
      <c r="B1" s="1658"/>
      <c r="C1" s="1658"/>
      <c r="D1" s="1658"/>
      <c r="E1" s="1658"/>
      <c r="F1" s="1658"/>
    </row>
    <row r="2" spans="1:22" ht="38.25" customHeight="1">
      <c r="A2" s="1670" t="str">
        <f>CONCATENATE("Wholesale Prices of Agricultural Commodities, Live-stock and Live-stock Products (average quality) in different markets in the district of ",District!$A$1)</f>
        <v>Wholesale Prices of Agricultural Commodities, Live-stock and Live-stock Products (average quality) in different markets in the district of Purulia</v>
      </c>
      <c r="B2" s="1670"/>
      <c r="C2" s="1670"/>
      <c r="D2" s="1670"/>
      <c r="E2" s="1670"/>
      <c r="F2" s="1670"/>
    </row>
    <row r="3" spans="1:22" ht="16.5" customHeight="1">
      <c r="A3" s="1661" t="s">
        <v>199</v>
      </c>
      <c r="B3" s="1661" t="s">
        <v>200</v>
      </c>
      <c r="C3" s="1661" t="s">
        <v>952</v>
      </c>
      <c r="D3" s="1671" t="s">
        <v>513</v>
      </c>
      <c r="E3" s="1671"/>
      <c r="F3" s="1667"/>
    </row>
    <row r="4" spans="1:22" ht="16.5" customHeight="1">
      <c r="A4" s="1666"/>
      <c r="B4" s="1666"/>
      <c r="C4" s="1666"/>
      <c r="D4" s="300">
        <v>2012</v>
      </c>
      <c r="E4" s="300">
        <v>2013</v>
      </c>
      <c r="F4" s="300">
        <v>2014</v>
      </c>
    </row>
    <row r="5" spans="1:22" ht="16.5" customHeight="1">
      <c r="A5" s="277" t="s">
        <v>1008</v>
      </c>
      <c r="B5" s="277" t="s">
        <v>1009</v>
      </c>
      <c r="C5" s="293" t="s">
        <v>1010</v>
      </c>
      <c r="D5" s="278" t="s">
        <v>1011</v>
      </c>
      <c r="E5" s="293" t="s">
        <v>1015</v>
      </c>
      <c r="F5" s="324" t="s">
        <v>1016</v>
      </c>
    </row>
    <row r="6" spans="1:22" ht="21" customHeight="1">
      <c r="A6" s="323" t="s">
        <v>303</v>
      </c>
      <c r="B6" s="332" t="s">
        <v>304</v>
      </c>
      <c r="C6" s="266" t="s">
        <v>305</v>
      </c>
      <c r="D6" s="692">
        <v>875</v>
      </c>
      <c r="E6" s="709">
        <v>1020</v>
      </c>
      <c r="F6" s="709">
        <v>1372</v>
      </c>
      <c r="J6" s="47"/>
    </row>
    <row r="7" spans="1:22" ht="21" customHeight="1">
      <c r="A7" s="323" t="s">
        <v>306</v>
      </c>
      <c r="B7" s="332" t="s">
        <v>307</v>
      </c>
      <c r="C7" s="266" t="s">
        <v>307</v>
      </c>
      <c r="D7" s="693">
        <v>830</v>
      </c>
      <c r="E7" s="710">
        <v>955</v>
      </c>
      <c r="F7" s="710">
        <v>1272</v>
      </c>
    </row>
    <row r="8" spans="1:22" ht="21" customHeight="1">
      <c r="A8" s="323" t="s">
        <v>312</v>
      </c>
      <c r="B8" s="332" t="s">
        <v>20</v>
      </c>
      <c r="C8" s="266" t="s">
        <v>307</v>
      </c>
      <c r="D8" s="693">
        <v>1930</v>
      </c>
      <c r="E8" s="710">
        <v>2140</v>
      </c>
      <c r="F8" s="710">
        <v>2520</v>
      </c>
      <c r="J8" s="47"/>
    </row>
    <row r="9" spans="1:22" ht="21" customHeight="1">
      <c r="A9" s="323" t="s">
        <v>310</v>
      </c>
      <c r="B9" s="332" t="s">
        <v>307</v>
      </c>
      <c r="C9" s="266" t="s">
        <v>307</v>
      </c>
      <c r="D9" s="693">
        <v>1863</v>
      </c>
      <c r="E9" s="710">
        <v>1900</v>
      </c>
      <c r="F9" s="710">
        <v>2300</v>
      </c>
      <c r="R9" s="47"/>
      <c r="S9" s="47"/>
      <c r="T9" s="47"/>
      <c r="U9" s="47"/>
      <c r="V9" s="47"/>
    </row>
    <row r="10" spans="1:22" ht="21" customHeight="1">
      <c r="A10" s="323" t="s">
        <v>1448</v>
      </c>
      <c r="B10" s="332" t="s">
        <v>35</v>
      </c>
      <c r="C10" s="266" t="s">
        <v>307</v>
      </c>
      <c r="D10" s="693">
        <v>1200</v>
      </c>
      <c r="E10" s="710">
        <v>1475</v>
      </c>
      <c r="F10" s="710">
        <v>1380</v>
      </c>
      <c r="G10" s="49"/>
    </row>
    <row r="11" spans="1:22" ht="21" customHeight="1">
      <c r="A11" s="323" t="s">
        <v>313</v>
      </c>
      <c r="B11" s="405" t="s">
        <v>20</v>
      </c>
      <c r="C11" s="266" t="s">
        <v>307</v>
      </c>
      <c r="D11" s="693">
        <v>4200</v>
      </c>
      <c r="E11" s="710">
        <v>6200</v>
      </c>
      <c r="F11" s="710">
        <v>6600</v>
      </c>
    </row>
    <row r="12" spans="1:22" ht="21" customHeight="1">
      <c r="A12" s="323" t="s">
        <v>311</v>
      </c>
      <c r="B12" s="332" t="s">
        <v>307</v>
      </c>
      <c r="C12" s="266" t="s">
        <v>307</v>
      </c>
      <c r="D12" s="693">
        <v>4800</v>
      </c>
      <c r="E12" s="710">
        <v>7100</v>
      </c>
      <c r="F12" s="710">
        <v>7600</v>
      </c>
    </row>
    <row r="13" spans="1:22" ht="21" customHeight="1">
      <c r="A13" s="323" t="s">
        <v>314</v>
      </c>
      <c r="B13" s="332" t="s">
        <v>307</v>
      </c>
      <c r="C13" s="266" t="s">
        <v>307</v>
      </c>
      <c r="D13" s="693">
        <v>2450</v>
      </c>
      <c r="E13" s="710">
        <v>3000</v>
      </c>
      <c r="F13" s="710">
        <v>3100</v>
      </c>
    </row>
    <row r="14" spans="1:22" ht="21" customHeight="1">
      <c r="A14" s="323" t="s">
        <v>315</v>
      </c>
      <c r="B14" s="332" t="s">
        <v>307</v>
      </c>
      <c r="C14" s="266" t="s">
        <v>307</v>
      </c>
      <c r="D14" s="693">
        <v>5300</v>
      </c>
      <c r="E14" s="710">
        <v>6800</v>
      </c>
      <c r="F14" s="710">
        <v>6550</v>
      </c>
    </row>
    <row r="15" spans="1:22" ht="21" customHeight="1">
      <c r="A15" s="323" t="s">
        <v>316</v>
      </c>
      <c r="B15" s="405" t="s">
        <v>307</v>
      </c>
      <c r="C15" s="266" t="s">
        <v>307</v>
      </c>
      <c r="D15" s="132" t="s">
        <v>970</v>
      </c>
      <c r="E15" s="132" t="s">
        <v>970</v>
      </c>
      <c r="F15" s="132" t="s">
        <v>970</v>
      </c>
    </row>
    <row r="16" spans="1:22" ht="21" customHeight="1">
      <c r="A16" s="323" t="s">
        <v>828</v>
      </c>
      <c r="B16" s="405" t="s">
        <v>307</v>
      </c>
      <c r="C16" s="266" t="s">
        <v>307</v>
      </c>
      <c r="D16" s="693">
        <v>5000</v>
      </c>
      <c r="E16" s="710">
        <v>5300</v>
      </c>
      <c r="F16" s="710">
        <v>4000</v>
      </c>
    </row>
    <row r="17" spans="1:6" ht="21" customHeight="1">
      <c r="A17" s="323" t="s">
        <v>1462</v>
      </c>
      <c r="B17" s="332" t="s">
        <v>307</v>
      </c>
      <c r="C17" s="266" t="s">
        <v>307</v>
      </c>
      <c r="D17" s="693">
        <v>420</v>
      </c>
      <c r="E17" s="710">
        <v>540</v>
      </c>
      <c r="F17" s="710">
        <v>612</v>
      </c>
    </row>
    <row r="18" spans="1:6" ht="21" customHeight="1">
      <c r="A18" s="323" t="s">
        <v>1567</v>
      </c>
      <c r="B18" s="332" t="s">
        <v>53</v>
      </c>
      <c r="C18" s="266" t="s">
        <v>307</v>
      </c>
      <c r="D18" s="693">
        <v>1100</v>
      </c>
      <c r="E18" s="710">
        <v>825</v>
      </c>
      <c r="F18" s="710">
        <v>1400</v>
      </c>
    </row>
    <row r="19" spans="1:6" ht="21" customHeight="1">
      <c r="A19" s="323" t="s">
        <v>1562</v>
      </c>
      <c r="B19" s="405" t="s">
        <v>307</v>
      </c>
      <c r="C19" s="266" t="s">
        <v>307</v>
      </c>
      <c r="D19" s="693">
        <v>200.5</v>
      </c>
      <c r="E19" s="710">
        <v>600</v>
      </c>
      <c r="F19" s="710">
        <v>525</v>
      </c>
    </row>
    <row r="20" spans="1:6" ht="21" customHeight="1">
      <c r="A20" s="323" t="s">
        <v>1565</v>
      </c>
      <c r="B20" s="332" t="s">
        <v>307</v>
      </c>
      <c r="C20" s="266" t="s">
        <v>307</v>
      </c>
      <c r="D20" s="693">
        <v>800</v>
      </c>
      <c r="E20" s="710">
        <v>1250</v>
      </c>
      <c r="F20" s="710">
        <v>600</v>
      </c>
    </row>
    <row r="21" spans="1:6" ht="21" customHeight="1">
      <c r="A21" s="323" t="s">
        <v>317</v>
      </c>
      <c r="B21" s="332" t="s">
        <v>318</v>
      </c>
      <c r="C21" s="340" t="s">
        <v>319</v>
      </c>
      <c r="D21" s="693">
        <v>316</v>
      </c>
      <c r="E21" s="710">
        <v>370</v>
      </c>
      <c r="F21" s="710">
        <v>400</v>
      </c>
    </row>
    <row r="22" spans="1:6" ht="21" customHeight="1">
      <c r="A22" s="323" t="s">
        <v>320</v>
      </c>
      <c r="B22" s="332" t="s">
        <v>322</v>
      </c>
      <c r="C22" s="406" t="s">
        <v>323</v>
      </c>
      <c r="D22" s="693">
        <v>2600</v>
      </c>
      <c r="E22" s="710">
        <v>3200</v>
      </c>
      <c r="F22" s="710">
        <v>3500</v>
      </c>
    </row>
    <row r="23" spans="1:6" ht="21" customHeight="1">
      <c r="A23" s="323" t="s">
        <v>324</v>
      </c>
      <c r="B23" s="332" t="s">
        <v>325</v>
      </c>
      <c r="C23" s="406" t="s">
        <v>326</v>
      </c>
      <c r="D23" s="693">
        <v>400</v>
      </c>
      <c r="E23" s="710">
        <v>700</v>
      </c>
      <c r="F23" s="710">
        <v>800</v>
      </c>
    </row>
    <row r="24" spans="1:6" ht="21" customHeight="1">
      <c r="A24" s="323" t="s">
        <v>341</v>
      </c>
      <c r="B24" s="405" t="s">
        <v>36</v>
      </c>
      <c r="C24" s="266" t="s">
        <v>307</v>
      </c>
      <c r="D24" s="693">
        <v>2200</v>
      </c>
      <c r="E24" s="710">
        <v>1800</v>
      </c>
      <c r="F24" s="710">
        <v>2665</v>
      </c>
    </row>
    <row r="25" spans="1:6" ht="21" customHeight="1">
      <c r="A25" s="323" t="s">
        <v>342</v>
      </c>
      <c r="B25" s="332" t="s">
        <v>966</v>
      </c>
      <c r="C25" s="266" t="s">
        <v>307</v>
      </c>
      <c r="D25" s="693">
        <v>2500</v>
      </c>
      <c r="E25" s="710">
        <v>2100</v>
      </c>
      <c r="F25" s="710">
        <v>3000</v>
      </c>
    </row>
    <row r="26" spans="1:6" ht="21" customHeight="1">
      <c r="A26" s="323" t="s">
        <v>327</v>
      </c>
      <c r="B26" s="332" t="s">
        <v>336</v>
      </c>
      <c r="C26" s="266" t="s">
        <v>305</v>
      </c>
      <c r="D26" s="693">
        <v>600</v>
      </c>
      <c r="E26" s="710">
        <v>2525</v>
      </c>
      <c r="F26" s="710">
        <v>1550</v>
      </c>
    </row>
    <row r="27" spans="1:6" ht="21" customHeight="1">
      <c r="A27" s="323" t="s">
        <v>1522</v>
      </c>
      <c r="B27" s="332" t="s">
        <v>35</v>
      </c>
      <c r="C27" s="266" t="s">
        <v>307</v>
      </c>
      <c r="D27" s="693">
        <v>7000</v>
      </c>
      <c r="E27" s="710">
        <v>9000</v>
      </c>
      <c r="F27" s="710">
        <v>7500</v>
      </c>
    </row>
    <row r="28" spans="1:6" ht="21" customHeight="1">
      <c r="A28" s="323" t="s">
        <v>751</v>
      </c>
      <c r="B28" s="332" t="s">
        <v>325</v>
      </c>
      <c r="C28" s="266" t="s">
        <v>307</v>
      </c>
      <c r="D28" s="693">
        <v>3600</v>
      </c>
      <c r="E28" s="710">
        <v>5400</v>
      </c>
      <c r="F28" s="710">
        <v>4500</v>
      </c>
    </row>
    <row r="29" spans="1:6" ht="21" customHeight="1">
      <c r="A29" s="323" t="s">
        <v>752</v>
      </c>
      <c r="B29" s="332" t="s">
        <v>307</v>
      </c>
      <c r="C29" s="266" t="s">
        <v>307</v>
      </c>
      <c r="D29" s="693">
        <v>3500</v>
      </c>
      <c r="E29" s="710">
        <v>5200</v>
      </c>
      <c r="F29" s="710">
        <v>4150</v>
      </c>
    </row>
    <row r="30" spans="1:6" ht="21" customHeight="1">
      <c r="A30" s="323" t="s">
        <v>348</v>
      </c>
      <c r="B30" s="332" t="s">
        <v>307</v>
      </c>
      <c r="C30" s="266" t="s">
        <v>307</v>
      </c>
      <c r="D30" s="132" t="s">
        <v>970</v>
      </c>
      <c r="E30" s="710">
        <v>3375</v>
      </c>
      <c r="F30" s="710">
        <v>3500</v>
      </c>
    </row>
    <row r="31" spans="1:6" ht="21" customHeight="1">
      <c r="A31" s="404" t="s">
        <v>340</v>
      </c>
      <c r="B31" s="336" t="s">
        <v>307</v>
      </c>
      <c r="C31" s="267" t="s">
        <v>307</v>
      </c>
      <c r="D31" s="694">
        <v>3000</v>
      </c>
      <c r="E31" s="711">
        <v>3150</v>
      </c>
      <c r="F31" s="711">
        <v>3062</v>
      </c>
    </row>
    <row r="32" spans="1:6" ht="12.75" customHeight="1">
      <c r="A32" s="49"/>
      <c r="C32" s="1200"/>
      <c r="D32" s="1200"/>
      <c r="E32" s="1200"/>
      <c r="F32" s="1201" t="s">
        <v>829</v>
      </c>
    </row>
    <row r="33" spans="1:6">
      <c r="A33" s="49"/>
      <c r="B33" s="49"/>
      <c r="C33" s="330"/>
      <c r="D33" s="353"/>
      <c r="E33" s="353"/>
      <c r="F33" s="353"/>
    </row>
    <row r="34" spans="1:6">
      <c r="A34" s="49"/>
      <c r="B34" s="49"/>
      <c r="C34" s="49"/>
      <c r="D34" s="184"/>
      <c r="E34" s="184"/>
      <c r="F34" s="184"/>
    </row>
  </sheetData>
  <mergeCells count="6">
    <mergeCell ref="A1:F1"/>
    <mergeCell ref="A2:F2"/>
    <mergeCell ref="D3:F3"/>
    <mergeCell ref="A3:A4"/>
    <mergeCell ref="B3:B4"/>
    <mergeCell ref="C3:C4"/>
  </mergeCells>
  <phoneticPr fontId="0" type="noConversion"/>
  <conditionalFormatting sqref="B33:B65534 A1:A1048576 B1:B31 C1:IV1048576">
    <cfRule type="cellIs" dxfId="1" priority="1" stopIfTrue="1" operator="equal">
      <formula>".."</formula>
    </cfRule>
  </conditionalFormatting>
  <printOptions horizontalCentered="1" verticalCentered="1"/>
  <pageMargins left="0.1" right="0.1" top="0" bottom="0" header="0.87" footer="0.1"/>
  <pageSetup paperSize="9" orientation="portrait" blackAndWhite="1" r:id="rId1"/>
  <headerFooter alignWithMargins="0"/>
</worksheet>
</file>

<file path=xl/worksheets/sheet64.xml><?xml version="1.0" encoding="utf-8"?>
<worksheet xmlns="http://schemas.openxmlformats.org/spreadsheetml/2006/main" xmlns:r="http://schemas.openxmlformats.org/officeDocument/2006/relationships">
  <dimension ref="A1:D37"/>
  <sheetViews>
    <sheetView workbookViewId="0">
      <selection activeCell="F14" sqref="F14"/>
    </sheetView>
  </sheetViews>
  <sheetFormatPr defaultRowHeight="12.75"/>
  <cols>
    <col min="1" max="1" width="33.5703125" customWidth="1"/>
    <col min="2" max="2" width="23.85546875" customWidth="1"/>
    <col min="3" max="3" width="27.42578125" customWidth="1"/>
  </cols>
  <sheetData>
    <row r="1" spans="1:4" ht="15.75" customHeight="1">
      <c r="A1" s="1658" t="s">
        <v>840</v>
      </c>
      <c r="B1" s="1658"/>
      <c r="C1" s="1658"/>
    </row>
    <row r="2" spans="1:4" ht="17.25" customHeight="1">
      <c r="A2" s="1660" t="str">
        <f>CONCATENATE("Regulated Market by category in the district of ",District!$A$1)</f>
        <v>Regulated Market by category in the district of Purulia</v>
      </c>
      <c r="B2" s="1660"/>
      <c r="C2" s="1660"/>
    </row>
    <row r="3" spans="1:4" ht="12.75" customHeight="1">
      <c r="A3" s="49"/>
      <c r="B3" s="49"/>
      <c r="C3" s="315" t="s">
        <v>1058</v>
      </c>
    </row>
    <row r="4" spans="1:4" ht="18" customHeight="1">
      <c r="A4" s="322" t="s">
        <v>802</v>
      </c>
      <c r="B4" s="322" t="s">
        <v>202</v>
      </c>
      <c r="C4" s="300" t="s">
        <v>218</v>
      </c>
      <c r="D4" s="447"/>
    </row>
    <row r="5" spans="1:4" ht="18" customHeight="1">
      <c r="A5" s="277" t="s">
        <v>1008</v>
      </c>
      <c r="B5" s="277" t="s">
        <v>1009</v>
      </c>
      <c r="C5" s="341" t="s">
        <v>1010</v>
      </c>
    </row>
    <row r="6" spans="1:4" ht="24" customHeight="1">
      <c r="A6" s="1202" t="s">
        <v>178</v>
      </c>
      <c r="B6" s="101">
        <v>2</v>
      </c>
      <c r="C6" s="101">
        <v>10</v>
      </c>
    </row>
    <row r="7" spans="1:4" ht="24" customHeight="1">
      <c r="A7" s="356" t="s">
        <v>1528</v>
      </c>
      <c r="B7" s="1352">
        <v>2</v>
      </c>
      <c r="C7" s="99">
        <v>10</v>
      </c>
    </row>
    <row r="8" spans="1:4" ht="24" customHeight="1">
      <c r="A8" s="474" t="s">
        <v>1053</v>
      </c>
      <c r="B8" s="99">
        <v>1</v>
      </c>
      <c r="C8" s="99">
        <v>10</v>
      </c>
    </row>
    <row r="9" spans="1:4" ht="24" customHeight="1">
      <c r="A9" s="474" t="s">
        <v>179</v>
      </c>
      <c r="B9" s="99">
        <v>1</v>
      </c>
      <c r="C9" s="99">
        <v>15</v>
      </c>
    </row>
    <row r="10" spans="1:4" ht="24" customHeight="1">
      <c r="A10" s="1355" t="s">
        <v>1668</v>
      </c>
      <c r="B10" s="89">
        <v>1</v>
      </c>
      <c r="C10" s="89">
        <v>15</v>
      </c>
    </row>
    <row r="11" spans="1:4" ht="12" customHeight="1">
      <c r="A11" s="1203"/>
      <c r="B11" s="666"/>
      <c r="C11" s="666" t="s">
        <v>214</v>
      </c>
    </row>
    <row r="12" spans="1:4" ht="12.75" customHeight="1">
      <c r="A12" s="1195"/>
      <c r="B12" s="159"/>
      <c r="C12" s="95"/>
    </row>
    <row r="13" spans="1:4" ht="12.75" customHeight="1">
      <c r="A13" s="1195"/>
      <c r="B13" s="159"/>
      <c r="C13" s="95"/>
    </row>
    <row r="14" spans="1:4" ht="12.75" customHeight="1">
      <c r="A14" s="1195"/>
      <c r="B14" s="159"/>
      <c r="C14" s="95"/>
    </row>
    <row r="15" spans="1:4" ht="15" customHeight="1">
      <c r="A15" s="1658" t="s">
        <v>863</v>
      </c>
      <c r="B15" s="1658"/>
      <c r="C15" s="1658"/>
    </row>
    <row r="16" spans="1:4" ht="33.75" customHeight="1">
      <c r="A16" s="1670" t="str">
        <f>CONCATENATE("Consumer Price Index Numbers for Families of all Expenditure 
Groups Combined in the district of ",District!$A$1)</f>
        <v>Consumer Price Index Numbers for Families of all Expenditure 
Groups Combined in the district of Purulia</v>
      </c>
      <c r="B16" s="1670"/>
      <c r="C16" s="1670"/>
    </row>
    <row r="17" spans="1:3" ht="16.5" customHeight="1">
      <c r="A17" s="500" t="s">
        <v>409</v>
      </c>
      <c r="B17" s="1731" t="s">
        <v>408</v>
      </c>
      <c r="C17" s="1731"/>
    </row>
    <row r="18" spans="1:3" ht="23.25" customHeight="1">
      <c r="A18" s="300" t="s">
        <v>405</v>
      </c>
      <c r="B18" s="1671" t="s">
        <v>1496</v>
      </c>
      <c r="C18" s="1667"/>
    </row>
    <row r="19" spans="1:3" ht="16.5" customHeight="1">
      <c r="A19" s="288" t="s">
        <v>1008</v>
      </c>
      <c r="B19" s="1775" t="s">
        <v>1009</v>
      </c>
      <c r="C19" s="1776"/>
    </row>
    <row r="20" spans="1:3" ht="24" customHeight="1">
      <c r="A20" s="87">
        <v>2011</v>
      </c>
      <c r="B20" s="1781">
        <v>150.5</v>
      </c>
      <c r="C20" s="1778"/>
    </row>
    <row r="21" spans="1:3" ht="24" customHeight="1">
      <c r="A21" s="87">
        <v>2012</v>
      </c>
      <c r="B21" s="1777">
        <v>166.9</v>
      </c>
      <c r="C21" s="1778"/>
    </row>
    <row r="22" spans="1:3" ht="24" customHeight="1">
      <c r="A22" s="87">
        <v>2013</v>
      </c>
      <c r="B22" s="1781">
        <v>179.4</v>
      </c>
      <c r="C22" s="1778"/>
    </row>
    <row r="23" spans="1:3" ht="24" customHeight="1">
      <c r="A23" s="88">
        <v>2014</v>
      </c>
      <c r="B23" s="1779">
        <f>AVERAGE(B25:C36)</f>
        <v>194.50000000000003</v>
      </c>
      <c r="C23" s="1780"/>
    </row>
    <row r="24" spans="1:3" ht="18.75" customHeight="1">
      <c r="A24" s="1680" t="str">
        <f>"Year : " &amp;A23</f>
        <v>Year : 2014</v>
      </c>
      <c r="B24" s="1681"/>
      <c r="C24" s="1683"/>
    </row>
    <row r="25" spans="1:3" ht="25.5" customHeight="1">
      <c r="A25" s="126" t="s">
        <v>1021</v>
      </c>
      <c r="B25" s="1694">
        <v>186.8</v>
      </c>
      <c r="C25" s="1695"/>
    </row>
    <row r="26" spans="1:3" ht="24.75" customHeight="1">
      <c r="A26" s="266" t="s">
        <v>396</v>
      </c>
      <c r="B26" s="1773">
        <v>186.9</v>
      </c>
      <c r="C26" s="1774"/>
    </row>
    <row r="27" spans="1:3" ht="24" customHeight="1">
      <c r="A27" s="266" t="s">
        <v>397</v>
      </c>
      <c r="B27" s="1773">
        <v>187.1</v>
      </c>
      <c r="C27" s="1774"/>
    </row>
    <row r="28" spans="1:3" ht="25.5" customHeight="1">
      <c r="A28" s="266" t="s">
        <v>398</v>
      </c>
      <c r="B28" s="1773">
        <v>187.6</v>
      </c>
      <c r="C28" s="1774"/>
    </row>
    <row r="29" spans="1:3" ht="24" customHeight="1">
      <c r="A29" s="266" t="s">
        <v>406</v>
      </c>
      <c r="B29" s="1784">
        <v>190.1</v>
      </c>
      <c r="C29" s="1785"/>
    </row>
    <row r="30" spans="1:3" ht="26.25" customHeight="1">
      <c r="A30" s="660" t="s">
        <v>1027</v>
      </c>
      <c r="B30" s="1773">
        <v>195.2</v>
      </c>
      <c r="C30" s="1774"/>
    </row>
    <row r="31" spans="1:3" ht="24" customHeight="1">
      <c r="A31" s="266" t="s">
        <v>399</v>
      </c>
      <c r="B31" s="1773">
        <v>197.7</v>
      </c>
      <c r="C31" s="1774"/>
    </row>
    <row r="32" spans="1:3" ht="24" customHeight="1">
      <c r="A32" s="266" t="s">
        <v>407</v>
      </c>
      <c r="B32" s="1773">
        <v>198.7</v>
      </c>
      <c r="C32" s="1774"/>
    </row>
    <row r="33" spans="1:3" ht="24" customHeight="1">
      <c r="A33" s="266" t="s">
        <v>1030</v>
      </c>
      <c r="B33" s="1773">
        <v>199.5</v>
      </c>
      <c r="C33" s="1774"/>
    </row>
    <row r="34" spans="1:3" ht="24" customHeight="1">
      <c r="A34" s="266" t="s">
        <v>1031</v>
      </c>
      <c r="B34" s="1694">
        <v>200.5</v>
      </c>
      <c r="C34" s="1695"/>
    </row>
    <row r="35" spans="1:3" ht="24" customHeight="1">
      <c r="A35" s="266" t="s">
        <v>1032</v>
      </c>
      <c r="B35" s="1784">
        <v>201</v>
      </c>
      <c r="C35" s="1785"/>
    </row>
    <row r="36" spans="1:3" ht="24" customHeight="1">
      <c r="A36" s="267" t="s">
        <v>1033</v>
      </c>
      <c r="B36" s="1782">
        <v>202.9</v>
      </c>
      <c r="C36" s="1783"/>
    </row>
    <row r="37" spans="1:3" ht="12.75" customHeight="1">
      <c r="A37" s="629"/>
      <c r="B37" s="330"/>
      <c r="C37" s="562" t="s">
        <v>772</v>
      </c>
    </row>
  </sheetData>
  <mergeCells count="24">
    <mergeCell ref="B27:C27"/>
    <mergeCell ref="B36:C36"/>
    <mergeCell ref="B28:C28"/>
    <mergeCell ref="B33:C33"/>
    <mergeCell ref="B35:C35"/>
    <mergeCell ref="B30:C30"/>
    <mergeCell ref="B31:C31"/>
    <mergeCell ref="B32:C32"/>
    <mergeCell ref="B34:C34"/>
    <mergeCell ref="B29:C29"/>
    <mergeCell ref="B26:C26"/>
    <mergeCell ref="B18:C18"/>
    <mergeCell ref="B19:C19"/>
    <mergeCell ref="B21:C21"/>
    <mergeCell ref="B23:C23"/>
    <mergeCell ref="B22:C22"/>
    <mergeCell ref="A24:C24"/>
    <mergeCell ref="B25:C25"/>
    <mergeCell ref="B20:C20"/>
    <mergeCell ref="A1:C1"/>
    <mergeCell ref="A2:C2"/>
    <mergeCell ref="A16:C16"/>
    <mergeCell ref="B17:C17"/>
    <mergeCell ref="A15:C15"/>
  </mergeCells>
  <phoneticPr fontId="0" type="noConversion"/>
  <printOptions horizontalCentered="1" verticalCentered="1"/>
  <pageMargins left="0.1" right="0.1" top="0.34" bottom="0.1" header="0.39" footer="0.1"/>
  <pageSetup paperSize="9" orientation="portrait" blackAndWhite="1" r:id="rId1"/>
  <headerFooter alignWithMargins="0"/>
</worksheet>
</file>

<file path=xl/worksheets/sheet65.xml><?xml version="1.0" encoding="utf-8"?>
<worksheet xmlns="http://schemas.openxmlformats.org/spreadsheetml/2006/main" xmlns:r="http://schemas.openxmlformats.org/officeDocument/2006/relationships">
  <dimension ref="A1:D30"/>
  <sheetViews>
    <sheetView topLeftCell="A16" workbookViewId="0">
      <selection activeCell="B17" sqref="B17:C17"/>
    </sheetView>
  </sheetViews>
  <sheetFormatPr defaultRowHeight="12.75"/>
  <cols>
    <col min="1" max="1" width="33.5703125" customWidth="1"/>
    <col min="2" max="2" width="23.85546875" customWidth="1"/>
    <col min="3" max="3" width="27.42578125" customWidth="1"/>
  </cols>
  <sheetData>
    <row r="1" spans="1:4" ht="15.75" customHeight="1">
      <c r="A1" s="1658" t="s">
        <v>840</v>
      </c>
      <c r="B1" s="1658"/>
      <c r="C1" s="1658"/>
    </row>
    <row r="2" spans="1:4" ht="17.25" customHeight="1">
      <c r="A2" s="1660" t="str">
        <f>CONCATENATE("Regulated Market by category in the district of ",District!$A$1)</f>
        <v>Regulated Market by category in the district of Purulia</v>
      </c>
      <c r="B2" s="1660"/>
      <c r="C2" s="1660"/>
    </row>
    <row r="3" spans="1:4" ht="12.75" customHeight="1">
      <c r="A3" s="49"/>
      <c r="B3" s="49"/>
      <c r="C3" s="49"/>
    </row>
    <row r="4" spans="1:4" ht="18" customHeight="1">
      <c r="A4" s="322" t="s">
        <v>753</v>
      </c>
      <c r="B4" s="322" t="s">
        <v>202</v>
      </c>
      <c r="C4" s="300" t="s">
        <v>218</v>
      </c>
      <c r="D4" s="447"/>
    </row>
    <row r="5" spans="1:4" ht="18" customHeight="1">
      <c r="A5" s="277" t="s">
        <v>1008</v>
      </c>
      <c r="B5" s="277" t="s">
        <v>1009</v>
      </c>
      <c r="C5" s="341" t="s">
        <v>1010</v>
      </c>
    </row>
    <row r="6" spans="1:4" ht="24" customHeight="1">
      <c r="A6" s="303">
        <v>2008</v>
      </c>
      <c r="B6" s="101">
        <v>2</v>
      </c>
      <c r="C6" s="101">
        <v>10</v>
      </c>
    </row>
    <row r="7" spans="1:4" ht="24" customHeight="1">
      <c r="A7" s="332">
        <v>2009</v>
      </c>
      <c r="B7" s="99">
        <v>2</v>
      </c>
      <c r="C7" s="99">
        <v>10</v>
      </c>
    </row>
    <row r="8" spans="1:4" ht="24" customHeight="1">
      <c r="A8" s="332">
        <v>2010</v>
      </c>
      <c r="B8" s="99">
        <v>2</v>
      </c>
      <c r="C8" s="99">
        <v>10</v>
      </c>
    </row>
    <row r="9" spans="1:4" ht="24" customHeight="1">
      <c r="A9" s="332" t="s">
        <v>583</v>
      </c>
      <c r="B9" s="99">
        <v>2</v>
      </c>
      <c r="C9" s="99">
        <v>10</v>
      </c>
    </row>
    <row r="10" spans="1:4" ht="24" customHeight="1">
      <c r="A10" s="336" t="s">
        <v>1055</v>
      </c>
      <c r="B10" s="89">
        <v>1</v>
      </c>
      <c r="C10" s="89">
        <v>10</v>
      </c>
    </row>
    <row r="11" spans="1:4" ht="12" customHeight="1">
      <c r="A11" s="665" t="s">
        <v>582</v>
      </c>
      <c r="B11" s="666"/>
      <c r="C11" s="666" t="s">
        <v>1517</v>
      </c>
    </row>
    <row r="12" spans="1:4" ht="24.75" customHeight="1">
      <c r="A12" s="107"/>
      <c r="B12" s="159"/>
      <c r="C12" s="95"/>
    </row>
    <row r="13" spans="1:4" ht="15" customHeight="1">
      <c r="A13" s="1658" t="s">
        <v>863</v>
      </c>
      <c r="B13" s="1658"/>
      <c r="C13" s="1658"/>
    </row>
    <row r="14" spans="1:4" ht="33.75" customHeight="1">
      <c r="A14" s="1670" t="str">
        <f>CONCATENATE("Consumer Price Index Number for Families of All Expenditure 
Groups Combined in the district of ",District!$A$1)</f>
        <v>Consumer Price Index Number for Families of All Expenditure 
Groups Combined in the district of Purulia</v>
      </c>
      <c r="B14" s="1670"/>
      <c r="C14" s="1670"/>
    </row>
    <row r="15" spans="1:4" ht="16.5" customHeight="1">
      <c r="A15" s="500" t="s">
        <v>409</v>
      </c>
      <c r="B15" s="1731" t="s">
        <v>408</v>
      </c>
      <c r="C15" s="1731"/>
    </row>
    <row r="16" spans="1:4" ht="23.25" customHeight="1">
      <c r="A16" s="300" t="s">
        <v>405</v>
      </c>
      <c r="B16" s="1671" t="s">
        <v>1496</v>
      </c>
      <c r="C16" s="1667"/>
    </row>
    <row r="17" spans="1:4" ht="22.5" customHeight="1">
      <c r="A17" s="181">
        <v>2012</v>
      </c>
      <c r="B17" s="1786">
        <v>165.8</v>
      </c>
      <c r="C17" s="1787"/>
      <c r="D17" s="409"/>
    </row>
    <row r="18" spans="1:4" ht="25.5" customHeight="1">
      <c r="A18" s="126" t="s">
        <v>1021</v>
      </c>
      <c r="B18" s="1694">
        <v>157.1</v>
      </c>
      <c r="C18" s="1695"/>
    </row>
    <row r="19" spans="1:4" ht="24.75" customHeight="1">
      <c r="A19" s="266" t="s">
        <v>396</v>
      </c>
      <c r="B19" s="1773">
        <v>158.69999999999999</v>
      </c>
      <c r="C19" s="1774"/>
    </row>
    <row r="20" spans="1:4" ht="24" customHeight="1">
      <c r="A20" s="266" t="s">
        <v>397</v>
      </c>
      <c r="B20" s="1773">
        <v>160.6</v>
      </c>
      <c r="C20" s="1774"/>
    </row>
    <row r="21" spans="1:4" ht="25.5" customHeight="1">
      <c r="A21" s="266" t="s">
        <v>398</v>
      </c>
      <c r="B21" s="1773">
        <v>162.69999999999999</v>
      </c>
      <c r="C21" s="1774"/>
    </row>
    <row r="22" spans="1:4" ht="24" customHeight="1">
      <c r="A22" s="266" t="s">
        <v>406</v>
      </c>
      <c r="B22" s="1784">
        <v>164.5</v>
      </c>
      <c r="C22" s="1785"/>
    </row>
    <row r="23" spans="1:4" ht="26.25" customHeight="1">
      <c r="A23" s="660" t="s">
        <v>1027</v>
      </c>
      <c r="B23" s="1773">
        <v>169.4</v>
      </c>
      <c r="C23" s="1774"/>
    </row>
    <row r="24" spans="1:4" ht="24" customHeight="1">
      <c r="A24" s="266" t="s">
        <v>399</v>
      </c>
      <c r="B24" s="1773">
        <v>170</v>
      </c>
      <c r="C24" s="1774"/>
    </row>
    <row r="25" spans="1:4" ht="24" customHeight="1">
      <c r="A25" s="266" t="s">
        <v>407</v>
      </c>
      <c r="B25" s="1773">
        <v>170.8</v>
      </c>
      <c r="C25" s="1774"/>
    </row>
    <row r="26" spans="1:4" ht="24" customHeight="1">
      <c r="A26" s="266" t="s">
        <v>1030</v>
      </c>
      <c r="B26" s="1773">
        <v>171.7</v>
      </c>
      <c r="C26" s="1774"/>
    </row>
    <row r="27" spans="1:4" ht="24" customHeight="1">
      <c r="A27" s="266" t="s">
        <v>1031</v>
      </c>
      <c r="B27" s="1788">
        <v>172.1</v>
      </c>
      <c r="C27" s="1789"/>
    </row>
    <row r="28" spans="1:4" ht="24" customHeight="1">
      <c r="A28" s="266" t="s">
        <v>1032</v>
      </c>
      <c r="B28" s="1784">
        <v>172</v>
      </c>
      <c r="C28" s="1785"/>
    </row>
    <row r="29" spans="1:4" ht="24" customHeight="1">
      <c r="A29" s="267" t="s">
        <v>1033</v>
      </c>
      <c r="B29" s="1689" t="s">
        <v>1094</v>
      </c>
      <c r="C29" s="1690"/>
    </row>
    <row r="30" spans="1:4" ht="12.75" customHeight="1">
      <c r="A30" s="629"/>
      <c r="B30" s="330"/>
      <c r="C30" s="562" t="s">
        <v>772</v>
      </c>
    </row>
  </sheetData>
  <mergeCells count="19">
    <mergeCell ref="B22:C22"/>
    <mergeCell ref="B19:C19"/>
    <mergeCell ref="B29:C29"/>
    <mergeCell ref="B21:C21"/>
    <mergeCell ref="B26:C26"/>
    <mergeCell ref="B28:C28"/>
    <mergeCell ref="B23:C23"/>
    <mergeCell ref="B24:C24"/>
    <mergeCell ref="B27:C27"/>
    <mergeCell ref="B25:C25"/>
    <mergeCell ref="B16:C16"/>
    <mergeCell ref="B18:C18"/>
    <mergeCell ref="B17:C17"/>
    <mergeCell ref="B20:C20"/>
    <mergeCell ref="A1:C1"/>
    <mergeCell ref="A2:C2"/>
    <mergeCell ref="A14:C14"/>
    <mergeCell ref="B15:C15"/>
    <mergeCell ref="A13:C13"/>
  </mergeCells>
  <phoneticPr fontId="0" type="noConversion"/>
  <printOptions horizontalCentered="1" verticalCentered="1"/>
  <pageMargins left="0.1" right="0.1" top="0.34" bottom="0.1" header="0.39" footer="0.1"/>
  <pageSetup paperSize="9" orientation="portrait" blackAndWhite="1" horizontalDpi="4294967295" verticalDpi="300" r:id="rId1"/>
  <headerFooter alignWithMargins="0"/>
</worksheet>
</file>

<file path=xl/worksheets/sheet66.xml><?xml version="1.0" encoding="utf-8"?>
<worksheet xmlns="http://schemas.openxmlformats.org/spreadsheetml/2006/main" xmlns:r="http://schemas.openxmlformats.org/officeDocument/2006/relationships">
  <dimension ref="A1:H38"/>
  <sheetViews>
    <sheetView workbookViewId="0">
      <selection activeCell="F14" sqref="F14"/>
    </sheetView>
  </sheetViews>
  <sheetFormatPr defaultRowHeight="12.75"/>
  <cols>
    <col min="1" max="1" width="14.85546875" customWidth="1"/>
    <col min="2" max="6" width="14.28515625" customWidth="1"/>
  </cols>
  <sheetData>
    <row r="1" spans="1:8">
      <c r="A1" s="1659" t="s">
        <v>922</v>
      </c>
      <c r="B1" s="1659"/>
      <c r="C1" s="1659"/>
      <c r="D1" s="1659"/>
      <c r="E1" s="1659"/>
      <c r="F1" s="1659"/>
    </row>
    <row r="2" spans="1:8" ht="19.5" customHeight="1">
      <c r="A2" s="1660" t="str">
        <f>CONCATENATE("Consumer Price Index Numbers for Industrial Workers in the district of ",District!$A$1)</f>
        <v>Consumer Price Index Numbers for Industrial Workers in the district of Purulia</v>
      </c>
      <c r="B2" s="1660"/>
      <c r="C2" s="1660"/>
      <c r="D2" s="1660"/>
      <c r="E2" s="1660"/>
      <c r="F2" s="1660"/>
    </row>
    <row r="3" spans="1:8" ht="17.25" customHeight="1">
      <c r="A3" s="1795" t="s">
        <v>223</v>
      </c>
      <c r="B3" s="1795"/>
      <c r="C3" s="1795"/>
      <c r="D3" s="1795"/>
      <c r="E3" s="261"/>
      <c r="F3" s="291" t="s">
        <v>1220</v>
      </c>
    </row>
    <row r="4" spans="1:8" ht="21" customHeight="1">
      <c r="A4" s="300" t="s">
        <v>219</v>
      </c>
      <c r="B4" s="1332">
        <v>2009</v>
      </c>
      <c r="C4" s="1332">
        <v>2010</v>
      </c>
      <c r="D4" s="1332">
        <v>2011</v>
      </c>
      <c r="E4" s="1332">
        <v>2012</v>
      </c>
      <c r="F4" s="1332">
        <v>2013</v>
      </c>
      <c r="H4" s="447"/>
    </row>
    <row r="5" spans="1:8" ht="21" customHeight="1">
      <c r="A5" s="293" t="s">
        <v>1008</v>
      </c>
      <c r="B5" s="1335" t="s">
        <v>1009</v>
      </c>
      <c r="C5" s="293" t="s">
        <v>1010</v>
      </c>
      <c r="D5" s="1335" t="s">
        <v>1011</v>
      </c>
      <c r="E5" s="293" t="s">
        <v>1015</v>
      </c>
      <c r="F5" s="1337" t="s">
        <v>1016</v>
      </c>
    </row>
    <row r="6" spans="1:8" ht="24" customHeight="1">
      <c r="A6" s="410" t="s">
        <v>1021</v>
      </c>
      <c r="B6" s="1333">
        <v>590</v>
      </c>
      <c r="C6" s="1328">
        <v>770</v>
      </c>
      <c r="D6" s="101">
        <v>831</v>
      </c>
      <c r="E6" s="101">
        <v>849</v>
      </c>
      <c r="F6" s="101">
        <v>891</v>
      </c>
    </row>
    <row r="7" spans="1:8" ht="24" customHeight="1">
      <c r="A7" s="410" t="s">
        <v>1022</v>
      </c>
      <c r="B7" s="1334">
        <v>612</v>
      </c>
      <c r="C7" s="99">
        <v>764</v>
      </c>
      <c r="D7" s="99">
        <v>830</v>
      </c>
      <c r="E7" s="99">
        <v>838</v>
      </c>
      <c r="F7" s="99">
        <v>896</v>
      </c>
    </row>
    <row r="8" spans="1:8" ht="24" customHeight="1">
      <c r="A8" s="410" t="s">
        <v>1023</v>
      </c>
      <c r="B8" s="1334">
        <v>619</v>
      </c>
      <c r="C8" s="99">
        <v>770</v>
      </c>
      <c r="D8" s="99">
        <v>831</v>
      </c>
      <c r="E8" s="99">
        <v>848</v>
      </c>
      <c r="F8" s="99">
        <v>900</v>
      </c>
    </row>
    <row r="9" spans="1:8" ht="24" customHeight="1">
      <c r="A9" s="410" t="s">
        <v>1024</v>
      </c>
      <c r="B9" s="1334">
        <v>618</v>
      </c>
      <c r="C9" s="99">
        <v>768</v>
      </c>
      <c r="D9" s="99">
        <v>819</v>
      </c>
      <c r="E9" s="99">
        <v>835</v>
      </c>
      <c r="F9" s="99">
        <v>906</v>
      </c>
    </row>
    <row r="10" spans="1:8" ht="24" customHeight="1">
      <c r="A10" s="410" t="s">
        <v>1026</v>
      </c>
      <c r="B10" s="1334">
        <v>623</v>
      </c>
      <c r="C10" s="99">
        <v>776</v>
      </c>
      <c r="D10" s="99">
        <v>826</v>
      </c>
      <c r="E10" s="99">
        <v>840</v>
      </c>
      <c r="F10" s="99">
        <v>912</v>
      </c>
    </row>
    <row r="11" spans="1:8" ht="24" customHeight="1">
      <c r="A11" s="410" t="s">
        <v>1027</v>
      </c>
      <c r="B11" s="1334">
        <v>641</v>
      </c>
      <c r="C11" s="99">
        <v>772</v>
      </c>
      <c r="D11" s="99">
        <v>828</v>
      </c>
      <c r="E11" s="99">
        <v>845</v>
      </c>
      <c r="F11" s="99">
        <v>916</v>
      </c>
    </row>
    <row r="12" spans="1:8" ht="24" customHeight="1">
      <c r="A12" s="410" t="s">
        <v>1028</v>
      </c>
      <c r="B12" s="1334">
        <v>677</v>
      </c>
      <c r="C12" s="99">
        <v>780</v>
      </c>
      <c r="D12" s="99">
        <v>824</v>
      </c>
      <c r="E12" s="1329">
        <v>862</v>
      </c>
      <c r="F12" s="1329">
        <v>922</v>
      </c>
    </row>
    <row r="13" spans="1:8" ht="24" customHeight="1">
      <c r="A13" s="410" t="s">
        <v>1029</v>
      </c>
      <c r="B13" s="1334">
        <v>705</v>
      </c>
      <c r="C13" s="99">
        <v>800</v>
      </c>
      <c r="D13" s="99">
        <v>831</v>
      </c>
      <c r="E13" s="1329">
        <v>866</v>
      </c>
      <c r="F13" s="1329">
        <v>933</v>
      </c>
    </row>
    <row r="14" spans="1:8" ht="24" customHeight="1">
      <c r="A14" s="410" t="s">
        <v>1030</v>
      </c>
      <c r="B14" s="1334">
        <v>714</v>
      </c>
      <c r="C14" s="99">
        <v>811</v>
      </c>
      <c r="D14" s="99">
        <v>826</v>
      </c>
      <c r="E14" s="1329">
        <v>874</v>
      </c>
      <c r="F14" s="1329">
        <v>939</v>
      </c>
    </row>
    <row r="15" spans="1:8" ht="24" customHeight="1">
      <c r="A15" s="410" t="s">
        <v>1031</v>
      </c>
      <c r="B15" s="1334">
        <v>719</v>
      </c>
      <c r="C15" s="99">
        <v>783</v>
      </c>
      <c r="D15" s="99">
        <v>826</v>
      </c>
      <c r="E15" s="1329">
        <v>887</v>
      </c>
      <c r="F15" s="1329">
        <v>955</v>
      </c>
    </row>
    <row r="16" spans="1:8" ht="24" customHeight="1">
      <c r="A16" s="410" t="s">
        <v>1032</v>
      </c>
      <c r="B16" s="1334">
        <v>736</v>
      </c>
      <c r="C16" s="99">
        <v>787</v>
      </c>
      <c r="D16" s="99">
        <v>831</v>
      </c>
      <c r="E16" s="1329">
        <v>899</v>
      </c>
      <c r="F16" s="1329">
        <v>964</v>
      </c>
    </row>
    <row r="17" spans="1:8" ht="24" customHeight="1">
      <c r="A17" s="411" t="s">
        <v>1033</v>
      </c>
      <c r="B17" s="1334">
        <v>751</v>
      </c>
      <c r="C17" s="99">
        <v>819</v>
      </c>
      <c r="D17" s="99">
        <v>832</v>
      </c>
      <c r="E17" s="1329">
        <v>895</v>
      </c>
      <c r="F17" s="1329">
        <v>947</v>
      </c>
    </row>
    <row r="18" spans="1:8" ht="21" customHeight="1">
      <c r="A18" s="203" t="s">
        <v>220</v>
      </c>
      <c r="B18" s="202">
        <f>AVERAGE(B6:B17)</f>
        <v>667.08333333333337</v>
      </c>
      <c r="C18" s="202">
        <f>AVERAGE(C6:C17)</f>
        <v>783.33333333333337</v>
      </c>
      <c r="D18" s="202">
        <f>AVERAGE(D6:D17)</f>
        <v>827.91666666666663</v>
      </c>
      <c r="E18" s="202">
        <f>AVERAGE(E6:E17)</f>
        <v>861.5</v>
      </c>
      <c r="F18" s="202">
        <f>AVERAGE(F6:F17)</f>
        <v>923.41666666666663</v>
      </c>
    </row>
    <row r="19" spans="1:8">
      <c r="A19" s="49"/>
      <c r="B19" s="49"/>
      <c r="C19" s="165"/>
      <c r="D19" s="359"/>
      <c r="E19" s="359"/>
      <c r="F19" s="360" t="s">
        <v>813</v>
      </c>
    </row>
    <row r="20" spans="1:8">
      <c r="A20" s="49"/>
      <c r="B20" s="49"/>
      <c r="C20" s="165"/>
      <c r="D20" s="49"/>
      <c r="E20" s="49"/>
      <c r="F20" s="177"/>
    </row>
    <row r="21" spans="1:8">
      <c r="A21" s="49"/>
      <c r="B21" s="49"/>
      <c r="C21" s="165"/>
      <c r="D21" s="49"/>
      <c r="E21" s="49"/>
      <c r="F21" s="177"/>
    </row>
    <row r="22" spans="1:8">
      <c r="A22" s="49"/>
      <c r="B22" s="49"/>
      <c r="C22" s="165"/>
      <c r="D22" s="49"/>
      <c r="E22" s="49"/>
      <c r="F22" s="177"/>
    </row>
    <row r="23" spans="1:8">
      <c r="A23" s="1658" t="s">
        <v>862</v>
      </c>
      <c r="B23" s="1658"/>
      <c r="C23" s="1658"/>
      <c r="D23" s="1658"/>
      <c r="E23" s="1658"/>
      <c r="F23" s="1658"/>
    </row>
    <row r="24" spans="1:8" ht="16.5">
      <c r="A24" s="1660" t="str">
        <f>CONCATENATE("Progress of Statutory and Modified Ration Shops in the district of ",District!$A$1)</f>
        <v>Progress of Statutory and Modified Ration Shops in the district of Purulia</v>
      </c>
      <c r="B24" s="1660"/>
      <c r="C24" s="1660"/>
      <c r="D24" s="1660"/>
      <c r="E24" s="1660"/>
      <c r="F24" s="1660"/>
    </row>
    <row r="25" spans="1:8">
      <c r="A25" s="49"/>
      <c r="B25" s="158"/>
      <c r="C25" s="49"/>
      <c r="D25" s="49"/>
      <c r="E25" s="49"/>
      <c r="F25" s="315" t="s">
        <v>1058</v>
      </c>
    </row>
    <row r="26" spans="1:8" ht="30" customHeight="1">
      <c r="A26" s="1793" t="s">
        <v>1175</v>
      </c>
      <c r="B26" s="1794"/>
      <c r="C26" s="1713" t="s">
        <v>240</v>
      </c>
      <c r="D26" s="1714"/>
      <c r="E26" s="1713" t="s">
        <v>221</v>
      </c>
      <c r="F26" s="1714"/>
    </row>
    <row r="27" spans="1:8" ht="16.5" customHeight="1">
      <c r="A27" s="1675" t="s">
        <v>1008</v>
      </c>
      <c r="B27" s="1699"/>
      <c r="C27" s="1675" t="s">
        <v>1009</v>
      </c>
      <c r="D27" s="1699"/>
      <c r="E27" s="1675" t="s">
        <v>1010</v>
      </c>
      <c r="F27" s="1699"/>
      <c r="H27" s="447"/>
    </row>
    <row r="28" spans="1:8" ht="27" customHeight="1">
      <c r="A28" s="1724">
        <v>2010</v>
      </c>
      <c r="B28" s="1725"/>
      <c r="C28" s="1704" t="s">
        <v>57</v>
      </c>
      <c r="D28" s="1705"/>
      <c r="E28" s="1704">
        <v>1080</v>
      </c>
      <c r="F28" s="1705"/>
    </row>
    <row r="29" spans="1:8" ht="27" customHeight="1">
      <c r="A29" s="1722">
        <v>2011</v>
      </c>
      <c r="B29" s="1723"/>
      <c r="C29" s="1694" t="s">
        <v>57</v>
      </c>
      <c r="D29" s="1695"/>
      <c r="E29" s="1694">
        <v>1088</v>
      </c>
      <c r="F29" s="1695"/>
    </row>
    <row r="30" spans="1:8" ht="27" customHeight="1">
      <c r="A30" s="1722">
        <v>2012</v>
      </c>
      <c r="B30" s="1723"/>
      <c r="C30" s="1694" t="s">
        <v>57</v>
      </c>
      <c r="D30" s="1695"/>
      <c r="E30" s="1694">
        <v>1088</v>
      </c>
      <c r="F30" s="1695"/>
    </row>
    <row r="31" spans="1:8" ht="27" customHeight="1">
      <c r="A31" s="1722">
        <v>2013</v>
      </c>
      <c r="B31" s="1723"/>
      <c r="C31" s="1698" t="s">
        <v>57</v>
      </c>
      <c r="D31" s="1698"/>
      <c r="E31" s="1694" t="s">
        <v>420</v>
      </c>
      <c r="F31" s="1695"/>
    </row>
    <row r="32" spans="1:8" ht="27" customHeight="1">
      <c r="A32" s="1720">
        <v>2014</v>
      </c>
      <c r="B32" s="1721"/>
      <c r="C32" s="1693" t="s">
        <v>57</v>
      </c>
      <c r="D32" s="1693"/>
      <c r="E32" s="1405" t="s">
        <v>1631</v>
      </c>
      <c r="F32" s="1690"/>
    </row>
    <row r="33" spans="1:6">
      <c r="A33" s="1414" t="s">
        <v>1530</v>
      </c>
      <c r="B33" s="1414"/>
      <c r="C33" s="565" t="s">
        <v>776</v>
      </c>
      <c r="D33" s="580" t="s">
        <v>814</v>
      </c>
      <c r="E33" s="580"/>
      <c r="F33" s="580"/>
    </row>
    <row r="34" spans="1:6">
      <c r="A34" s="1792" t="s">
        <v>1632</v>
      </c>
      <c r="B34" s="1792"/>
      <c r="C34" s="562" t="s">
        <v>782</v>
      </c>
      <c r="D34" s="1790" t="s">
        <v>754</v>
      </c>
      <c r="E34" s="1791"/>
      <c r="F34" s="1791"/>
    </row>
    <row r="35" spans="1:6">
      <c r="A35" s="1330"/>
      <c r="B35" s="349"/>
      <c r="C35" s="560"/>
      <c r="D35" s="1791"/>
      <c r="E35" s="1791"/>
      <c r="F35" s="1791"/>
    </row>
    <row r="36" spans="1:6">
      <c r="A36" s="1330"/>
      <c r="B36" s="349"/>
      <c r="C36" s="349"/>
      <c r="D36" s="349"/>
      <c r="E36" s="349"/>
      <c r="F36" s="349"/>
    </row>
    <row r="37" spans="1:6">
      <c r="A37" s="540"/>
      <c r="B37" s="540"/>
      <c r="C37" s="540"/>
      <c r="D37" s="540"/>
      <c r="E37" s="540"/>
      <c r="F37" s="540"/>
    </row>
    <row r="38" spans="1:6">
      <c r="A38" s="540"/>
      <c r="B38" s="540"/>
      <c r="C38" s="540"/>
      <c r="D38" s="540"/>
      <c r="E38" s="540"/>
      <c r="F38" s="540"/>
    </row>
  </sheetData>
  <mergeCells count="29">
    <mergeCell ref="A24:F24"/>
    <mergeCell ref="A26:B26"/>
    <mergeCell ref="C26:D26"/>
    <mergeCell ref="E26:F26"/>
    <mergeCell ref="A1:F1"/>
    <mergeCell ref="A23:F23"/>
    <mergeCell ref="A2:F2"/>
    <mergeCell ref="A3:D3"/>
    <mergeCell ref="E27:F27"/>
    <mergeCell ref="C27:D27"/>
    <mergeCell ref="E32:F32"/>
    <mergeCell ref="A29:B29"/>
    <mergeCell ref="A30:B30"/>
    <mergeCell ref="E30:F30"/>
    <mergeCell ref="C28:D28"/>
    <mergeCell ref="C29:D29"/>
    <mergeCell ref="C30:D30"/>
    <mergeCell ref="A27:B27"/>
    <mergeCell ref="A28:B28"/>
    <mergeCell ref="E29:F29"/>
    <mergeCell ref="E28:F28"/>
    <mergeCell ref="D34:F35"/>
    <mergeCell ref="A31:B31"/>
    <mergeCell ref="C31:D31"/>
    <mergeCell ref="E31:F31"/>
    <mergeCell ref="A32:B32"/>
    <mergeCell ref="C32:D32"/>
    <mergeCell ref="A34:B34"/>
    <mergeCell ref="A33:B33"/>
  </mergeCells>
  <phoneticPr fontId="0" type="noConversion"/>
  <printOptions horizontalCentered="1"/>
  <pageMargins left="0.1" right="0.1" top="0.8" bottom="0.1" header="0.8" footer="0.1"/>
  <pageSetup paperSize="9" orientation="portrait" blackAndWhite="1" r:id="rId1"/>
  <headerFooter alignWithMargins="0"/>
</worksheet>
</file>

<file path=xl/worksheets/sheet67.xml><?xml version="1.0" encoding="utf-8"?>
<worksheet xmlns="http://schemas.openxmlformats.org/spreadsheetml/2006/main" xmlns:r="http://schemas.openxmlformats.org/officeDocument/2006/relationships">
  <dimension ref="A1:O27"/>
  <sheetViews>
    <sheetView workbookViewId="0">
      <selection activeCell="F14" sqref="F14"/>
    </sheetView>
  </sheetViews>
  <sheetFormatPr defaultRowHeight="12.75"/>
  <cols>
    <col min="1" max="1" width="13.28515625" customWidth="1"/>
    <col min="2" max="3" width="10.28515625" customWidth="1"/>
    <col min="4" max="4" width="11.140625" customWidth="1"/>
    <col min="5" max="13" width="10.28515625" customWidth="1"/>
  </cols>
  <sheetData>
    <row r="1" spans="1:15" ht="13.5" customHeight="1">
      <c r="A1" s="1658" t="s">
        <v>921</v>
      </c>
      <c r="B1" s="1658"/>
      <c r="C1" s="1658"/>
      <c r="D1" s="1658"/>
      <c r="E1" s="1658"/>
      <c r="F1" s="1658"/>
      <c r="G1" s="1658"/>
      <c r="H1" s="1658"/>
      <c r="I1" s="1658"/>
      <c r="J1" s="1658"/>
      <c r="K1" s="1658"/>
      <c r="L1" s="1658"/>
      <c r="M1" s="1658"/>
    </row>
    <row r="2" spans="1:15" ht="17.25" customHeight="1">
      <c r="A2" s="1660" t="str">
        <f>CONCATENATE("Length of Roads maintained by P.W.D., Zilla Parishad and Panchayat in the district of ",District!$A$1)</f>
        <v>Length of Roads maintained by P.W.D., Zilla Parishad and Panchayat in the district of Purulia</v>
      </c>
      <c r="B2" s="1660"/>
      <c r="C2" s="1660"/>
      <c r="D2" s="1660"/>
      <c r="E2" s="1660"/>
      <c r="F2" s="1660"/>
      <c r="G2" s="1660"/>
      <c r="H2" s="1660"/>
      <c r="I2" s="1660"/>
      <c r="J2" s="1660"/>
      <c r="K2" s="1660"/>
      <c r="L2" s="1660"/>
      <c r="M2" s="1660"/>
    </row>
    <row r="3" spans="1:15" ht="14.25" customHeight="1">
      <c r="A3" s="49"/>
      <c r="B3" s="158"/>
      <c r="C3" s="158"/>
      <c r="D3" s="158"/>
      <c r="E3" s="158"/>
      <c r="F3" s="158"/>
      <c r="G3" s="158"/>
      <c r="H3" s="111"/>
      <c r="L3" s="1808" t="s">
        <v>224</v>
      </c>
      <c r="M3" s="1808"/>
    </row>
    <row r="4" spans="1:15" ht="27" customHeight="1">
      <c r="A4" s="285" t="s">
        <v>951</v>
      </c>
      <c r="B4" s="1709" t="s">
        <v>225</v>
      </c>
      <c r="C4" s="1671"/>
      <c r="D4" s="1667"/>
      <c r="E4" s="1709" t="s">
        <v>226</v>
      </c>
      <c r="F4" s="1701"/>
      <c r="G4" s="1687"/>
      <c r="H4" s="1709" t="s">
        <v>535</v>
      </c>
      <c r="I4" s="1701"/>
      <c r="J4" s="1687"/>
      <c r="K4" s="1709" t="s">
        <v>466</v>
      </c>
      <c r="L4" s="1701"/>
      <c r="M4" s="1687"/>
    </row>
    <row r="5" spans="1:15" ht="19.5" customHeight="1">
      <c r="A5" s="346"/>
      <c r="B5" s="247" t="s">
        <v>998</v>
      </c>
      <c r="C5" s="247" t="s">
        <v>413</v>
      </c>
      <c r="D5" s="248" t="s">
        <v>1035</v>
      </c>
      <c r="E5" s="247" t="s">
        <v>998</v>
      </c>
      <c r="F5" s="247" t="s">
        <v>413</v>
      </c>
      <c r="G5" s="247" t="s">
        <v>1035</v>
      </c>
      <c r="H5" s="247" t="s">
        <v>998</v>
      </c>
      <c r="I5" s="247" t="s">
        <v>413</v>
      </c>
      <c r="J5" s="247" t="s">
        <v>1035</v>
      </c>
      <c r="K5" s="247" t="s">
        <v>998</v>
      </c>
      <c r="L5" s="247" t="s">
        <v>413</v>
      </c>
      <c r="M5" s="247" t="s">
        <v>1035</v>
      </c>
      <c r="O5" s="447"/>
    </row>
    <row r="6" spans="1:15" ht="16.5" customHeight="1">
      <c r="A6" s="325" t="s">
        <v>1008</v>
      </c>
      <c r="B6" s="293" t="s">
        <v>1009</v>
      </c>
      <c r="C6" s="293" t="s">
        <v>1010</v>
      </c>
      <c r="D6" s="279" t="s">
        <v>1011</v>
      </c>
      <c r="E6" s="293" t="s">
        <v>1015</v>
      </c>
      <c r="F6" s="293" t="s">
        <v>1016</v>
      </c>
      <c r="G6" s="293" t="s">
        <v>1017</v>
      </c>
      <c r="H6" s="293" t="s">
        <v>1039</v>
      </c>
      <c r="I6" s="293" t="s">
        <v>1040</v>
      </c>
      <c r="J6" s="293" t="s">
        <v>1041</v>
      </c>
      <c r="K6" s="293" t="s">
        <v>1042</v>
      </c>
      <c r="L6" s="293" t="s">
        <v>1076</v>
      </c>
      <c r="M6" s="293" t="s">
        <v>1077</v>
      </c>
    </row>
    <row r="7" spans="1:15" ht="24" customHeight="1">
      <c r="A7" s="342" t="s">
        <v>1526</v>
      </c>
      <c r="B7" s="147">
        <v>856</v>
      </c>
      <c r="C7" s="147">
        <v>5</v>
      </c>
      <c r="D7" s="115">
        <f>SUM(B7,C7)</f>
        <v>861</v>
      </c>
      <c r="E7" s="147">
        <v>881.48</v>
      </c>
      <c r="F7" s="147">
        <v>388.44</v>
      </c>
      <c r="G7" s="115">
        <f>E7+F7</f>
        <v>1269.92</v>
      </c>
      <c r="H7" s="147">
        <v>716</v>
      </c>
      <c r="I7" s="147">
        <v>3147.24</v>
      </c>
      <c r="J7" s="249">
        <f>H7+I7</f>
        <v>3863.24</v>
      </c>
      <c r="K7" s="168">
        <v>472.96</v>
      </c>
      <c r="L7" s="31" t="s">
        <v>57</v>
      </c>
      <c r="M7" s="625">
        <f>SUM(K7,L7)</f>
        <v>472.96</v>
      </c>
    </row>
    <row r="8" spans="1:15" ht="24" customHeight="1">
      <c r="A8" s="342" t="s">
        <v>1525</v>
      </c>
      <c r="B8" s="147">
        <v>857</v>
      </c>
      <c r="C8" s="147">
        <v>6</v>
      </c>
      <c r="D8" s="115">
        <f>B8+C8</f>
        <v>863</v>
      </c>
      <c r="E8" s="147">
        <v>889.48</v>
      </c>
      <c r="F8" s="226">
        <v>424.31</v>
      </c>
      <c r="G8" s="115">
        <f>E8+F8</f>
        <v>1313.79</v>
      </c>
      <c r="H8" s="186">
        <v>716</v>
      </c>
      <c r="I8" s="147">
        <v>3147.24</v>
      </c>
      <c r="J8" s="249">
        <f>H8+I8</f>
        <v>3863.24</v>
      </c>
      <c r="K8" s="168">
        <v>561.26</v>
      </c>
      <c r="L8" s="31" t="s">
        <v>57</v>
      </c>
      <c r="M8" s="115">
        <f>SUM(K8,L8)</f>
        <v>561.26</v>
      </c>
    </row>
    <row r="9" spans="1:15" ht="24" customHeight="1">
      <c r="A9" s="342" t="s">
        <v>1051</v>
      </c>
      <c r="B9" s="147">
        <v>883</v>
      </c>
      <c r="C9" s="147" t="s">
        <v>57</v>
      </c>
      <c r="D9" s="115">
        <f>SUM(B9,C9)</f>
        <v>883</v>
      </c>
      <c r="E9" s="147">
        <v>897.48</v>
      </c>
      <c r="F9" s="226">
        <v>416.31</v>
      </c>
      <c r="G9" s="115">
        <f>E9+F9</f>
        <v>1313.79</v>
      </c>
      <c r="H9" s="186">
        <v>789.17</v>
      </c>
      <c r="I9" s="147">
        <v>3189.07</v>
      </c>
      <c r="J9" s="249">
        <f>H9+I9</f>
        <v>3978.2400000000002</v>
      </c>
      <c r="K9" s="168">
        <v>642.41999999999996</v>
      </c>
      <c r="L9" s="31" t="s">
        <v>57</v>
      </c>
      <c r="M9" s="115">
        <f>SUM(K9,L9)</f>
        <v>642.41999999999996</v>
      </c>
    </row>
    <row r="10" spans="1:15" ht="24" customHeight="1">
      <c r="A10" s="342" t="s">
        <v>1250</v>
      </c>
      <c r="B10" s="147" t="s">
        <v>970</v>
      </c>
      <c r="C10" s="147" t="s">
        <v>970</v>
      </c>
      <c r="D10" s="115" t="s">
        <v>970</v>
      </c>
      <c r="E10" s="186">
        <v>897.48</v>
      </c>
      <c r="F10" s="226">
        <v>416.31</v>
      </c>
      <c r="G10" s="115">
        <f>E10+F10</f>
        <v>1313.79</v>
      </c>
      <c r="H10" s="186">
        <v>1065.79</v>
      </c>
      <c r="I10" s="147">
        <v>3929.55</v>
      </c>
      <c r="J10" s="249">
        <f>H10+I10</f>
        <v>4995.34</v>
      </c>
      <c r="K10" s="168">
        <v>706.28</v>
      </c>
      <c r="L10" s="31" t="s">
        <v>57</v>
      </c>
      <c r="M10" s="115">
        <f>SUM(K10,L10)</f>
        <v>706.28</v>
      </c>
    </row>
    <row r="11" spans="1:15" ht="24" customHeight="1">
      <c r="A11" s="343" t="s">
        <v>527</v>
      </c>
      <c r="B11" s="148">
        <v>895.31</v>
      </c>
      <c r="C11" s="148" t="s">
        <v>970</v>
      </c>
      <c r="D11" s="227">
        <f>SUM(B11,C11)</f>
        <v>895.31</v>
      </c>
      <c r="E11" s="148">
        <v>961.28</v>
      </c>
      <c r="F11" s="148">
        <v>362.31</v>
      </c>
      <c r="G11" s="227">
        <f>E11+F11</f>
        <v>1323.59</v>
      </c>
      <c r="H11" s="148">
        <v>1202.1500000000001</v>
      </c>
      <c r="I11" s="148">
        <v>4144.5</v>
      </c>
      <c r="J11" s="227">
        <f>H11+I11</f>
        <v>5346.65</v>
      </c>
      <c r="K11" s="151">
        <v>1038.21</v>
      </c>
      <c r="L11" s="89" t="s">
        <v>57</v>
      </c>
      <c r="M11" s="227">
        <f>SUM(K11,L11)</f>
        <v>1038.21</v>
      </c>
    </row>
    <row r="12" spans="1:15" ht="15" customHeight="1">
      <c r="A12" s="1330"/>
      <c r="B12" s="1330"/>
      <c r="C12" s="206"/>
      <c r="D12" s="1330"/>
      <c r="E12" s="1330"/>
      <c r="F12" s="1330"/>
      <c r="G12" s="540"/>
      <c r="H12" s="540"/>
      <c r="I12" s="560"/>
      <c r="J12" s="562" t="s">
        <v>1402</v>
      </c>
      <c r="K12" s="1331" t="s">
        <v>419</v>
      </c>
      <c r="L12" s="349"/>
      <c r="M12" s="560"/>
    </row>
    <row r="13" spans="1:15">
      <c r="A13" s="1330"/>
      <c r="B13" s="1330"/>
      <c r="C13" s="1330"/>
      <c r="D13" s="1330"/>
      <c r="E13" s="1338"/>
      <c r="F13" s="1330"/>
      <c r="G13" s="540"/>
      <c r="H13" s="540"/>
      <c r="I13" s="560"/>
      <c r="J13" s="562" t="s">
        <v>782</v>
      </c>
      <c r="K13" s="349" t="s">
        <v>383</v>
      </c>
      <c r="L13" s="349"/>
      <c r="M13" s="560"/>
    </row>
    <row r="14" spans="1:15">
      <c r="A14" s="1330"/>
      <c r="B14" s="1330"/>
      <c r="C14" s="1330"/>
      <c r="D14" s="1330"/>
      <c r="E14" s="1338"/>
      <c r="F14" s="1330"/>
      <c r="G14" s="540"/>
      <c r="H14" s="540"/>
      <c r="I14" s="560"/>
      <c r="J14" s="562" t="s">
        <v>381</v>
      </c>
      <c r="K14" s="349" t="s">
        <v>384</v>
      </c>
      <c r="L14" s="349"/>
      <c r="M14" s="560"/>
    </row>
    <row r="15" spans="1:15">
      <c r="A15" s="1330"/>
      <c r="B15" s="540"/>
      <c r="C15" s="1330"/>
      <c r="D15" s="1330"/>
      <c r="E15" s="1338"/>
      <c r="F15" s="1330"/>
      <c r="G15" s="195"/>
      <c r="H15" s="1338"/>
      <c r="I15" s="349"/>
      <c r="J15" s="562" t="s">
        <v>382</v>
      </c>
      <c r="K15" s="349" t="s">
        <v>385</v>
      </c>
      <c r="L15" s="560"/>
      <c r="M15" s="560"/>
    </row>
    <row r="16" spans="1:15">
      <c r="A16" s="1330"/>
      <c r="B16" s="540"/>
      <c r="C16" s="1330"/>
      <c r="D16" s="1330"/>
      <c r="E16" s="1338"/>
      <c r="F16" s="1330"/>
      <c r="G16" s="195"/>
      <c r="H16" s="1338"/>
      <c r="I16" s="349"/>
      <c r="J16" s="562" t="s">
        <v>1637</v>
      </c>
      <c r="K16" s="349" t="s">
        <v>1638</v>
      </c>
      <c r="L16" s="560"/>
      <c r="M16" s="560"/>
    </row>
    <row r="17" spans="1:15" ht="13.5" customHeight="1">
      <c r="B17" s="1659" t="s">
        <v>919</v>
      </c>
      <c r="C17" s="1659"/>
      <c r="D17" s="1659"/>
      <c r="E17" s="1659"/>
      <c r="F17" s="1659"/>
      <c r="G17" s="1659"/>
      <c r="H17" s="1659"/>
      <c r="I17" s="1659"/>
      <c r="J17" s="1659"/>
      <c r="K17" s="1659"/>
      <c r="L17" s="1659"/>
    </row>
    <row r="18" spans="1:15" ht="17.25" customHeight="1">
      <c r="C18" s="1660" t="str">
        <f>CONCATENATE("Length of different classes of Roads maintained by P.W.D. in the district of ",District!$A$1)</f>
        <v>Length of different classes of Roads maintained by P.W.D. in the district of Purulia</v>
      </c>
      <c r="D18" s="1660"/>
      <c r="E18" s="1660"/>
      <c r="F18" s="1660"/>
      <c r="G18" s="1660"/>
      <c r="H18" s="1660"/>
      <c r="I18" s="1660"/>
      <c r="J18" s="1660"/>
      <c r="K18" s="1660"/>
      <c r="L18" s="529"/>
    </row>
    <row r="19" spans="1:15">
      <c r="A19" s="49"/>
      <c r="B19" s="49"/>
      <c r="C19" s="49"/>
      <c r="D19" s="49"/>
      <c r="E19" s="49"/>
      <c r="F19" s="49"/>
      <c r="G19" s="49"/>
      <c r="H19" s="49"/>
      <c r="I19" s="49"/>
      <c r="K19" s="1731" t="s">
        <v>224</v>
      </c>
      <c r="L19" s="1731"/>
      <c r="M19" s="447"/>
    </row>
    <row r="20" spans="1:15" ht="16.5" customHeight="1">
      <c r="B20" s="300" t="s">
        <v>951</v>
      </c>
      <c r="C20" s="1663" t="s">
        <v>228</v>
      </c>
      <c r="D20" s="1667"/>
      <c r="E20" s="1663" t="s">
        <v>229</v>
      </c>
      <c r="F20" s="1667"/>
      <c r="G20" s="1663" t="s">
        <v>230</v>
      </c>
      <c r="H20" s="1667"/>
      <c r="I20" s="1663" t="s">
        <v>231</v>
      </c>
      <c r="J20" s="1667"/>
      <c r="K20" s="1663" t="s">
        <v>1035</v>
      </c>
      <c r="L20" s="1667"/>
      <c r="M20" s="447"/>
    </row>
    <row r="21" spans="1:15" ht="16.5" customHeight="1">
      <c r="B21" s="293" t="s">
        <v>1008</v>
      </c>
      <c r="C21" s="1675" t="s">
        <v>1009</v>
      </c>
      <c r="D21" s="1699"/>
      <c r="E21" s="1675" t="s">
        <v>1010</v>
      </c>
      <c r="F21" s="1699"/>
      <c r="G21" s="1675" t="s">
        <v>1011</v>
      </c>
      <c r="H21" s="1699"/>
      <c r="I21" s="1675" t="s">
        <v>1015</v>
      </c>
      <c r="J21" s="1699"/>
      <c r="K21" s="1675" t="s">
        <v>1016</v>
      </c>
      <c r="L21" s="1699"/>
    </row>
    <row r="22" spans="1:15" ht="24" customHeight="1">
      <c r="B22" s="332" t="s">
        <v>1526</v>
      </c>
      <c r="C22" s="1798" t="s">
        <v>970</v>
      </c>
      <c r="D22" s="1799"/>
      <c r="E22" s="1798" t="s">
        <v>970</v>
      </c>
      <c r="F22" s="1799"/>
      <c r="G22" s="1798" t="s">
        <v>970</v>
      </c>
      <c r="H22" s="1799"/>
      <c r="I22" s="1798" t="s">
        <v>970</v>
      </c>
      <c r="J22" s="1799"/>
      <c r="K22" s="1804">
        <v>861</v>
      </c>
      <c r="L22" s="1805"/>
    </row>
    <row r="23" spans="1:15" ht="24" customHeight="1">
      <c r="B23" s="332" t="s">
        <v>1525</v>
      </c>
      <c r="C23" s="1800" t="s">
        <v>970</v>
      </c>
      <c r="D23" s="1801"/>
      <c r="E23" s="1800" t="s">
        <v>970</v>
      </c>
      <c r="F23" s="1801"/>
      <c r="G23" s="1800" t="s">
        <v>970</v>
      </c>
      <c r="H23" s="1801"/>
      <c r="I23" s="1800" t="s">
        <v>970</v>
      </c>
      <c r="J23" s="1801"/>
      <c r="K23" s="1796">
        <v>863</v>
      </c>
      <c r="L23" s="1797"/>
    </row>
    <row r="24" spans="1:15" ht="24" customHeight="1">
      <c r="B24" s="332" t="s">
        <v>1051</v>
      </c>
      <c r="C24" s="1800" t="s">
        <v>970</v>
      </c>
      <c r="D24" s="1801"/>
      <c r="E24" s="1800" t="s">
        <v>970</v>
      </c>
      <c r="F24" s="1801"/>
      <c r="G24" s="1800" t="s">
        <v>970</v>
      </c>
      <c r="H24" s="1801"/>
      <c r="I24" s="1800" t="s">
        <v>970</v>
      </c>
      <c r="J24" s="1801"/>
      <c r="K24" s="1796">
        <v>883</v>
      </c>
      <c r="L24" s="1797"/>
      <c r="O24" s="1"/>
    </row>
    <row r="25" spans="1:15" ht="24" customHeight="1">
      <c r="B25" s="332" t="s">
        <v>1250</v>
      </c>
      <c r="C25" s="1800" t="s">
        <v>970</v>
      </c>
      <c r="D25" s="1801"/>
      <c r="E25" s="1800" t="s">
        <v>970</v>
      </c>
      <c r="F25" s="1801"/>
      <c r="G25" s="1800" t="s">
        <v>970</v>
      </c>
      <c r="H25" s="1801"/>
      <c r="I25" s="1800" t="s">
        <v>970</v>
      </c>
      <c r="J25" s="1801"/>
      <c r="K25" s="1796" t="str">
        <f>D10</f>
        <v>..</v>
      </c>
      <c r="L25" s="1797"/>
    </row>
    <row r="26" spans="1:15" ht="24" customHeight="1">
      <c r="B26" s="336" t="s">
        <v>527</v>
      </c>
      <c r="C26" s="1802">
        <v>114.73</v>
      </c>
      <c r="D26" s="1803"/>
      <c r="E26" s="1802">
        <v>366.37</v>
      </c>
      <c r="F26" s="1803"/>
      <c r="G26" s="1802">
        <v>383.71</v>
      </c>
      <c r="H26" s="1803"/>
      <c r="I26" s="1802">
        <v>30.5</v>
      </c>
      <c r="J26" s="1803"/>
      <c r="K26" s="1806">
        <v>895.31</v>
      </c>
      <c r="L26" s="1807"/>
    </row>
    <row r="27" spans="1:15">
      <c r="B27" s="49"/>
      <c r="C27" s="49"/>
      <c r="D27" s="49"/>
      <c r="E27" s="49"/>
      <c r="I27" s="49"/>
      <c r="J27" s="49"/>
      <c r="K27" s="359"/>
      <c r="L27" s="1201" t="s">
        <v>1636</v>
      </c>
    </row>
  </sheetData>
  <mergeCells count="45">
    <mergeCell ref="K25:L25"/>
    <mergeCell ref="K26:L26"/>
    <mergeCell ref="A1:M1"/>
    <mergeCell ref="L3:M3"/>
    <mergeCell ref="H4:J4"/>
    <mergeCell ref="B4:D4"/>
    <mergeCell ref="G25:H25"/>
    <mergeCell ref="G26:H26"/>
    <mergeCell ref="I24:J24"/>
    <mergeCell ref="I25:J25"/>
    <mergeCell ref="I26:J26"/>
    <mergeCell ref="G24:H24"/>
    <mergeCell ref="I20:J20"/>
    <mergeCell ref="I21:J21"/>
    <mergeCell ref="I22:J22"/>
    <mergeCell ref="A2:M2"/>
    <mergeCell ref="E4:G4"/>
    <mergeCell ref="K4:M4"/>
    <mergeCell ref="K20:L20"/>
    <mergeCell ref="K21:L21"/>
    <mergeCell ref="K22:L22"/>
    <mergeCell ref="C25:D25"/>
    <mergeCell ref="C26:D26"/>
    <mergeCell ref="E20:F20"/>
    <mergeCell ref="E21:F21"/>
    <mergeCell ref="E22:F22"/>
    <mergeCell ref="E23:F23"/>
    <mergeCell ref="E24:F24"/>
    <mergeCell ref="E25:F25"/>
    <mergeCell ref="E26:F26"/>
    <mergeCell ref="K24:L24"/>
    <mergeCell ref="K19:L19"/>
    <mergeCell ref="C18:K18"/>
    <mergeCell ref="B17:L17"/>
    <mergeCell ref="C20:D20"/>
    <mergeCell ref="C21:D21"/>
    <mergeCell ref="C22:D22"/>
    <mergeCell ref="C23:D23"/>
    <mergeCell ref="C24:D24"/>
    <mergeCell ref="G23:H23"/>
    <mergeCell ref="I23:J23"/>
    <mergeCell ref="K23:L23"/>
    <mergeCell ref="G20:H20"/>
    <mergeCell ref="G21:H21"/>
    <mergeCell ref="G22:H22"/>
  </mergeCells>
  <phoneticPr fontId="0" type="noConversion"/>
  <conditionalFormatting sqref="G22:G24 B25:L65536 B22:C24 I22:I24 E22:E24 K22:K24 M13:M65536 N13:IV1048576 A13:A65536 B13:L21 A1:IV12">
    <cfRule type="cellIs" dxfId="0" priority="1" stopIfTrue="1" operator="equal">
      <formula>".."</formula>
    </cfRule>
  </conditionalFormatting>
  <printOptions horizontalCentered="1" verticalCentered="1"/>
  <pageMargins left="0.1" right="0.1" top="0" bottom="0" header="0.25" footer="0.1"/>
  <pageSetup paperSize="9" orientation="landscape" blackAndWhite="1" r:id="rId1"/>
  <headerFooter alignWithMargins="0"/>
</worksheet>
</file>

<file path=xl/worksheets/sheet68.xml><?xml version="1.0" encoding="utf-8"?>
<worksheet xmlns="http://schemas.openxmlformats.org/spreadsheetml/2006/main" xmlns:r="http://schemas.openxmlformats.org/officeDocument/2006/relationships">
  <dimension ref="A1:L30"/>
  <sheetViews>
    <sheetView workbookViewId="0">
      <selection activeCell="F14" sqref="F14"/>
    </sheetView>
  </sheetViews>
  <sheetFormatPr defaultRowHeight="12.75"/>
  <cols>
    <col min="1" max="1" width="14.140625" customWidth="1"/>
    <col min="2" max="10" width="11.7109375" customWidth="1"/>
    <col min="11" max="11" width="15.140625" customWidth="1"/>
  </cols>
  <sheetData>
    <row r="1" spans="1:12" ht="13.5" customHeight="1">
      <c r="A1" s="49"/>
      <c r="B1" s="1659" t="s">
        <v>920</v>
      </c>
      <c r="C1" s="1659"/>
      <c r="D1" s="1659"/>
      <c r="E1" s="1659"/>
      <c r="F1" s="1659"/>
      <c r="G1" s="1659"/>
      <c r="H1" s="1659"/>
      <c r="I1" s="1659"/>
      <c r="J1" s="1659"/>
      <c r="K1" s="49"/>
    </row>
    <row r="2" spans="1:12" ht="17.25" customHeight="1">
      <c r="A2" s="49"/>
      <c r="B2" s="1660" t="str">
        <f>CONCATENATE("Length of Roads maintained by Municipalities  in the district of ",District!$A$1)</f>
        <v>Length of Roads maintained by Municipalities  in the district of Purulia</v>
      </c>
      <c r="C2" s="1660"/>
      <c r="D2" s="1660"/>
      <c r="E2" s="1660"/>
      <c r="F2" s="1660"/>
      <c r="G2" s="1660"/>
      <c r="H2" s="1660"/>
      <c r="I2" s="1660"/>
      <c r="J2" s="1660"/>
      <c r="K2" s="49"/>
    </row>
    <row r="3" spans="1:12">
      <c r="A3" s="49"/>
      <c r="B3" s="359"/>
      <c r="C3" s="359"/>
      <c r="D3" s="359"/>
      <c r="E3" s="359"/>
      <c r="F3" s="359"/>
      <c r="G3" s="359"/>
      <c r="H3" s="359"/>
      <c r="J3" s="407" t="s">
        <v>224</v>
      </c>
      <c r="K3" s="49"/>
    </row>
    <row r="4" spans="1:12" ht="15" customHeight="1">
      <c r="A4" s="111"/>
      <c r="B4" s="1809" t="s">
        <v>951</v>
      </c>
      <c r="C4" s="1810"/>
      <c r="D4" s="1811"/>
      <c r="E4" s="1809" t="s">
        <v>998</v>
      </c>
      <c r="F4" s="1811"/>
      <c r="G4" s="1809" t="s">
        <v>413</v>
      </c>
      <c r="H4" s="1811"/>
      <c r="I4" s="1663" t="s">
        <v>1035</v>
      </c>
      <c r="J4" s="1667"/>
    </row>
    <row r="5" spans="1:12" ht="15" customHeight="1">
      <c r="A5" s="111"/>
      <c r="B5" s="1812" t="s">
        <v>1008</v>
      </c>
      <c r="C5" s="1813"/>
      <c r="D5" s="1814"/>
      <c r="E5" s="1812" t="s">
        <v>1009</v>
      </c>
      <c r="F5" s="1814"/>
      <c r="G5" s="1812" t="s">
        <v>1010</v>
      </c>
      <c r="H5" s="1814"/>
      <c r="I5" s="1812" t="s">
        <v>1011</v>
      </c>
      <c r="J5" s="1814"/>
    </row>
    <row r="6" spans="1:12" ht="18.95" customHeight="1">
      <c r="A6" s="111"/>
      <c r="B6" s="1724" t="s">
        <v>1526</v>
      </c>
      <c r="C6" s="1825"/>
      <c r="D6" s="1725"/>
      <c r="E6" s="1704">
        <v>160.13</v>
      </c>
      <c r="F6" s="1705"/>
      <c r="G6" s="1798">
        <v>46.99</v>
      </c>
      <c r="H6" s="1799"/>
      <c r="I6" s="1804">
        <f>E6+G6</f>
        <v>207.12</v>
      </c>
      <c r="J6" s="1805"/>
    </row>
    <row r="7" spans="1:12" ht="18.95" customHeight="1">
      <c r="A7" s="111"/>
      <c r="B7" s="1722" t="s">
        <v>1525</v>
      </c>
      <c r="C7" s="1746"/>
      <c r="D7" s="1723"/>
      <c r="E7" s="1822">
        <v>159.63</v>
      </c>
      <c r="F7" s="1823"/>
      <c r="G7" s="1694">
        <v>51.99</v>
      </c>
      <c r="H7" s="1695"/>
      <c r="I7" s="1796">
        <f>E7+G7</f>
        <v>211.62</v>
      </c>
      <c r="J7" s="1797"/>
    </row>
    <row r="8" spans="1:12" ht="18.95" customHeight="1">
      <c r="A8" s="111"/>
      <c r="B8" s="1722" t="s">
        <v>1051</v>
      </c>
      <c r="C8" s="1746"/>
      <c r="D8" s="1723"/>
      <c r="E8" s="1822">
        <v>170.84</v>
      </c>
      <c r="F8" s="1823"/>
      <c r="G8" s="1800">
        <v>50.7</v>
      </c>
      <c r="H8" s="1801"/>
      <c r="I8" s="1796">
        <f>E8+G8</f>
        <v>221.54000000000002</v>
      </c>
      <c r="J8" s="1797"/>
    </row>
    <row r="9" spans="1:12" ht="18.95" customHeight="1">
      <c r="A9" s="111"/>
      <c r="B9" s="1722" t="s">
        <v>1250</v>
      </c>
      <c r="C9" s="1746"/>
      <c r="D9" s="1723"/>
      <c r="E9" s="1822">
        <v>177.83</v>
      </c>
      <c r="F9" s="1823"/>
      <c r="G9" s="1800">
        <v>48.7</v>
      </c>
      <c r="H9" s="1824"/>
      <c r="I9" s="1796">
        <f>E9+G9</f>
        <v>226.53000000000003</v>
      </c>
      <c r="J9" s="1797"/>
    </row>
    <row r="10" spans="1:12" ht="18.95" customHeight="1">
      <c r="A10" s="111"/>
      <c r="B10" s="1720" t="s">
        <v>527</v>
      </c>
      <c r="C10" s="1743"/>
      <c r="D10" s="1721"/>
      <c r="E10" s="1815">
        <f>SUM(E12:E14)</f>
        <v>215.46</v>
      </c>
      <c r="F10" s="1816"/>
      <c r="G10" s="1815">
        <f>SUM(G12:G14)</f>
        <v>51.83</v>
      </c>
      <c r="H10" s="1816"/>
      <c r="I10" s="1806">
        <f>E10+G10</f>
        <v>267.29000000000002</v>
      </c>
      <c r="J10" s="1807"/>
      <c r="L10" s="240"/>
    </row>
    <row r="11" spans="1:12" ht="13.5" customHeight="1">
      <c r="A11" s="49"/>
      <c r="B11" s="1809" t="s">
        <v>959</v>
      </c>
      <c r="C11" s="1810"/>
      <c r="D11" s="1811"/>
      <c r="E11" s="1817" t="str">
        <f>"Year : " &amp; B10</f>
        <v>Year : 2013-14</v>
      </c>
      <c r="F11" s="1818"/>
      <c r="G11" s="1818"/>
      <c r="H11" s="1818"/>
      <c r="I11" s="1818"/>
      <c r="J11" s="1819"/>
    </row>
    <row r="12" spans="1:12" ht="24" customHeight="1">
      <c r="A12" s="49"/>
      <c r="B12" s="1830" t="s">
        <v>20</v>
      </c>
      <c r="C12" s="1831"/>
      <c r="D12" s="1832"/>
      <c r="E12" s="1820">
        <v>155.93</v>
      </c>
      <c r="F12" s="1821"/>
      <c r="G12" s="1820">
        <v>22.07</v>
      </c>
      <c r="H12" s="1821"/>
      <c r="I12" s="1804">
        <f>SUM(E12+G12)</f>
        <v>178</v>
      </c>
      <c r="J12" s="1805"/>
    </row>
    <row r="13" spans="1:12" ht="24" customHeight="1">
      <c r="A13" s="49"/>
      <c r="B13" s="1833" t="s">
        <v>32</v>
      </c>
      <c r="C13" s="1834"/>
      <c r="D13" s="1835"/>
      <c r="E13" s="1822">
        <v>19.53</v>
      </c>
      <c r="F13" s="1823"/>
      <c r="G13" s="1822">
        <v>4.76</v>
      </c>
      <c r="H13" s="1823"/>
      <c r="I13" s="1796">
        <f>SUM(E13+G13)</f>
        <v>24.29</v>
      </c>
      <c r="J13" s="1797"/>
    </row>
    <row r="14" spans="1:12" ht="24" customHeight="1">
      <c r="A14" s="49"/>
      <c r="B14" s="1836" t="s">
        <v>35</v>
      </c>
      <c r="C14" s="1837"/>
      <c r="D14" s="1838"/>
      <c r="E14" s="1815">
        <v>40</v>
      </c>
      <c r="F14" s="1816"/>
      <c r="G14" s="1815">
        <v>25</v>
      </c>
      <c r="H14" s="1816"/>
      <c r="I14" s="1806">
        <f>E14+G14</f>
        <v>65</v>
      </c>
      <c r="J14" s="1807"/>
    </row>
    <row r="15" spans="1:12">
      <c r="A15" s="204"/>
      <c r="B15" s="159"/>
      <c r="C15" s="159"/>
      <c r="E15" s="359"/>
      <c r="F15" s="359"/>
      <c r="G15" s="359"/>
      <c r="H15" s="359"/>
      <c r="I15" s="359"/>
      <c r="J15" s="360" t="s">
        <v>1405</v>
      </c>
    </row>
    <row r="16" spans="1:12">
      <c r="A16" s="49"/>
      <c r="B16" s="49"/>
      <c r="C16" s="49"/>
      <c r="D16" s="49"/>
      <c r="E16" s="49"/>
      <c r="F16" s="49"/>
      <c r="G16" s="49"/>
      <c r="H16" s="49"/>
      <c r="I16" s="49"/>
      <c r="J16" s="49"/>
      <c r="K16" s="49"/>
    </row>
    <row r="17" spans="1:11">
      <c r="A17" s="49"/>
      <c r="B17" s="49"/>
      <c r="C17" s="49"/>
      <c r="D17" s="49"/>
      <c r="E17" s="49"/>
      <c r="F17" s="49"/>
      <c r="G17" s="49"/>
      <c r="H17" s="49"/>
      <c r="I17" s="49"/>
      <c r="J17" s="49"/>
      <c r="K17" s="49"/>
    </row>
    <row r="18" spans="1:11">
      <c r="A18" s="1658" t="s">
        <v>918</v>
      </c>
      <c r="B18" s="1658"/>
      <c r="C18" s="1658"/>
      <c r="D18" s="1658"/>
      <c r="E18" s="1658"/>
      <c r="F18" s="1658"/>
      <c r="G18" s="1658"/>
      <c r="H18" s="1658"/>
      <c r="I18" s="1658"/>
      <c r="J18" s="1658"/>
      <c r="K18" s="1658"/>
    </row>
    <row r="19" spans="1:11" ht="15.75" customHeight="1">
      <c r="A19" s="1826" t="str">
        <f>CONCATENATE("  Registered Motor Vehicles  in the district of ",District!$A$1)</f>
        <v xml:space="preserve">  Registered Motor Vehicles  in the district of Purulia</v>
      </c>
      <c r="B19" s="1826"/>
      <c r="C19" s="1826"/>
      <c r="D19" s="1826"/>
      <c r="E19" s="1826"/>
      <c r="F19" s="1826"/>
      <c r="G19" s="1826"/>
      <c r="H19" s="1826"/>
      <c r="I19" s="1826"/>
      <c r="J19" s="1826"/>
      <c r="K19" s="1826"/>
    </row>
    <row r="20" spans="1:11" ht="15.75" customHeight="1">
      <c r="A20" s="684"/>
      <c r="B20" s="684"/>
      <c r="C20" s="684"/>
      <c r="D20" s="684"/>
      <c r="E20" s="684"/>
      <c r="F20" s="684"/>
      <c r="G20" s="684"/>
      <c r="H20" s="684"/>
      <c r="I20" s="684"/>
      <c r="J20" s="684"/>
      <c r="K20" s="417" t="s">
        <v>1058</v>
      </c>
    </row>
    <row r="21" spans="1:11">
      <c r="A21" s="1668" t="s">
        <v>1331</v>
      </c>
      <c r="B21" s="1793" t="s">
        <v>233</v>
      </c>
      <c r="C21" s="1668" t="s">
        <v>234</v>
      </c>
      <c r="D21" s="1827" t="s">
        <v>235</v>
      </c>
      <c r="E21" s="1668" t="s">
        <v>236</v>
      </c>
      <c r="F21" s="1827" t="s">
        <v>237</v>
      </c>
      <c r="G21" s="1668" t="s">
        <v>272</v>
      </c>
      <c r="H21" s="1827" t="s">
        <v>287</v>
      </c>
      <c r="I21" s="1668" t="s">
        <v>1225</v>
      </c>
      <c r="J21" s="1744" t="s">
        <v>1162</v>
      </c>
      <c r="K21" s="1661" t="s">
        <v>1035</v>
      </c>
    </row>
    <row r="22" spans="1:11" ht="28.5" customHeight="1">
      <c r="A22" s="1669"/>
      <c r="B22" s="1829"/>
      <c r="C22" s="1669"/>
      <c r="D22" s="1828"/>
      <c r="E22" s="1669"/>
      <c r="F22" s="1828"/>
      <c r="G22" s="1669"/>
      <c r="H22" s="1828"/>
      <c r="I22" s="1669"/>
      <c r="J22" s="1745"/>
      <c r="K22" s="1666"/>
    </row>
    <row r="23" spans="1:11" ht="20.100000000000001" customHeight="1">
      <c r="A23" s="293" t="s">
        <v>1008</v>
      </c>
      <c r="B23" s="293" t="s">
        <v>1009</v>
      </c>
      <c r="C23" s="293" t="s">
        <v>1010</v>
      </c>
      <c r="D23" s="293" t="s">
        <v>1011</v>
      </c>
      <c r="E23" s="293" t="s">
        <v>1015</v>
      </c>
      <c r="F23" s="293" t="s">
        <v>1016</v>
      </c>
      <c r="G23" s="293" t="s">
        <v>1017</v>
      </c>
      <c r="H23" s="293" t="s">
        <v>1039</v>
      </c>
      <c r="I23" s="293" t="s">
        <v>1040</v>
      </c>
      <c r="J23" s="293" t="s">
        <v>1041</v>
      </c>
      <c r="K23" s="293" t="s">
        <v>1042</v>
      </c>
    </row>
    <row r="24" spans="1:11" ht="20.100000000000001" customHeight="1">
      <c r="A24" s="621">
        <v>2010</v>
      </c>
      <c r="B24" s="99">
        <v>2939</v>
      </c>
      <c r="C24" s="99">
        <v>2018</v>
      </c>
      <c r="D24" s="104">
        <v>59571</v>
      </c>
      <c r="E24" s="104">
        <v>243</v>
      </c>
      <c r="F24" s="104">
        <v>678</v>
      </c>
      <c r="G24" s="104">
        <v>151</v>
      </c>
      <c r="H24" s="104">
        <v>536</v>
      </c>
      <c r="I24" s="104">
        <v>2345</v>
      </c>
      <c r="J24" s="99">
        <v>155</v>
      </c>
      <c r="K24" s="87">
        <f>SUM(B24:J24)</f>
        <v>68636</v>
      </c>
    </row>
    <row r="25" spans="1:11" ht="20.100000000000001" customHeight="1">
      <c r="A25" s="333">
        <v>2011</v>
      </c>
      <c r="B25" s="99">
        <v>3381</v>
      </c>
      <c r="C25" s="99">
        <v>2070</v>
      </c>
      <c r="D25" s="104">
        <v>65884</v>
      </c>
      <c r="E25" s="99">
        <v>304</v>
      </c>
      <c r="F25" s="99">
        <v>921</v>
      </c>
      <c r="G25" s="99">
        <v>222</v>
      </c>
      <c r="H25" s="99">
        <v>560</v>
      </c>
      <c r="I25" s="99">
        <v>2791</v>
      </c>
      <c r="J25" s="99">
        <v>261</v>
      </c>
      <c r="K25" s="87">
        <f>SUM(B25:J25)</f>
        <v>76394</v>
      </c>
    </row>
    <row r="26" spans="1:11" ht="20.100000000000001" customHeight="1">
      <c r="A26" s="333">
        <v>2012</v>
      </c>
      <c r="B26" s="99">
        <v>3820</v>
      </c>
      <c r="C26" s="99">
        <v>2164</v>
      </c>
      <c r="D26" s="104">
        <v>72198</v>
      </c>
      <c r="E26" s="99">
        <v>391</v>
      </c>
      <c r="F26" s="99">
        <v>1165</v>
      </c>
      <c r="G26" s="99">
        <v>228</v>
      </c>
      <c r="H26" s="99">
        <v>671</v>
      </c>
      <c r="I26" s="99">
        <v>3237</v>
      </c>
      <c r="J26" s="99">
        <v>282</v>
      </c>
      <c r="K26" s="87">
        <f>SUM(B26:J26)</f>
        <v>84156</v>
      </c>
    </row>
    <row r="27" spans="1:11" ht="20.100000000000001" customHeight="1">
      <c r="A27" s="333">
        <v>2013</v>
      </c>
      <c r="B27" s="94">
        <v>4555</v>
      </c>
      <c r="C27" s="94">
        <v>3098</v>
      </c>
      <c r="D27" s="104">
        <v>83696</v>
      </c>
      <c r="E27" s="99">
        <v>555</v>
      </c>
      <c r="F27" s="99">
        <v>1365</v>
      </c>
      <c r="G27" s="99">
        <v>230</v>
      </c>
      <c r="H27" s="99">
        <v>690</v>
      </c>
      <c r="I27" s="99">
        <v>3871</v>
      </c>
      <c r="J27" s="50">
        <v>453</v>
      </c>
      <c r="K27" s="87">
        <f>SUM(B27:J27)</f>
        <v>98513</v>
      </c>
    </row>
    <row r="28" spans="1:11" ht="20.100000000000001" customHeight="1">
      <c r="A28" s="334">
        <v>2014</v>
      </c>
      <c r="B28" s="43">
        <v>5239</v>
      </c>
      <c r="C28" s="43">
        <v>4099</v>
      </c>
      <c r="D28" s="234">
        <v>92111</v>
      </c>
      <c r="E28" s="43">
        <v>643</v>
      </c>
      <c r="F28" s="43">
        <v>1390</v>
      </c>
      <c r="G28" s="43">
        <v>230</v>
      </c>
      <c r="H28" s="43">
        <v>759</v>
      </c>
      <c r="I28" s="43">
        <v>4509</v>
      </c>
      <c r="J28" s="43">
        <v>478</v>
      </c>
      <c r="K28" s="88">
        <f>SUM(B28:J28)</f>
        <v>109458</v>
      </c>
    </row>
    <row r="29" spans="1:11">
      <c r="A29" s="188"/>
      <c r="B29" s="188"/>
      <c r="C29" s="188"/>
      <c r="D29" s="188"/>
      <c r="E29" s="49"/>
      <c r="F29" s="49"/>
      <c r="G29" s="49"/>
      <c r="H29" s="559" t="s">
        <v>776</v>
      </c>
      <c r="I29" s="564" t="s">
        <v>421</v>
      </c>
    </row>
    <row r="30" spans="1:11">
      <c r="H30" s="559" t="s">
        <v>782</v>
      </c>
      <c r="I30" s="403" t="s">
        <v>422</v>
      </c>
      <c r="K30" s="2"/>
    </row>
  </sheetData>
  <mergeCells count="57">
    <mergeCell ref="B10:D10"/>
    <mergeCell ref="B11:D11"/>
    <mergeCell ref="B12:D12"/>
    <mergeCell ref="B13:D13"/>
    <mergeCell ref="B14:D14"/>
    <mergeCell ref="E12:F12"/>
    <mergeCell ref="E14:F14"/>
    <mergeCell ref="E13:F13"/>
    <mergeCell ref="A21:A22"/>
    <mergeCell ref="B21:B22"/>
    <mergeCell ref="D21:D22"/>
    <mergeCell ref="B6:D6"/>
    <mergeCell ref="B7:D7"/>
    <mergeCell ref="K21:K22"/>
    <mergeCell ref="J21:J22"/>
    <mergeCell ref="A18:K18"/>
    <mergeCell ref="A19:K19"/>
    <mergeCell ref="E21:E22"/>
    <mergeCell ref="F21:F22"/>
    <mergeCell ref="H21:H22"/>
    <mergeCell ref="I21:I22"/>
    <mergeCell ref="I14:J14"/>
    <mergeCell ref="G14:H14"/>
    <mergeCell ref="G21:G22"/>
    <mergeCell ref="C21:C22"/>
    <mergeCell ref="B8:D8"/>
    <mergeCell ref="B9:D9"/>
    <mergeCell ref="E4:F4"/>
    <mergeCell ref="E5:F5"/>
    <mergeCell ref="I7:J7"/>
    <mergeCell ref="I10:J10"/>
    <mergeCell ref="G4:H4"/>
    <mergeCell ref="G5:H5"/>
    <mergeCell ref="G6:H6"/>
    <mergeCell ref="G7:H7"/>
    <mergeCell ref="E6:F6"/>
    <mergeCell ref="E7:F7"/>
    <mergeCell ref="G8:H8"/>
    <mergeCell ref="G9:H9"/>
    <mergeCell ref="E9:F9"/>
    <mergeCell ref="E10:F10"/>
    <mergeCell ref="B1:J1"/>
    <mergeCell ref="I12:J12"/>
    <mergeCell ref="I13:J13"/>
    <mergeCell ref="I8:J8"/>
    <mergeCell ref="I9:J9"/>
    <mergeCell ref="B4:D4"/>
    <mergeCell ref="B5:D5"/>
    <mergeCell ref="G10:H10"/>
    <mergeCell ref="E11:J11"/>
    <mergeCell ref="I6:J6"/>
    <mergeCell ref="B2:J2"/>
    <mergeCell ref="G12:H12"/>
    <mergeCell ref="G13:H13"/>
    <mergeCell ref="I4:J4"/>
    <mergeCell ref="I5:J5"/>
    <mergeCell ref="E8:F8"/>
  </mergeCells>
  <phoneticPr fontId="0" type="noConversion"/>
  <printOptions horizontalCentered="1" verticalCentered="1"/>
  <pageMargins left="0.1" right="0.1" top="0.15" bottom="0.1" header="0.15" footer="0.1"/>
  <pageSetup paperSize="9" orientation="landscape" blackAndWhite="1" r:id="rId1"/>
  <headerFooter alignWithMargins="0"/>
</worksheet>
</file>

<file path=xl/worksheets/sheet69.xml><?xml version="1.0" encoding="utf-8"?>
<worksheet xmlns="http://schemas.openxmlformats.org/spreadsheetml/2006/main" xmlns:r="http://schemas.openxmlformats.org/officeDocument/2006/relationships">
  <dimension ref="A1:J38"/>
  <sheetViews>
    <sheetView workbookViewId="0">
      <selection activeCell="F14" sqref="F14"/>
    </sheetView>
  </sheetViews>
  <sheetFormatPr defaultRowHeight="12.75"/>
  <cols>
    <col min="1" max="1" width="17.42578125" customWidth="1"/>
    <col min="2" max="2" width="11" customWidth="1"/>
    <col min="3" max="3" width="10.85546875" customWidth="1"/>
    <col min="4" max="4" width="6.28515625" customWidth="1"/>
    <col min="5" max="7" width="6.42578125" customWidth="1"/>
    <col min="8" max="9" width="7" customWidth="1"/>
    <col min="10" max="10" width="13" customWidth="1"/>
  </cols>
  <sheetData>
    <row r="1" spans="1:10" ht="16.5" customHeight="1">
      <c r="A1" s="1659" t="s">
        <v>917</v>
      </c>
      <c r="B1" s="1659"/>
      <c r="C1" s="1659"/>
      <c r="D1" s="1659"/>
      <c r="E1" s="1659"/>
      <c r="F1" s="1659"/>
      <c r="G1" s="1659"/>
      <c r="H1" s="1659"/>
      <c r="I1" s="1659"/>
      <c r="J1" s="1659"/>
    </row>
    <row r="2" spans="1:10" ht="16.5" customHeight="1">
      <c r="A2" s="1839" t="str">
        <f>CONCATENATE("Accidents on Roads in the district of ",District!$A$1)</f>
        <v>Accidents on Roads in the district of Purulia</v>
      </c>
      <c r="B2" s="1839"/>
      <c r="C2" s="1839"/>
      <c r="D2" s="1839"/>
      <c r="E2" s="1839"/>
      <c r="F2" s="1839"/>
      <c r="G2" s="1839"/>
      <c r="H2" s="1839"/>
      <c r="I2" s="1839"/>
      <c r="J2" s="1839"/>
    </row>
    <row r="3" spans="1:10" ht="21.75" customHeight="1">
      <c r="A3" s="300" t="s">
        <v>951</v>
      </c>
      <c r="B3" s="1671" t="s">
        <v>98</v>
      </c>
      <c r="C3" s="1671"/>
      <c r="D3" s="1667"/>
      <c r="E3" s="1663" t="s">
        <v>288</v>
      </c>
      <c r="F3" s="1671"/>
      <c r="G3" s="1671"/>
      <c r="H3" s="1663" t="s">
        <v>858</v>
      </c>
      <c r="I3" s="1671"/>
      <c r="J3" s="1667"/>
    </row>
    <row r="4" spans="1:10" ht="21.75" customHeight="1">
      <c r="A4" s="293" t="s">
        <v>1008</v>
      </c>
      <c r="B4" s="1732" t="s">
        <v>1009</v>
      </c>
      <c r="C4" s="1732"/>
      <c r="D4" s="1699"/>
      <c r="E4" s="1675" t="s">
        <v>1010</v>
      </c>
      <c r="F4" s="1732"/>
      <c r="G4" s="1732"/>
      <c r="H4" s="1675" t="s">
        <v>1011</v>
      </c>
      <c r="I4" s="1732"/>
      <c r="J4" s="1699"/>
    </row>
    <row r="5" spans="1:10" ht="24.75" customHeight="1">
      <c r="A5" s="332">
        <v>2010</v>
      </c>
      <c r="B5" s="1704">
        <v>201</v>
      </c>
      <c r="C5" s="1706"/>
      <c r="D5" s="1705"/>
      <c r="E5" s="1704">
        <v>348</v>
      </c>
      <c r="F5" s="1706"/>
      <c r="G5" s="1705"/>
      <c r="H5" s="1704">
        <v>142</v>
      </c>
      <c r="I5" s="1706"/>
      <c r="J5" s="1705"/>
    </row>
    <row r="6" spans="1:10" ht="24.75" customHeight="1">
      <c r="A6" s="332">
        <v>2011</v>
      </c>
      <c r="B6" s="1694">
        <v>214</v>
      </c>
      <c r="C6" s="1698"/>
      <c r="D6" s="1695"/>
      <c r="E6" s="1694">
        <v>341</v>
      </c>
      <c r="F6" s="1698"/>
      <c r="G6" s="1695"/>
      <c r="H6" s="1694">
        <v>128</v>
      </c>
      <c r="I6" s="1698"/>
      <c r="J6" s="1695"/>
    </row>
    <row r="7" spans="1:10" ht="24.75" customHeight="1">
      <c r="A7" s="332">
        <v>2012</v>
      </c>
      <c r="B7" s="1694">
        <v>210</v>
      </c>
      <c r="C7" s="1698"/>
      <c r="D7" s="1695"/>
      <c r="E7" s="1694">
        <v>294</v>
      </c>
      <c r="F7" s="1698"/>
      <c r="G7" s="1695"/>
      <c r="H7" s="1694">
        <v>117</v>
      </c>
      <c r="I7" s="1698"/>
      <c r="J7" s="1695"/>
    </row>
    <row r="8" spans="1:10" ht="24.75" customHeight="1">
      <c r="A8" s="332">
        <v>2013</v>
      </c>
      <c r="B8" s="1694">
        <v>216</v>
      </c>
      <c r="C8" s="1698"/>
      <c r="D8" s="1695"/>
      <c r="E8" s="1698">
        <v>347</v>
      </c>
      <c r="F8" s="1698"/>
      <c r="G8" s="1698"/>
      <c r="H8" s="1694">
        <v>136</v>
      </c>
      <c r="I8" s="1698"/>
      <c r="J8" s="1695"/>
    </row>
    <row r="9" spans="1:10" ht="24.75" customHeight="1">
      <c r="A9" s="336">
        <v>2014</v>
      </c>
      <c r="B9" s="1689">
        <v>214</v>
      </c>
      <c r="C9" s="1693"/>
      <c r="D9" s="1690"/>
      <c r="E9" s="1693">
        <v>341</v>
      </c>
      <c r="F9" s="1693"/>
      <c r="G9" s="1693"/>
      <c r="H9" s="1689">
        <v>138</v>
      </c>
      <c r="I9" s="1693"/>
      <c r="J9" s="1690"/>
    </row>
    <row r="10" spans="1:10">
      <c r="A10" s="49"/>
      <c r="B10" s="49"/>
      <c r="C10" s="159"/>
      <c r="D10" s="49"/>
      <c r="E10" s="49"/>
      <c r="F10" s="49"/>
      <c r="G10" s="359"/>
      <c r="H10" s="359"/>
      <c r="I10" s="359"/>
      <c r="J10" s="360" t="s">
        <v>201</v>
      </c>
    </row>
    <row r="11" spans="1:10" ht="15" customHeight="1">
      <c r="A11" s="49"/>
      <c r="B11" s="49"/>
      <c r="C11" s="159"/>
      <c r="D11" s="49"/>
      <c r="E11" s="49"/>
      <c r="F11" s="49"/>
      <c r="G11" s="359"/>
      <c r="H11" s="359"/>
      <c r="I11" s="359"/>
      <c r="J11" s="407"/>
    </row>
    <row r="12" spans="1:10" ht="16.5" customHeight="1">
      <c r="A12" s="1845" t="s">
        <v>1266</v>
      </c>
      <c r="B12" s="1845"/>
      <c r="C12" s="1845"/>
      <c r="D12" s="1845"/>
      <c r="E12" s="1845"/>
      <c r="F12" s="1845"/>
      <c r="G12" s="1845"/>
      <c r="H12" s="1845"/>
      <c r="I12" s="1845"/>
      <c r="J12" s="1845"/>
    </row>
    <row r="13" spans="1:10" ht="16.5" customHeight="1">
      <c r="A13" s="1660" t="str">
        <f>CONCATENATE("Post and Telegraph Offices in the district of ",District!$A$1)</f>
        <v>Post and Telegraph Offices in the district of Purulia</v>
      </c>
      <c r="B13" s="1660"/>
      <c r="C13" s="1660"/>
      <c r="D13" s="1660"/>
      <c r="E13" s="1660"/>
      <c r="F13" s="1660"/>
      <c r="G13" s="1660"/>
      <c r="H13" s="1660"/>
      <c r="I13" s="1660"/>
      <c r="J13" s="1660"/>
    </row>
    <row r="14" spans="1:10" ht="14.1" customHeight="1">
      <c r="A14" s="49"/>
      <c r="B14" s="49"/>
      <c r="C14" s="49"/>
      <c r="D14" s="49"/>
      <c r="E14" s="49"/>
      <c r="F14" s="49"/>
      <c r="G14" s="49"/>
      <c r="H14" s="49"/>
      <c r="I14" s="49"/>
      <c r="J14" s="291" t="s">
        <v>1058</v>
      </c>
    </row>
    <row r="15" spans="1:10" ht="27" customHeight="1">
      <c r="A15" s="270" t="s">
        <v>1258</v>
      </c>
      <c r="B15" s="1663" t="s">
        <v>289</v>
      </c>
      <c r="C15" s="1671"/>
      <c r="D15" s="1667"/>
      <c r="E15" s="1663" t="s">
        <v>291</v>
      </c>
      <c r="F15" s="1671"/>
      <c r="G15" s="1667"/>
      <c r="H15" s="1663" t="s">
        <v>215</v>
      </c>
      <c r="I15" s="1671"/>
      <c r="J15" s="1667"/>
    </row>
    <row r="16" spans="1:10" ht="15.75" customHeight="1">
      <c r="A16" s="277" t="s">
        <v>1008</v>
      </c>
      <c r="B16" s="1675" t="s">
        <v>1009</v>
      </c>
      <c r="C16" s="1732"/>
      <c r="D16" s="1699"/>
      <c r="E16" s="1675" t="s">
        <v>1010</v>
      </c>
      <c r="F16" s="1732"/>
      <c r="G16" s="1732"/>
      <c r="H16" s="1675" t="s">
        <v>1011</v>
      </c>
      <c r="I16" s="1732"/>
      <c r="J16" s="1699"/>
    </row>
    <row r="17" spans="1:10" ht="24.75" customHeight="1">
      <c r="A17" s="332">
        <v>2010</v>
      </c>
      <c r="B17" s="1403">
        <v>443</v>
      </c>
      <c r="C17" s="1513"/>
      <c r="D17" s="1404"/>
      <c r="E17" s="1403">
        <v>1</v>
      </c>
      <c r="F17" s="1513"/>
      <c r="G17" s="1404"/>
      <c r="H17" s="1403">
        <v>19</v>
      </c>
      <c r="I17" s="1513"/>
      <c r="J17" s="1404"/>
    </row>
    <row r="18" spans="1:10" ht="24.75" customHeight="1">
      <c r="A18" s="332">
        <v>2011</v>
      </c>
      <c r="B18" s="1390">
        <v>443</v>
      </c>
      <c r="C18" s="1487"/>
      <c r="D18" s="1391"/>
      <c r="E18" s="1840" t="s">
        <v>57</v>
      </c>
      <c r="F18" s="1841"/>
      <c r="G18" s="1842"/>
      <c r="H18" s="1840" t="s">
        <v>57</v>
      </c>
      <c r="I18" s="1841"/>
      <c r="J18" s="1842"/>
    </row>
    <row r="19" spans="1:10" ht="24.75" customHeight="1">
      <c r="A19" s="332">
        <v>2012</v>
      </c>
      <c r="B19" s="1390">
        <v>443</v>
      </c>
      <c r="C19" s="1487"/>
      <c r="D19" s="1391"/>
      <c r="E19" s="1390" t="s">
        <v>57</v>
      </c>
      <c r="F19" s="1487"/>
      <c r="G19" s="1391"/>
      <c r="H19" s="1390" t="s">
        <v>57</v>
      </c>
      <c r="I19" s="1487"/>
      <c r="J19" s="1391"/>
    </row>
    <row r="20" spans="1:10" ht="24.75" customHeight="1">
      <c r="A20" s="332">
        <v>2013</v>
      </c>
      <c r="B20" s="1390">
        <v>443</v>
      </c>
      <c r="C20" s="1487"/>
      <c r="D20" s="1391"/>
      <c r="E20" s="1390" t="s">
        <v>57</v>
      </c>
      <c r="F20" s="1487"/>
      <c r="G20" s="1391"/>
      <c r="H20" s="1390" t="s">
        <v>57</v>
      </c>
      <c r="I20" s="1487"/>
      <c r="J20" s="1391"/>
    </row>
    <row r="21" spans="1:10" ht="24.75" customHeight="1">
      <c r="A21" s="336">
        <v>2014</v>
      </c>
      <c r="B21" s="1405">
        <v>443</v>
      </c>
      <c r="C21" s="1486"/>
      <c r="D21" s="1406"/>
      <c r="E21" s="1405" t="s">
        <v>57</v>
      </c>
      <c r="F21" s="1486"/>
      <c r="G21" s="1406"/>
      <c r="H21" s="1405" t="s">
        <v>57</v>
      </c>
      <c r="I21" s="1486"/>
      <c r="J21" s="1406"/>
    </row>
    <row r="22" spans="1:10">
      <c r="A22" s="1843"/>
      <c r="B22" s="1844"/>
      <c r="C22" s="188"/>
      <c r="D22" s="49"/>
      <c r="E22" s="49"/>
      <c r="F22" s="359"/>
      <c r="G22" s="359"/>
      <c r="H22" s="359"/>
      <c r="I22" s="359"/>
      <c r="J22" s="360" t="s">
        <v>292</v>
      </c>
    </row>
    <row r="23" spans="1:10">
      <c r="A23" s="49"/>
      <c r="B23" s="49"/>
      <c r="C23" s="159"/>
      <c r="D23" s="49"/>
      <c r="E23" s="49"/>
      <c r="F23" s="49"/>
      <c r="G23" s="49"/>
      <c r="H23" s="49"/>
      <c r="I23" s="49"/>
    </row>
    <row r="24" spans="1:10" ht="9" customHeight="1">
      <c r="A24" s="49"/>
      <c r="B24" s="49"/>
      <c r="C24" s="159"/>
      <c r="D24" s="49"/>
      <c r="E24" s="49"/>
      <c r="F24" s="49"/>
      <c r="G24" s="49"/>
      <c r="H24" s="49"/>
      <c r="I24" s="49"/>
      <c r="J24" s="177"/>
    </row>
    <row r="25" spans="1:10" ht="12.75" customHeight="1">
      <c r="A25" s="1659" t="s">
        <v>864</v>
      </c>
      <c r="B25" s="1659"/>
      <c r="C25" s="1659"/>
      <c r="D25" s="1659"/>
      <c r="E25" s="1659"/>
      <c r="F25" s="1659"/>
      <c r="G25" s="1659"/>
      <c r="H25" s="1659"/>
      <c r="I25" s="1659"/>
      <c r="J25" s="1659"/>
    </row>
    <row r="26" spans="1:10" ht="17.25" customHeight="1">
      <c r="A26" s="1839" t="str">
        <f>CONCATENATE("Progress in Tourism in the district of ",District!$A$1)</f>
        <v>Progress in Tourism in the district of Purulia</v>
      </c>
      <c r="B26" s="1839"/>
      <c r="C26" s="1839"/>
      <c r="D26" s="1839"/>
      <c r="E26" s="1839"/>
      <c r="F26" s="1839"/>
      <c r="G26" s="1839"/>
      <c r="H26" s="1839"/>
      <c r="I26" s="1839"/>
      <c r="J26" s="1839"/>
    </row>
    <row r="27" spans="1:10" ht="53.25" customHeight="1">
      <c r="A27" s="150" t="s">
        <v>951</v>
      </c>
      <c r="B27" s="273" t="s">
        <v>755</v>
      </c>
      <c r="C27" s="271" t="s">
        <v>756</v>
      </c>
      <c r="D27" s="1793" t="s">
        <v>423</v>
      </c>
      <c r="E27" s="1794"/>
      <c r="F27" s="1793" t="s">
        <v>104</v>
      </c>
      <c r="G27" s="1794"/>
      <c r="H27" s="1827" t="s">
        <v>424</v>
      </c>
      <c r="I27" s="1794"/>
      <c r="J27" s="285" t="s">
        <v>337</v>
      </c>
    </row>
    <row r="28" spans="1:10" ht="21" customHeight="1">
      <c r="A28" s="293" t="s">
        <v>1008</v>
      </c>
      <c r="B28" s="329" t="s">
        <v>1009</v>
      </c>
      <c r="C28" s="277" t="s">
        <v>1010</v>
      </c>
      <c r="D28" s="1675" t="s">
        <v>1011</v>
      </c>
      <c r="E28" s="1699"/>
      <c r="F28" s="1732" t="s">
        <v>1015</v>
      </c>
      <c r="G28" s="1699"/>
      <c r="H28" s="1675" t="s">
        <v>1016</v>
      </c>
      <c r="I28" s="1699"/>
      <c r="J28" s="293" t="s">
        <v>1017</v>
      </c>
    </row>
    <row r="29" spans="1:10" ht="24.75" customHeight="1">
      <c r="A29" s="243" t="s">
        <v>1474</v>
      </c>
      <c r="B29" s="101">
        <v>257</v>
      </c>
      <c r="C29" s="101">
        <v>514</v>
      </c>
      <c r="D29" s="1704">
        <v>4712</v>
      </c>
      <c r="E29" s="1705"/>
      <c r="F29" s="1704">
        <v>19</v>
      </c>
      <c r="G29" s="1705"/>
      <c r="H29" s="1704">
        <v>4821</v>
      </c>
      <c r="I29" s="1705"/>
      <c r="J29" s="101">
        <v>854</v>
      </c>
    </row>
    <row r="30" spans="1:10" ht="24.75" customHeight="1">
      <c r="A30" s="243" t="s">
        <v>1525</v>
      </c>
      <c r="B30" s="99">
        <v>31</v>
      </c>
      <c r="C30" s="99">
        <v>62</v>
      </c>
      <c r="D30" s="1694">
        <v>500</v>
      </c>
      <c r="E30" s="1695"/>
      <c r="F30" s="1694">
        <v>26</v>
      </c>
      <c r="G30" s="1695"/>
      <c r="H30" s="1694">
        <v>368</v>
      </c>
      <c r="I30" s="1695"/>
      <c r="J30" s="99">
        <v>294</v>
      </c>
    </row>
    <row r="31" spans="1:10" ht="24.75" customHeight="1">
      <c r="A31" s="243" t="s">
        <v>1051</v>
      </c>
      <c r="B31" s="99">
        <v>85</v>
      </c>
      <c r="C31" s="99">
        <v>170</v>
      </c>
      <c r="D31" s="1694">
        <v>531</v>
      </c>
      <c r="E31" s="1695"/>
      <c r="F31" s="1694">
        <v>26</v>
      </c>
      <c r="G31" s="1695"/>
      <c r="H31" s="1694">
        <v>570</v>
      </c>
      <c r="I31" s="1695"/>
      <c r="J31" s="99">
        <v>333</v>
      </c>
    </row>
    <row r="32" spans="1:10" ht="24.75" customHeight="1">
      <c r="A32" s="243" t="s">
        <v>1250</v>
      </c>
      <c r="B32" s="99">
        <v>378</v>
      </c>
      <c r="C32" s="99">
        <v>250</v>
      </c>
      <c r="D32" s="1694">
        <v>4842</v>
      </c>
      <c r="E32" s="1695"/>
      <c r="F32" s="1694">
        <v>26</v>
      </c>
      <c r="G32" s="1695"/>
      <c r="H32" s="1694">
        <v>5077</v>
      </c>
      <c r="I32" s="1695"/>
      <c r="J32" s="99">
        <v>956</v>
      </c>
    </row>
    <row r="33" spans="1:10" ht="24.75" customHeight="1">
      <c r="A33" s="314" t="s">
        <v>527</v>
      </c>
      <c r="B33" s="89">
        <v>1888</v>
      </c>
      <c r="C33" s="89">
        <v>301</v>
      </c>
      <c r="D33" s="1689">
        <v>14060</v>
      </c>
      <c r="E33" s="1690"/>
      <c r="F33" s="1689">
        <v>20</v>
      </c>
      <c r="G33" s="1690"/>
      <c r="H33" s="1689">
        <v>8351</v>
      </c>
      <c r="I33" s="1690"/>
      <c r="J33" s="89">
        <v>2766</v>
      </c>
    </row>
    <row r="34" spans="1:10">
      <c r="A34" s="330"/>
      <c r="B34" s="330"/>
      <c r="C34" s="305"/>
      <c r="D34" s="318"/>
      <c r="E34" s="565" t="s">
        <v>776</v>
      </c>
      <c r="F34" s="564" t="s">
        <v>386</v>
      </c>
      <c r="G34" s="330"/>
      <c r="H34" s="330"/>
      <c r="I34" s="330"/>
      <c r="J34" s="330"/>
    </row>
    <row r="35" spans="1:10">
      <c r="B35" s="330"/>
      <c r="C35" s="330"/>
      <c r="D35" s="305"/>
      <c r="E35" s="562" t="s">
        <v>782</v>
      </c>
      <c r="F35" s="564" t="s">
        <v>387</v>
      </c>
      <c r="G35" s="330"/>
      <c r="H35" s="330"/>
      <c r="I35" s="330"/>
      <c r="J35" s="330"/>
    </row>
    <row r="36" spans="1:10">
      <c r="A36" s="330"/>
      <c r="B36" s="330"/>
      <c r="C36" s="330"/>
      <c r="D36" s="305"/>
      <c r="E36" s="560"/>
      <c r="F36" s="349" t="s">
        <v>1406</v>
      </c>
      <c r="G36" s="330"/>
      <c r="H36" s="330"/>
      <c r="I36" s="330"/>
      <c r="J36" s="330"/>
    </row>
    <row r="37" spans="1:10">
      <c r="A37" s="305"/>
      <c r="B37" s="305"/>
      <c r="C37" s="305"/>
      <c r="D37" s="305"/>
      <c r="E37" s="305"/>
      <c r="F37" s="305"/>
      <c r="G37" s="305"/>
      <c r="H37" s="305"/>
      <c r="I37" s="305"/>
      <c r="J37" s="305"/>
    </row>
    <row r="38" spans="1:10">
      <c r="A38" s="305"/>
      <c r="B38" s="305"/>
      <c r="C38" s="305"/>
      <c r="D38" s="305"/>
      <c r="E38" s="305"/>
      <c r="F38" s="305"/>
      <c r="G38" s="305"/>
      <c r="H38" s="305"/>
      <c r="I38" s="305"/>
      <c r="J38" s="305"/>
    </row>
  </sheetData>
  <mergeCells count="70">
    <mergeCell ref="E9:G9"/>
    <mergeCell ref="B15:D15"/>
    <mergeCell ref="B6:D6"/>
    <mergeCell ref="E7:G7"/>
    <mergeCell ref="B21:D21"/>
    <mergeCell ref="A12:J12"/>
    <mergeCell ref="H16:J16"/>
    <mergeCell ref="E17:G17"/>
    <mergeCell ref="H15:J15"/>
    <mergeCell ref="H17:J17"/>
    <mergeCell ref="B16:D16"/>
    <mergeCell ref="E15:G15"/>
    <mergeCell ref="E16:G16"/>
    <mergeCell ref="A13:J13"/>
    <mergeCell ref="H4:J4"/>
    <mergeCell ref="D31:E31"/>
    <mergeCell ref="H29:I29"/>
    <mergeCell ref="H30:I30"/>
    <mergeCell ref="H31:I31"/>
    <mergeCell ref="H9:J9"/>
    <mergeCell ref="E4:G4"/>
    <mergeCell ref="B4:D4"/>
    <mergeCell ref="H21:J21"/>
    <mergeCell ref="H18:J18"/>
    <mergeCell ref="H19:J19"/>
    <mergeCell ref="E21:G21"/>
    <mergeCell ref="H20:J20"/>
    <mergeCell ref="E20:G20"/>
    <mergeCell ref="A22:B22"/>
    <mergeCell ref="B20:D20"/>
    <mergeCell ref="A1:J1"/>
    <mergeCell ref="H3:J3"/>
    <mergeCell ref="E3:G3"/>
    <mergeCell ref="B3:D3"/>
    <mergeCell ref="A2:J2"/>
    <mergeCell ref="H5:J5"/>
    <mergeCell ref="H8:J8"/>
    <mergeCell ref="H7:J7"/>
    <mergeCell ref="B19:D19"/>
    <mergeCell ref="B18:D18"/>
    <mergeCell ref="E18:G18"/>
    <mergeCell ref="E19:G19"/>
    <mergeCell ref="B5:D5"/>
    <mergeCell ref="B8:D8"/>
    <mergeCell ref="E8:G8"/>
    <mergeCell ref="E5:G5"/>
    <mergeCell ref="B17:D17"/>
    <mergeCell ref="H6:J6"/>
    <mergeCell ref="B7:D7"/>
    <mergeCell ref="E6:G6"/>
    <mergeCell ref="B9:D9"/>
    <mergeCell ref="A25:J25"/>
    <mergeCell ref="H28:I28"/>
    <mergeCell ref="A26:J26"/>
    <mergeCell ref="F27:G27"/>
    <mergeCell ref="D30:E30"/>
    <mergeCell ref="F29:G29"/>
    <mergeCell ref="F30:G30"/>
    <mergeCell ref="D28:E28"/>
    <mergeCell ref="F28:G28"/>
    <mergeCell ref="H33:I33"/>
    <mergeCell ref="F33:G33"/>
    <mergeCell ref="D27:E27"/>
    <mergeCell ref="F32:G32"/>
    <mergeCell ref="D32:E32"/>
    <mergeCell ref="D29:E29"/>
    <mergeCell ref="H27:I27"/>
    <mergeCell ref="D33:E33"/>
    <mergeCell ref="H32:I32"/>
    <mergeCell ref="F31:G31"/>
  </mergeCells>
  <phoneticPr fontId="0" type="noConversion"/>
  <printOptions horizontalCentered="1" verticalCentered="1"/>
  <pageMargins left="0.1" right="0.1" top="0.19" bottom="0.1" header="0.17" footer="0.1"/>
  <pageSetup paperSize="9" orientation="portrait" blackAndWhite="1" r:id="rId1"/>
  <headerFooter alignWithMargins="0"/>
</worksheet>
</file>

<file path=xl/worksheets/sheet7.xml><?xml version="1.0" encoding="utf-8"?>
<worksheet xmlns="http://schemas.openxmlformats.org/spreadsheetml/2006/main" xmlns:r="http://schemas.openxmlformats.org/officeDocument/2006/relationships">
  <sheetPr codeName="Sheet5"/>
  <dimension ref="A1:L41"/>
  <sheetViews>
    <sheetView zoomScaleNormal="90" workbookViewId="0">
      <selection activeCell="F14" sqref="F14"/>
    </sheetView>
  </sheetViews>
  <sheetFormatPr defaultRowHeight="12.75"/>
  <cols>
    <col min="1" max="1" width="15.5703125" style="753" customWidth="1"/>
    <col min="2" max="11" width="11.28515625" style="753" customWidth="1"/>
    <col min="12" max="16384" width="9.140625" style="753"/>
  </cols>
  <sheetData>
    <row r="1" spans="1:12" ht="12" customHeight="1">
      <c r="A1" s="1399" t="s">
        <v>924</v>
      </c>
      <c r="B1" s="1399"/>
      <c r="C1" s="1399"/>
      <c r="D1" s="1399"/>
      <c r="E1" s="1399"/>
      <c r="F1" s="1399"/>
      <c r="G1" s="1399"/>
      <c r="H1" s="1399"/>
      <c r="I1" s="1399"/>
      <c r="J1" s="1399"/>
      <c r="K1" s="1399"/>
    </row>
    <row r="2" spans="1:12" ht="13.5" customHeight="1">
      <c r="A2" s="1394" t="str">
        <f>CONCATENATE("Maximum and Minimum Temperature by month in the district of ",District!$A$1)</f>
        <v>Maximum and Minimum Temperature by month in the district of Purulia</v>
      </c>
      <c r="B2" s="1394"/>
      <c r="C2" s="1394"/>
      <c r="D2" s="1394"/>
      <c r="E2" s="1394"/>
      <c r="F2" s="1394"/>
      <c r="G2" s="1394"/>
      <c r="H2" s="1394"/>
      <c r="I2" s="1394"/>
      <c r="J2" s="1394"/>
      <c r="K2" s="1394"/>
    </row>
    <row r="3" spans="1:12">
      <c r="A3" s="1236" t="s">
        <v>1247</v>
      </c>
      <c r="B3" s="210"/>
      <c r="C3" s="30"/>
      <c r="D3" s="30"/>
      <c r="E3" s="30"/>
      <c r="F3" s="30"/>
      <c r="G3" s="30"/>
      <c r="H3" s="30"/>
      <c r="I3" s="30"/>
      <c r="J3" s="210"/>
      <c r="K3" s="198" t="s">
        <v>602</v>
      </c>
    </row>
    <row r="4" spans="1:12" ht="14.1" customHeight="1">
      <c r="A4" s="1410" t="s">
        <v>1018</v>
      </c>
      <c r="B4" s="1407">
        <v>2010</v>
      </c>
      <c r="C4" s="1401"/>
      <c r="D4" s="1407">
        <v>2011</v>
      </c>
      <c r="E4" s="1401"/>
      <c r="F4" s="1407">
        <v>2012</v>
      </c>
      <c r="G4" s="1401"/>
      <c r="H4" s="1407">
        <v>2013</v>
      </c>
      <c r="I4" s="1401"/>
      <c r="J4" s="1407">
        <v>2014</v>
      </c>
      <c r="K4" s="1401"/>
      <c r="L4" s="902"/>
    </row>
    <row r="5" spans="1:12" ht="14.1" customHeight="1">
      <c r="A5" s="1411"/>
      <c r="B5" s="1356" t="s">
        <v>1672</v>
      </c>
      <c r="C5" s="1357" t="s">
        <v>1673</v>
      </c>
      <c r="D5" s="1356" t="s">
        <v>1672</v>
      </c>
      <c r="E5" s="1357" t="s">
        <v>1673</v>
      </c>
      <c r="F5" s="1356" t="s">
        <v>1672</v>
      </c>
      <c r="G5" s="1357" t="s">
        <v>1673</v>
      </c>
      <c r="H5" s="1356" t="s">
        <v>1672</v>
      </c>
      <c r="I5" s="1357" t="s">
        <v>1673</v>
      </c>
      <c r="J5" s="1356" t="s">
        <v>1672</v>
      </c>
      <c r="K5" s="1357" t="s">
        <v>1673</v>
      </c>
      <c r="L5" s="902"/>
    </row>
    <row r="6" spans="1:12" ht="14.1" customHeight="1">
      <c r="A6" s="739" t="s">
        <v>1008</v>
      </c>
      <c r="B6" s="597" t="s">
        <v>1009</v>
      </c>
      <c r="C6" s="598" t="s">
        <v>1010</v>
      </c>
      <c r="D6" s="596" t="s">
        <v>1011</v>
      </c>
      <c r="E6" s="598" t="s">
        <v>1015</v>
      </c>
      <c r="F6" s="596" t="s">
        <v>1016</v>
      </c>
      <c r="G6" s="598" t="s">
        <v>1017</v>
      </c>
      <c r="H6" s="596" t="s">
        <v>1039</v>
      </c>
      <c r="I6" s="598" t="s">
        <v>1040</v>
      </c>
      <c r="J6" s="596" t="s">
        <v>1041</v>
      </c>
      <c r="K6" s="598" t="s">
        <v>1042</v>
      </c>
      <c r="L6" s="902"/>
    </row>
    <row r="7" spans="1:12" ht="14.1" customHeight="1">
      <c r="A7" s="448" t="s">
        <v>1021</v>
      </c>
      <c r="B7" s="141">
        <v>31</v>
      </c>
      <c r="C7" s="140">
        <v>8</v>
      </c>
      <c r="D7" s="141">
        <v>31</v>
      </c>
      <c r="E7" s="140">
        <v>6</v>
      </c>
      <c r="F7" s="141">
        <v>30</v>
      </c>
      <c r="G7" s="140">
        <v>7</v>
      </c>
      <c r="H7" s="141">
        <v>31</v>
      </c>
      <c r="I7" s="140">
        <v>5</v>
      </c>
      <c r="J7" s="141">
        <v>29</v>
      </c>
      <c r="K7" s="140">
        <v>9</v>
      </c>
      <c r="L7" s="902"/>
    </row>
    <row r="8" spans="1:12" ht="14.1" customHeight="1">
      <c r="A8" s="448" t="s">
        <v>1022</v>
      </c>
      <c r="B8" s="141">
        <v>34</v>
      </c>
      <c r="C8" s="140">
        <v>11</v>
      </c>
      <c r="D8" s="141">
        <v>37</v>
      </c>
      <c r="E8" s="140">
        <v>9</v>
      </c>
      <c r="F8" s="141">
        <v>37</v>
      </c>
      <c r="G8" s="140">
        <v>10</v>
      </c>
      <c r="H8" s="141">
        <v>33</v>
      </c>
      <c r="I8" s="140">
        <v>10</v>
      </c>
      <c r="J8" s="141">
        <v>34</v>
      </c>
      <c r="K8" s="140">
        <v>11</v>
      </c>
      <c r="L8" s="902"/>
    </row>
    <row r="9" spans="1:12" ht="14.1" customHeight="1">
      <c r="A9" s="448" t="s">
        <v>1023</v>
      </c>
      <c r="B9" s="141">
        <v>43</v>
      </c>
      <c r="C9" s="140">
        <v>18</v>
      </c>
      <c r="D9" s="141">
        <v>41</v>
      </c>
      <c r="E9" s="140">
        <v>10</v>
      </c>
      <c r="F9" s="141">
        <v>41</v>
      </c>
      <c r="G9" s="140">
        <v>15</v>
      </c>
      <c r="H9" s="141">
        <v>39</v>
      </c>
      <c r="I9" s="140">
        <v>13</v>
      </c>
      <c r="J9" s="141">
        <v>39</v>
      </c>
      <c r="K9" s="140">
        <v>16</v>
      </c>
      <c r="L9" s="902"/>
    </row>
    <row r="10" spans="1:12" ht="14.1" customHeight="1">
      <c r="A10" s="448" t="s">
        <v>1024</v>
      </c>
      <c r="B10" s="141">
        <v>46</v>
      </c>
      <c r="C10" s="140">
        <v>20</v>
      </c>
      <c r="D10" s="141">
        <v>40</v>
      </c>
      <c r="E10" s="140">
        <v>17</v>
      </c>
      <c r="F10" s="141">
        <v>42</v>
      </c>
      <c r="G10" s="140">
        <v>17</v>
      </c>
      <c r="H10" s="141">
        <v>45</v>
      </c>
      <c r="I10" s="140">
        <v>18</v>
      </c>
      <c r="J10" s="141">
        <v>44</v>
      </c>
      <c r="K10" s="140">
        <v>21</v>
      </c>
      <c r="L10" s="902"/>
    </row>
    <row r="11" spans="1:12" ht="14.1" customHeight="1">
      <c r="A11" s="448" t="s">
        <v>1026</v>
      </c>
      <c r="B11" s="141">
        <v>41</v>
      </c>
      <c r="C11" s="140">
        <v>21</v>
      </c>
      <c r="D11" s="141">
        <v>39</v>
      </c>
      <c r="E11" s="140">
        <v>19</v>
      </c>
      <c r="F11" s="141">
        <v>46</v>
      </c>
      <c r="G11" s="140">
        <v>20</v>
      </c>
      <c r="H11" s="141">
        <v>44</v>
      </c>
      <c r="I11" s="140">
        <v>20</v>
      </c>
      <c r="J11" s="141">
        <v>45</v>
      </c>
      <c r="K11" s="140">
        <v>21</v>
      </c>
      <c r="L11" s="902"/>
    </row>
    <row r="12" spans="1:12" ht="14.1" customHeight="1">
      <c r="A12" s="448" t="s">
        <v>1027</v>
      </c>
      <c r="B12" s="141">
        <v>43</v>
      </c>
      <c r="C12" s="140">
        <v>21</v>
      </c>
      <c r="D12" s="141">
        <v>39</v>
      </c>
      <c r="E12" s="140">
        <v>21</v>
      </c>
      <c r="F12" s="141">
        <v>46</v>
      </c>
      <c r="G12" s="140">
        <v>20</v>
      </c>
      <c r="H12" s="141">
        <v>37</v>
      </c>
      <c r="I12" s="140">
        <v>22</v>
      </c>
      <c r="J12" s="141">
        <v>44</v>
      </c>
      <c r="K12" s="140">
        <v>18</v>
      </c>
      <c r="L12" s="902"/>
    </row>
    <row r="13" spans="1:12" ht="14.1" customHeight="1">
      <c r="A13" s="448" t="s">
        <v>1028</v>
      </c>
      <c r="B13" s="141">
        <v>36</v>
      </c>
      <c r="C13" s="140">
        <v>22</v>
      </c>
      <c r="D13" s="141">
        <v>36</v>
      </c>
      <c r="E13" s="140">
        <v>20</v>
      </c>
      <c r="F13" s="141">
        <v>40</v>
      </c>
      <c r="G13" s="140">
        <v>22</v>
      </c>
      <c r="H13" s="141">
        <v>37</v>
      </c>
      <c r="I13" s="140">
        <v>23</v>
      </c>
      <c r="J13" s="141">
        <v>36</v>
      </c>
      <c r="K13" s="140">
        <v>24</v>
      </c>
      <c r="L13" s="902"/>
    </row>
    <row r="14" spans="1:12" ht="14.1" customHeight="1">
      <c r="A14" s="448" t="s">
        <v>1029</v>
      </c>
      <c r="B14" s="141">
        <v>37</v>
      </c>
      <c r="C14" s="140">
        <v>22</v>
      </c>
      <c r="D14" s="141">
        <v>36</v>
      </c>
      <c r="E14" s="140">
        <v>20</v>
      </c>
      <c r="F14" s="141">
        <v>35</v>
      </c>
      <c r="G14" s="140">
        <v>24</v>
      </c>
      <c r="H14" s="141">
        <v>36</v>
      </c>
      <c r="I14" s="140">
        <v>22</v>
      </c>
      <c r="J14" s="141">
        <v>36</v>
      </c>
      <c r="K14" s="140">
        <v>25</v>
      </c>
      <c r="L14" s="902"/>
    </row>
    <row r="15" spans="1:12" ht="14.1" customHeight="1">
      <c r="A15" s="448" t="s">
        <v>1030</v>
      </c>
      <c r="B15" s="141">
        <v>35</v>
      </c>
      <c r="C15" s="140">
        <v>19</v>
      </c>
      <c r="D15" s="141">
        <v>35</v>
      </c>
      <c r="E15" s="140">
        <v>21</v>
      </c>
      <c r="F15" s="141" t="s">
        <v>970</v>
      </c>
      <c r="G15" s="140" t="s">
        <v>970</v>
      </c>
      <c r="H15" s="141">
        <v>36</v>
      </c>
      <c r="I15" s="140">
        <v>23</v>
      </c>
      <c r="J15" s="141">
        <v>37</v>
      </c>
      <c r="K15" s="140">
        <v>23</v>
      </c>
      <c r="L15" s="902"/>
    </row>
    <row r="16" spans="1:12" ht="14.1" customHeight="1">
      <c r="A16" s="448" t="s">
        <v>1031</v>
      </c>
      <c r="B16" s="141">
        <v>36</v>
      </c>
      <c r="C16" s="140">
        <v>16</v>
      </c>
      <c r="D16" s="141">
        <v>34</v>
      </c>
      <c r="E16" s="140">
        <v>18</v>
      </c>
      <c r="F16" s="141">
        <v>36</v>
      </c>
      <c r="G16" s="140">
        <v>17</v>
      </c>
      <c r="H16" s="141">
        <v>35</v>
      </c>
      <c r="I16" s="140">
        <v>12</v>
      </c>
      <c r="J16" s="141">
        <v>35</v>
      </c>
      <c r="K16" s="140">
        <v>19</v>
      </c>
    </row>
    <row r="17" spans="1:12" ht="14.1" customHeight="1">
      <c r="A17" s="448" t="s">
        <v>1032</v>
      </c>
      <c r="B17" s="141">
        <v>35</v>
      </c>
      <c r="C17" s="140">
        <v>11</v>
      </c>
      <c r="D17" s="141">
        <v>33</v>
      </c>
      <c r="E17" s="140">
        <v>15</v>
      </c>
      <c r="F17" s="141">
        <v>33</v>
      </c>
      <c r="G17" s="140">
        <v>12</v>
      </c>
      <c r="H17" s="141">
        <v>32</v>
      </c>
      <c r="I17" s="140">
        <v>14</v>
      </c>
      <c r="J17" s="141">
        <v>33</v>
      </c>
      <c r="K17" s="140">
        <v>13</v>
      </c>
      <c r="L17" s="902"/>
    </row>
    <row r="18" spans="1:12" ht="14.1" customHeight="1">
      <c r="A18" s="722" t="s">
        <v>1033</v>
      </c>
      <c r="B18" s="141">
        <v>31</v>
      </c>
      <c r="C18" s="140">
        <v>6</v>
      </c>
      <c r="D18" s="141">
        <v>31</v>
      </c>
      <c r="E18" s="140">
        <v>8</v>
      </c>
      <c r="F18" s="141">
        <v>32</v>
      </c>
      <c r="G18" s="140">
        <v>7</v>
      </c>
      <c r="H18" s="141">
        <v>30</v>
      </c>
      <c r="I18" s="140">
        <v>10</v>
      </c>
      <c r="J18" s="141">
        <v>32</v>
      </c>
      <c r="K18" s="140">
        <v>8</v>
      </c>
      <c r="L18" s="902"/>
    </row>
    <row r="19" spans="1:12" ht="14.1" customHeight="1">
      <c r="A19" s="1240" t="s">
        <v>1045</v>
      </c>
      <c r="B19" s="498">
        <f>MAX(B7:B18)</f>
        <v>46</v>
      </c>
      <c r="C19" s="499">
        <f>MIN(C7:C18)</f>
        <v>6</v>
      </c>
      <c r="D19" s="498">
        <f>MAX(D7:D18)</f>
        <v>41</v>
      </c>
      <c r="E19" s="499">
        <f>MIN(E7:E18)</f>
        <v>6</v>
      </c>
      <c r="F19" s="498">
        <f>MAX(F7:F18)</f>
        <v>46</v>
      </c>
      <c r="G19" s="499">
        <f>MIN(G7:G18)</f>
        <v>7</v>
      </c>
      <c r="H19" s="498">
        <f>MAX(H7:H18)</f>
        <v>45</v>
      </c>
      <c r="I19" s="499">
        <f>MIN(I7:I18)</f>
        <v>5</v>
      </c>
      <c r="J19" s="498">
        <f>MAX(J7:J18)</f>
        <v>45</v>
      </c>
      <c r="K19" s="499">
        <f>MIN(K7:K18)</f>
        <v>8</v>
      </c>
      <c r="L19" s="902"/>
    </row>
    <row r="20" spans="1:12">
      <c r="G20" s="210"/>
      <c r="H20" s="210"/>
      <c r="I20" s="210"/>
      <c r="J20" s="210"/>
      <c r="K20" s="545" t="s">
        <v>797</v>
      </c>
      <c r="L20" s="902"/>
    </row>
    <row r="21" spans="1:12" ht="8.25" customHeight="1">
      <c r="G21" s="210"/>
      <c r="H21" s="210"/>
      <c r="I21" s="210"/>
      <c r="J21" s="210"/>
      <c r="K21" s="198"/>
      <c r="L21" s="902"/>
    </row>
    <row r="22" spans="1:12" ht="13.5" customHeight="1">
      <c r="A22" s="1399" t="s">
        <v>923</v>
      </c>
      <c r="B22" s="1399"/>
      <c r="C22" s="1399"/>
      <c r="D22" s="1399"/>
      <c r="E22" s="1399"/>
      <c r="F22" s="1399"/>
      <c r="G22" s="1399"/>
      <c r="H22" s="1399"/>
      <c r="I22" s="1399"/>
      <c r="J22" s="1399"/>
      <c r="K22" s="1399"/>
    </row>
    <row r="23" spans="1:12" ht="13.5" customHeight="1">
      <c r="A23" s="1394" t="str">
        <f>CONCATENATE("Mean Maximum and Mean Minimum Temperature by month in the district of ",District!$A$1)</f>
        <v>Mean Maximum and Mean Minimum Temperature by month in the district of Purulia</v>
      </c>
      <c r="B23" s="1394"/>
      <c r="C23" s="1394"/>
      <c r="D23" s="1394"/>
      <c r="E23" s="1394"/>
      <c r="F23" s="1394"/>
      <c r="G23" s="1394"/>
      <c r="H23" s="1394"/>
      <c r="I23" s="1394"/>
      <c r="J23" s="1394"/>
      <c r="K23" s="1413"/>
    </row>
    <row r="24" spans="1:12" ht="14.1" customHeight="1">
      <c r="A24" s="1236" t="s">
        <v>1247</v>
      </c>
      <c r="B24" s="755"/>
      <c r="C24" s="755"/>
      <c r="D24" s="755"/>
      <c r="E24" s="755"/>
      <c r="F24" s="755"/>
      <c r="G24" s="755"/>
      <c r="H24" s="755"/>
      <c r="I24" s="210"/>
      <c r="J24" s="210"/>
      <c r="K24" s="198" t="s">
        <v>1043</v>
      </c>
    </row>
    <row r="25" spans="1:12" ht="14.1" customHeight="1">
      <c r="A25" s="1410" t="s">
        <v>1018</v>
      </c>
      <c r="B25" s="1407">
        <v>2010</v>
      </c>
      <c r="C25" s="1401"/>
      <c r="D25" s="1407">
        <v>2011</v>
      </c>
      <c r="E25" s="1401"/>
      <c r="F25" s="1407">
        <v>2012</v>
      </c>
      <c r="G25" s="1401"/>
      <c r="H25" s="1407">
        <v>2013</v>
      </c>
      <c r="I25" s="1401"/>
      <c r="J25" s="1407">
        <v>2014</v>
      </c>
      <c r="K25" s="1401"/>
    </row>
    <row r="26" spans="1:12" ht="14.1" customHeight="1">
      <c r="A26" s="1412"/>
      <c r="B26" s="125" t="s">
        <v>1044</v>
      </c>
      <c r="C26" s="124" t="s">
        <v>1044</v>
      </c>
      <c r="D26" s="125" t="s">
        <v>1044</v>
      </c>
      <c r="E26" s="124" t="s">
        <v>1044</v>
      </c>
      <c r="F26" s="125" t="s">
        <v>1044</v>
      </c>
      <c r="G26" s="124" t="s">
        <v>1044</v>
      </c>
      <c r="H26" s="125" t="s">
        <v>1044</v>
      </c>
      <c r="I26" s="124" t="s">
        <v>1044</v>
      </c>
      <c r="J26" s="123" t="s">
        <v>1044</v>
      </c>
      <c r="K26" s="124" t="s">
        <v>1044</v>
      </c>
    </row>
    <row r="27" spans="1:12" ht="14.1" customHeight="1">
      <c r="A27" s="1411"/>
      <c r="B27" s="587" t="s">
        <v>1036</v>
      </c>
      <c r="C27" s="127" t="s">
        <v>1038</v>
      </c>
      <c r="D27" s="587" t="s">
        <v>1036</v>
      </c>
      <c r="E27" s="127" t="s">
        <v>1038</v>
      </c>
      <c r="F27" s="587" t="s">
        <v>1036</v>
      </c>
      <c r="G27" s="127" t="s">
        <v>1038</v>
      </c>
      <c r="H27" s="587" t="s">
        <v>1036</v>
      </c>
      <c r="I27" s="127" t="s">
        <v>1038</v>
      </c>
      <c r="J27" s="129" t="s">
        <v>1036</v>
      </c>
      <c r="K27" s="127" t="s">
        <v>1038</v>
      </c>
    </row>
    <row r="28" spans="1:12" ht="14.1" customHeight="1">
      <c r="A28" s="596" t="s">
        <v>1008</v>
      </c>
      <c r="B28" s="596" t="s">
        <v>1009</v>
      </c>
      <c r="C28" s="598" t="s">
        <v>1010</v>
      </c>
      <c r="D28" s="596" t="s">
        <v>1011</v>
      </c>
      <c r="E28" s="598" t="s">
        <v>1015</v>
      </c>
      <c r="F28" s="596" t="s">
        <v>1016</v>
      </c>
      <c r="G28" s="598" t="s">
        <v>1017</v>
      </c>
      <c r="H28" s="596" t="s">
        <v>1039</v>
      </c>
      <c r="I28" s="598" t="s">
        <v>1040</v>
      </c>
      <c r="J28" s="597" t="s">
        <v>1041</v>
      </c>
      <c r="K28" s="598" t="s">
        <v>1042</v>
      </c>
    </row>
    <row r="29" spans="1:12" ht="14.1" customHeight="1">
      <c r="A29" s="1128" t="s">
        <v>1021</v>
      </c>
      <c r="B29" s="704">
        <v>26</v>
      </c>
      <c r="C29" s="433">
        <v>10</v>
      </c>
      <c r="D29" s="704">
        <v>26</v>
      </c>
      <c r="E29" s="433">
        <v>8</v>
      </c>
      <c r="F29" s="704">
        <v>25</v>
      </c>
      <c r="G29" s="433">
        <v>13</v>
      </c>
      <c r="H29" s="704">
        <v>25</v>
      </c>
      <c r="I29" s="433">
        <v>10</v>
      </c>
      <c r="J29" s="704">
        <v>26</v>
      </c>
      <c r="K29" s="433">
        <v>13</v>
      </c>
    </row>
    <row r="30" spans="1:12" ht="14.1" customHeight="1">
      <c r="A30" s="448" t="s">
        <v>1022</v>
      </c>
      <c r="B30" s="125">
        <v>31</v>
      </c>
      <c r="C30" s="124">
        <v>15</v>
      </c>
      <c r="D30" s="125">
        <v>31</v>
      </c>
      <c r="E30" s="124">
        <v>12</v>
      </c>
      <c r="F30" s="125">
        <v>31</v>
      </c>
      <c r="G30" s="124">
        <v>15</v>
      </c>
      <c r="H30" s="125">
        <v>29</v>
      </c>
      <c r="I30" s="124">
        <v>14</v>
      </c>
      <c r="J30" s="125">
        <v>29</v>
      </c>
      <c r="K30" s="124">
        <v>15</v>
      </c>
    </row>
    <row r="31" spans="1:12" ht="14.1" customHeight="1">
      <c r="A31" s="448" t="s">
        <v>1023</v>
      </c>
      <c r="B31" s="125">
        <v>38</v>
      </c>
      <c r="C31" s="124">
        <v>21</v>
      </c>
      <c r="D31" s="125">
        <v>36</v>
      </c>
      <c r="E31" s="124">
        <v>18</v>
      </c>
      <c r="F31" s="125">
        <v>36</v>
      </c>
      <c r="G31" s="124">
        <v>19</v>
      </c>
      <c r="H31" s="125">
        <v>36</v>
      </c>
      <c r="I31" s="124">
        <v>19</v>
      </c>
      <c r="J31" s="125">
        <v>34</v>
      </c>
      <c r="K31" s="124">
        <v>19</v>
      </c>
    </row>
    <row r="32" spans="1:12" ht="14.1" customHeight="1">
      <c r="A32" s="448" t="s">
        <v>1024</v>
      </c>
      <c r="B32" s="125">
        <v>42</v>
      </c>
      <c r="C32" s="124">
        <v>25</v>
      </c>
      <c r="D32" s="125">
        <v>36</v>
      </c>
      <c r="E32" s="124">
        <v>20</v>
      </c>
      <c r="F32" s="125">
        <v>38</v>
      </c>
      <c r="G32" s="124">
        <v>22</v>
      </c>
      <c r="H32" s="125">
        <v>39</v>
      </c>
      <c r="I32" s="124">
        <v>23</v>
      </c>
      <c r="J32" s="125">
        <v>41</v>
      </c>
      <c r="K32" s="124">
        <v>24</v>
      </c>
      <c r="L32" s="902"/>
    </row>
    <row r="33" spans="1:12" ht="14.1" customHeight="1">
      <c r="A33" s="448" t="s">
        <v>1026</v>
      </c>
      <c r="B33" s="125">
        <v>36</v>
      </c>
      <c r="C33" s="124">
        <v>24</v>
      </c>
      <c r="D33" s="125">
        <v>36</v>
      </c>
      <c r="E33" s="124">
        <v>22</v>
      </c>
      <c r="F33" s="125">
        <v>40</v>
      </c>
      <c r="G33" s="124">
        <v>24</v>
      </c>
      <c r="H33" s="125">
        <v>37</v>
      </c>
      <c r="I33" s="124">
        <v>24</v>
      </c>
      <c r="J33" s="125">
        <v>39</v>
      </c>
      <c r="K33" s="124">
        <v>25</v>
      </c>
      <c r="L33" s="902"/>
    </row>
    <row r="34" spans="1:12" ht="14.1" customHeight="1">
      <c r="A34" s="448" t="s">
        <v>1027</v>
      </c>
      <c r="B34" s="125">
        <v>37</v>
      </c>
      <c r="C34" s="124">
        <v>24</v>
      </c>
      <c r="D34" s="125">
        <v>34</v>
      </c>
      <c r="E34" s="124">
        <v>22</v>
      </c>
      <c r="F34" s="125">
        <v>39</v>
      </c>
      <c r="G34" s="124">
        <v>26</v>
      </c>
      <c r="H34" s="125">
        <v>34</v>
      </c>
      <c r="I34" s="124">
        <v>24</v>
      </c>
      <c r="J34" s="125">
        <v>38</v>
      </c>
      <c r="K34" s="124">
        <v>26</v>
      </c>
      <c r="L34" s="902"/>
    </row>
    <row r="35" spans="1:12" ht="14.1" customHeight="1">
      <c r="A35" s="448" t="s">
        <v>1028</v>
      </c>
      <c r="B35" s="125">
        <v>33</v>
      </c>
      <c r="C35" s="124">
        <v>23</v>
      </c>
      <c r="D35" s="125">
        <v>33</v>
      </c>
      <c r="E35" s="124">
        <v>22</v>
      </c>
      <c r="F35" s="125">
        <v>34</v>
      </c>
      <c r="G35" s="124">
        <v>25</v>
      </c>
      <c r="H35" s="125">
        <v>33</v>
      </c>
      <c r="I35" s="124">
        <v>24</v>
      </c>
      <c r="J35" s="125">
        <v>33</v>
      </c>
      <c r="K35" s="124">
        <v>26</v>
      </c>
      <c r="L35" s="902"/>
    </row>
    <row r="36" spans="1:12" ht="14.1" customHeight="1">
      <c r="A36" s="448" t="s">
        <v>1029</v>
      </c>
      <c r="B36" s="125">
        <v>34</v>
      </c>
      <c r="C36" s="124">
        <v>23</v>
      </c>
      <c r="D36" s="125">
        <v>32</v>
      </c>
      <c r="E36" s="124">
        <v>22</v>
      </c>
      <c r="F36" s="125">
        <v>33</v>
      </c>
      <c r="G36" s="124">
        <v>26</v>
      </c>
      <c r="H36" s="125">
        <v>32</v>
      </c>
      <c r="I36" s="124">
        <v>23</v>
      </c>
      <c r="J36" s="125">
        <v>33</v>
      </c>
      <c r="K36" s="124">
        <v>26</v>
      </c>
      <c r="L36" s="902"/>
    </row>
    <row r="37" spans="1:12" ht="14.1" customHeight="1">
      <c r="A37" s="448" t="s">
        <v>1030</v>
      </c>
      <c r="B37" s="125">
        <v>32</v>
      </c>
      <c r="C37" s="124">
        <v>22</v>
      </c>
      <c r="D37" s="125">
        <v>31</v>
      </c>
      <c r="E37" s="124">
        <v>23</v>
      </c>
      <c r="F37" s="125" t="s">
        <v>970</v>
      </c>
      <c r="G37" s="124" t="s">
        <v>970</v>
      </c>
      <c r="H37" s="125">
        <v>33</v>
      </c>
      <c r="I37" s="124">
        <v>25</v>
      </c>
      <c r="J37" s="125">
        <v>33</v>
      </c>
      <c r="K37" s="124">
        <v>26</v>
      </c>
      <c r="L37" s="902"/>
    </row>
    <row r="38" spans="1:12" ht="14.1" customHeight="1">
      <c r="A38" s="448" t="s">
        <v>1031</v>
      </c>
      <c r="B38" s="125">
        <v>32</v>
      </c>
      <c r="C38" s="124">
        <v>20</v>
      </c>
      <c r="D38" s="125">
        <v>33</v>
      </c>
      <c r="E38" s="124">
        <v>22</v>
      </c>
      <c r="F38" s="125">
        <v>33</v>
      </c>
      <c r="G38" s="124">
        <v>22</v>
      </c>
      <c r="H38" s="125">
        <v>31</v>
      </c>
      <c r="I38" s="124">
        <v>23</v>
      </c>
      <c r="J38" s="125">
        <v>32</v>
      </c>
      <c r="K38" s="124">
        <v>23</v>
      </c>
      <c r="L38" s="902"/>
    </row>
    <row r="39" spans="1:12" ht="14.1" customHeight="1">
      <c r="A39" s="448" t="s">
        <v>1032</v>
      </c>
      <c r="B39" s="125">
        <v>31</v>
      </c>
      <c r="C39" s="124">
        <v>16</v>
      </c>
      <c r="D39" s="125">
        <v>31</v>
      </c>
      <c r="E39" s="124">
        <v>18</v>
      </c>
      <c r="F39" s="125">
        <v>29</v>
      </c>
      <c r="G39" s="124">
        <v>17</v>
      </c>
      <c r="H39" s="125">
        <v>30</v>
      </c>
      <c r="I39" s="124">
        <v>17</v>
      </c>
      <c r="J39" s="125">
        <v>31</v>
      </c>
      <c r="K39" s="124">
        <v>16</v>
      </c>
      <c r="L39" s="902"/>
    </row>
    <row r="40" spans="1:12" ht="14.1" customHeight="1">
      <c r="A40" s="722" t="s">
        <v>1033</v>
      </c>
      <c r="B40" s="587">
        <v>26</v>
      </c>
      <c r="C40" s="127">
        <v>9</v>
      </c>
      <c r="D40" s="587">
        <v>31</v>
      </c>
      <c r="E40" s="127">
        <v>8</v>
      </c>
      <c r="F40" s="587">
        <v>26</v>
      </c>
      <c r="G40" s="127">
        <v>12</v>
      </c>
      <c r="H40" s="587">
        <v>27</v>
      </c>
      <c r="I40" s="127">
        <v>13</v>
      </c>
      <c r="J40" s="587">
        <v>27</v>
      </c>
      <c r="K40" s="127">
        <v>12</v>
      </c>
      <c r="L40" s="902"/>
    </row>
    <row r="41" spans="1:12">
      <c r="G41" s="210"/>
      <c r="H41" s="210"/>
      <c r="I41" s="210"/>
      <c r="J41" s="210"/>
      <c r="K41" s="545" t="s">
        <v>797</v>
      </c>
      <c r="L41" s="902"/>
    </row>
  </sheetData>
  <mergeCells count="16">
    <mergeCell ref="A4:A5"/>
    <mergeCell ref="A25:A27"/>
    <mergeCell ref="A1:K1"/>
    <mergeCell ref="A22:K22"/>
    <mergeCell ref="J25:K25"/>
    <mergeCell ref="A2:K2"/>
    <mergeCell ref="A23:K23"/>
    <mergeCell ref="B25:C25"/>
    <mergeCell ref="D25:E25"/>
    <mergeCell ref="B4:C4"/>
    <mergeCell ref="D4:E4"/>
    <mergeCell ref="H25:I25"/>
    <mergeCell ref="J4:K4"/>
    <mergeCell ref="H4:I4"/>
    <mergeCell ref="F25:G25"/>
    <mergeCell ref="F4:G4"/>
  </mergeCells>
  <phoneticPr fontId="0" type="noConversion"/>
  <conditionalFormatting sqref="A1:A1048576 H4:I4 B1:I3 B4 D4 F4 B26:K65536 L1:IV1048576 J1:K24 B5:I24 B25 D25 F25 H25:K25 D5:K5">
    <cfRule type="cellIs" dxfId="13" priority="1" stopIfTrue="1" operator="equal">
      <formula>".."</formula>
    </cfRule>
  </conditionalFormatting>
  <printOptions horizontalCentered="1" verticalCentered="1"/>
  <pageMargins left="0.1" right="0.1" top="0.15" bottom="0.15" header="0.16" footer="0.14000000000000001"/>
  <pageSetup paperSize="9" orientation="landscape" blackAndWhite="1" r:id="rId1"/>
  <headerFooter alignWithMargins="0"/>
</worksheet>
</file>

<file path=xl/worksheets/sheet70.xml><?xml version="1.0" encoding="utf-8"?>
<worksheet xmlns="http://schemas.openxmlformats.org/spreadsheetml/2006/main" xmlns:r="http://schemas.openxmlformats.org/officeDocument/2006/relationships">
  <dimension ref="A1:V34"/>
  <sheetViews>
    <sheetView topLeftCell="A13" workbookViewId="0">
      <selection activeCell="F14" sqref="F14"/>
    </sheetView>
  </sheetViews>
  <sheetFormatPr defaultRowHeight="12.75"/>
  <cols>
    <col min="1" max="1" width="16.42578125" customWidth="1"/>
    <col min="2" max="11" width="11.7109375" customWidth="1"/>
    <col min="12" max="13" width="5.7109375" customWidth="1"/>
    <col min="14" max="14" width="6" customWidth="1"/>
    <col min="15" max="15" width="5" customWidth="1"/>
    <col min="16" max="16" width="5.140625" customWidth="1"/>
    <col min="17" max="17" width="4.7109375" customWidth="1"/>
    <col min="18" max="18" width="5.28515625" customWidth="1"/>
    <col min="19" max="19" width="5.140625" customWidth="1"/>
    <col min="20" max="20" width="4.85546875" customWidth="1"/>
    <col min="21" max="21" width="5.5703125" customWidth="1"/>
  </cols>
  <sheetData>
    <row r="1" spans="1:22" ht="13.5" customHeight="1">
      <c r="A1" s="1658" t="s">
        <v>865</v>
      </c>
      <c r="B1" s="1658"/>
      <c r="C1" s="1658"/>
      <c r="D1" s="1658"/>
      <c r="E1" s="1658"/>
      <c r="F1" s="1658"/>
      <c r="G1" s="1658"/>
      <c r="H1" s="1658"/>
      <c r="I1" s="1658"/>
      <c r="J1" s="1658"/>
      <c r="K1" s="1658"/>
    </row>
    <row r="2" spans="1:22" ht="33.75" customHeight="1">
      <c r="A2" s="1846" t="str">
        <f>CONCATENATE(" Offences reported, Cases tried, Persons convicted and acquitted for different classes of offence 
in the district of ",District!$A$1)</f>
        <v xml:space="preserve"> Offences reported, Cases tried, Persons convicted and acquitted for different classes of offence 
in the district of Purulia</v>
      </c>
      <c r="B2" s="1846"/>
      <c r="C2" s="1846"/>
      <c r="D2" s="1846"/>
      <c r="E2" s="1846"/>
      <c r="F2" s="1846"/>
      <c r="G2" s="1846"/>
      <c r="H2" s="1846"/>
      <c r="I2" s="1846"/>
      <c r="J2" s="1846"/>
      <c r="K2" s="1846"/>
    </row>
    <row r="3" spans="1:22" ht="15" customHeight="1">
      <c r="A3" s="216"/>
      <c r="B3" s="215"/>
      <c r="C3" s="215"/>
      <c r="D3" s="215"/>
      <c r="E3" s="215"/>
      <c r="F3" s="215"/>
      <c r="G3" s="215"/>
      <c r="H3" s="215"/>
      <c r="I3" s="215"/>
      <c r="J3" s="215"/>
      <c r="K3" s="559" t="s">
        <v>1058</v>
      </c>
    </row>
    <row r="4" spans="1:22" ht="15" customHeight="1">
      <c r="A4" s="1661" t="s">
        <v>160</v>
      </c>
      <c r="B4" s="1709" t="s">
        <v>308</v>
      </c>
      <c r="C4" s="1701"/>
      <c r="D4" s="1701"/>
      <c r="E4" s="1701"/>
      <c r="F4" s="1687"/>
      <c r="G4" s="1709" t="s">
        <v>168</v>
      </c>
      <c r="H4" s="1701"/>
      <c r="I4" s="1701"/>
      <c r="J4" s="1701"/>
      <c r="K4" s="1687"/>
    </row>
    <row r="5" spans="1:22" ht="15" customHeight="1">
      <c r="A5" s="1666"/>
      <c r="B5" s="345">
        <v>2010</v>
      </c>
      <c r="C5" s="345">
        <v>2011</v>
      </c>
      <c r="D5" s="345">
        <v>2012</v>
      </c>
      <c r="E5" s="345">
        <v>2013</v>
      </c>
      <c r="F5" s="345">
        <v>2014</v>
      </c>
      <c r="G5" s="345">
        <v>2010</v>
      </c>
      <c r="H5" s="345">
        <v>2011</v>
      </c>
      <c r="I5" s="345">
        <v>2012</v>
      </c>
      <c r="J5" s="345">
        <v>2013</v>
      </c>
      <c r="K5" s="345">
        <v>2014</v>
      </c>
    </row>
    <row r="6" spans="1:22" ht="15" customHeight="1">
      <c r="A6" s="293" t="s">
        <v>1008</v>
      </c>
      <c r="B6" s="293" t="s">
        <v>1009</v>
      </c>
      <c r="C6" s="331" t="s">
        <v>1010</v>
      </c>
      <c r="D6" s="293" t="s">
        <v>1011</v>
      </c>
      <c r="E6" s="293" t="s">
        <v>1015</v>
      </c>
      <c r="F6" s="279" t="s">
        <v>1016</v>
      </c>
      <c r="G6" s="277" t="s">
        <v>1017</v>
      </c>
      <c r="H6" s="293" t="s">
        <v>1039</v>
      </c>
      <c r="I6" s="278" t="s">
        <v>1040</v>
      </c>
      <c r="J6" s="293" t="s">
        <v>1041</v>
      </c>
      <c r="K6" s="279" t="s">
        <v>1042</v>
      </c>
      <c r="V6" s="62"/>
    </row>
    <row r="7" spans="1:22" ht="15.75" customHeight="1">
      <c r="A7" s="266" t="s">
        <v>161</v>
      </c>
      <c r="B7" s="105">
        <v>118</v>
      </c>
      <c r="C7" s="105">
        <v>93</v>
      </c>
      <c r="D7" s="105">
        <v>67</v>
      </c>
      <c r="E7" s="105">
        <v>66</v>
      </c>
      <c r="F7" s="105">
        <v>72</v>
      </c>
      <c r="G7" s="105">
        <v>33</v>
      </c>
      <c r="H7" s="105">
        <v>52</v>
      </c>
      <c r="I7" s="105">
        <v>45</v>
      </c>
      <c r="J7" s="105">
        <v>18</v>
      </c>
      <c r="K7" s="105">
        <v>6</v>
      </c>
    </row>
    <row r="8" spans="1:22" ht="15.75" customHeight="1">
      <c r="A8" s="266" t="s">
        <v>162</v>
      </c>
      <c r="B8" s="105">
        <v>9</v>
      </c>
      <c r="C8" s="105">
        <v>6</v>
      </c>
      <c r="D8" s="105">
        <v>8</v>
      </c>
      <c r="E8" s="105">
        <v>19</v>
      </c>
      <c r="F8" s="105">
        <v>5</v>
      </c>
      <c r="G8" s="105">
        <v>1</v>
      </c>
      <c r="H8" s="105">
        <v>6</v>
      </c>
      <c r="I8" s="105">
        <v>5</v>
      </c>
      <c r="J8" s="105">
        <v>5</v>
      </c>
      <c r="K8" s="105">
        <v>1</v>
      </c>
    </row>
    <row r="9" spans="1:22" ht="15.75" customHeight="1">
      <c r="A9" s="266" t="s">
        <v>163</v>
      </c>
      <c r="B9" s="105">
        <v>37</v>
      </c>
      <c r="C9" s="105">
        <v>29</v>
      </c>
      <c r="D9" s="105">
        <v>26</v>
      </c>
      <c r="E9" s="105">
        <v>19</v>
      </c>
      <c r="F9" s="105">
        <v>17</v>
      </c>
      <c r="G9" s="105">
        <v>20</v>
      </c>
      <c r="H9" s="105">
        <v>4</v>
      </c>
      <c r="I9" s="105">
        <v>15</v>
      </c>
      <c r="J9" s="105">
        <v>2</v>
      </c>
      <c r="K9" s="105" t="s">
        <v>57</v>
      </c>
    </row>
    <row r="10" spans="1:22" ht="15.75" customHeight="1">
      <c r="A10" s="340" t="s">
        <v>164</v>
      </c>
      <c r="B10" s="105">
        <v>12</v>
      </c>
      <c r="C10" s="105">
        <v>6</v>
      </c>
      <c r="D10" s="105">
        <v>2</v>
      </c>
      <c r="E10" s="105">
        <v>2</v>
      </c>
      <c r="F10" s="105">
        <v>4</v>
      </c>
      <c r="G10" s="105">
        <v>3</v>
      </c>
      <c r="H10" s="105">
        <v>4</v>
      </c>
      <c r="I10" s="105">
        <v>2</v>
      </c>
      <c r="J10" s="105" t="s">
        <v>57</v>
      </c>
      <c r="K10" s="105" t="s">
        <v>57</v>
      </c>
    </row>
    <row r="11" spans="1:22" ht="15.75" customHeight="1">
      <c r="A11" s="340" t="s">
        <v>165</v>
      </c>
      <c r="B11" s="105">
        <v>104</v>
      </c>
      <c r="C11" s="105">
        <v>129</v>
      </c>
      <c r="D11" s="105">
        <v>100</v>
      </c>
      <c r="E11" s="105">
        <v>98</v>
      </c>
      <c r="F11" s="105">
        <v>71</v>
      </c>
      <c r="G11" s="105">
        <v>10</v>
      </c>
      <c r="H11" s="105">
        <v>92</v>
      </c>
      <c r="I11" s="105">
        <v>28</v>
      </c>
      <c r="J11" s="105">
        <v>33</v>
      </c>
      <c r="K11" s="105">
        <v>11</v>
      </c>
    </row>
    <row r="12" spans="1:22" ht="15.75" customHeight="1">
      <c r="A12" s="340" t="s">
        <v>166</v>
      </c>
      <c r="B12" s="105">
        <v>63</v>
      </c>
      <c r="C12" s="105">
        <v>265</v>
      </c>
      <c r="D12" s="105">
        <v>255</v>
      </c>
      <c r="E12" s="105">
        <v>194</v>
      </c>
      <c r="F12" s="105">
        <v>190</v>
      </c>
      <c r="G12" s="105">
        <v>65</v>
      </c>
      <c r="H12" s="105">
        <v>190</v>
      </c>
      <c r="I12" s="105">
        <v>85</v>
      </c>
      <c r="J12" s="105">
        <v>37</v>
      </c>
      <c r="K12" s="105">
        <v>25</v>
      </c>
    </row>
    <row r="13" spans="1:22" ht="15.75" customHeight="1">
      <c r="A13" s="340" t="s">
        <v>425</v>
      </c>
      <c r="B13" s="105">
        <v>46</v>
      </c>
      <c r="C13" s="105">
        <v>117</v>
      </c>
      <c r="D13" s="105">
        <v>95</v>
      </c>
      <c r="E13" s="105">
        <v>27</v>
      </c>
      <c r="F13" s="105">
        <v>201</v>
      </c>
      <c r="G13" s="105" t="s">
        <v>57</v>
      </c>
      <c r="H13" s="105">
        <v>55</v>
      </c>
      <c r="I13" s="105">
        <v>44</v>
      </c>
      <c r="J13" s="105">
        <v>16</v>
      </c>
      <c r="K13" s="105">
        <v>51</v>
      </c>
    </row>
    <row r="14" spans="1:22" ht="24.95" customHeight="1">
      <c r="A14" s="340" t="s">
        <v>167</v>
      </c>
      <c r="B14" s="105">
        <v>368</v>
      </c>
      <c r="C14" s="105">
        <v>388</v>
      </c>
      <c r="D14" s="105">
        <v>407</v>
      </c>
      <c r="E14" s="105">
        <v>339</v>
      </c>
      <c r="F14" s="105">
        <v>486</v>
      </c>
      <c r="G14" s="105">
        <v>185</v>
      </c>
      <c r="H14" s="105">
        <v>283</v>
      </c>
      <c r="I14" s="105">
        <v>315</v>
      </c>
      <c r="J14" s="105">
        <v>95</v>
      </c>
      <c r="K14" s="105">
        <v>78</v>
      </c>
    </row>
    <row r="15" spans="1:22" ht="15.75" customHeight="1">
      <c r="A15" s="416" t="s">
        <v>1162</v>
      </c>
      <c r="B15" s="105">
        <v>880</v>
      </c>
      <c r="C15" s="105">
        <v>862</v>
      </c>
      <c r="D15" s="105">
        <v>1017</v>
      </c>
      <c r="E15" s="105">
        <v>1247</v>
      </c>
      <c r="F15" s="105">
        <v>948</v>
      </c>
      <c r="G15" s="105">
        <v>625</v>
      </c>
      <c r="H15" s="105">
        <v>862</v>
      </c>
      <c r="I15" s="105">
        <v>681</v>
      </c>
      <c r="J15" s="105">
        <v>218</v>
      </c>
      <c r="K15" s="105">
        <v>178</v>
      </c>
    </row>
    <row r="16" spans="1:22" ht="15" customHeight="1">
      <c r="A16" s="319" t="s">
        <v>1035</v>
      </c>
      <c r="B16" s="93">
        <f t="shared" ref="B16:K16" si="0">SUM(B7:B15)</f>
        <v>1637</v>
      </c>
      <c r="C16" s="93">
        <f t="shared" si="0"/>
        <v>1895</v>
      </c>
      <c r="D16" s="93">
        <f t="shared" si="0"/>
        <v>1977</v>
      </c>
      <c r="E16" s="93">
        <f t="shared" si="0"/>
        <v>2011</v>
      </c>
      <c r="F16" s="93">
        <f t="shared" si="0"/>
        <v>1994</v>
      </c>
      <c r="G16" s="93">
        <f t="shared" si="0"/>
        <v>942</v>
      </c>
      <c r="H16" s="93">
        <f t="shared" si="0"/>
        <v>1548</v>
      </c>
      <c r="I16" s="93">
        <f t="shared" si="0"/>
        <v>1220</v>
      </c>
      <c r="J16" s="93">
        <f t="shared" si="0"/>
        <v>424</v>
      </c>
      <c r="K16" s="93">
        <f t="shared" si="0"/>
        <v>350</v>
      </c>
    </row>
    <row r="17" spans="1:20" ht="16.5" customHeight="1">
      <c r="A17" s="205"/>
      <c r="B17" s="111"/>
      <c r="C17" s="111"/>
      <c r="D17" s="206"/>
      <c r="E17" s="49"/>
      <c r="F17" s="111"/>
      <c r="G17" s="111"/>
      <c r="H17" s="111"/>
      <c r="I17" s="111"/>
      <c r="J17" s="49"/>
      <c r="K17" s="360" t="s">
        <v>1246</v>
      </c>
      <c r="P17" s="53"/>
      <c r="Q17" s="72"/>
      <c r="R17" s="72"/>
      <c r="S17" s="72"/>
      <c r="T17" s="72"/>
    </row>
    <row r="18" spans="1:20" ht="13.5" customHeight="1">
      <c r="A18" s="1658" t="s">
        <v>388</v>
      </c>
      <c r="B18" s="1658"/>
      <c r="C18" s="1658"/>
      <c r="D18" s="1658"/>
      <c r="E18" s="1658"/>
      <c r="F18" s="1658"/>
      <c r="G18" s="1658"/>
      <c r="H18" s="1658"/>
      <c r="I18" s="1658"/>
      <c r="J18" s="1658"/>
      <c r="K18" s="1658"/>
    </row>
    <row r="19" spans="1:20" ht="13.5" customHeight="1">
      <c r="A19" s="212"/>
      <c r="B19" s="212"/>
      <c r="C19" s="212"/>
      <c r="D19" s="212"/>
      <c r="E19" s="212"/>
      <c r="F19" s="212"/>
      <c r="G19" s="212"/>
      <c r="H19" s="212"/>
      <c r="I19" s="212"/>
      <c r="J19" s="212"/>
      <c r="K19" s="559" t="s">
        <v>1058</v>
      </c>
    </row>
    <row r="20" spans="1:20" ht="15" customHeight="1">
      <c r="A20" s="1661" t="s">
        <v>160</v>
      </c>
      <c r="B20" s="1709" t="s">
        <v>169</v>
      </c>
      <c r="C20" s="1701"/>
      <c r="D20" s="1701"/>
      <c r="E20" s="1701"/>
      <c r="F20" s="1687"/>
      <c r="G20" s="1671" t="s">
        <v>170</v>
      </c>
      <c r="H20" s="1671"/>
      <c r="I20" s="1671"/>
      <c r="J20" s="1671"/>
      <c r="K20" s="1667"/>
    </row>
    <row r="21" spans="1:20" ht="15" customHeight="1">
      <c r="A21" s="1666"/>
      <c r="B21" s="345">
        <v>2010</v>
      </c>
      <c r="C21" s="345">
        <v>2011</v>
      </c>
      <c r="D21" s="345">
        <v>2012</v>
      </c>
      <c r="E21" s="345">
        <v>2013</v>
      </c>
      <c r="F21" s="345">
        <v>2014</v>
      </c>
      <c r="G21" s="345">
        <v>2010</v>
      </c>
      <c r="H21" s="345">
        <v>2011</v>
      </c>
      <c r="I21" s="345">
        <v>2012</v>
      </c>
      <c r="J21" s="345">
        <v>2013</v>
      </c>
      <c r="K21" s="345">
        <v>2014</v>
      </c>
    </row>
    <row r="22" spans="1:20" ht="15" customHeight="1">
      <c r="A22" s="293" t="s">
        <v>1008</v>
      </c>
      <c r="B22" s="328" t="s">
        <v>1076</v>
      </c>
      <c r="C22" s="348" t="s">
        <v>1077</v>
      </c>
      <c r="D22" s="347" t="s">
        <v>1078</v>
      </c>
      <c r="E22" s="348" t="s">
        <v>1079</v>
      </c>
      <c r="F22" s="399" t="s">
        <v>1080</v>
      </c>
      <c r="G22" s="331" t="s">
        <v>1081</v>
      </c>
      <c r="H22" s="325" t="s">
        <v>1083</v>
      </c>
      <c r="I22" s="331" t="s">
        <v>1082</v>
      </c>
      <c r="J22" s="325" t="s">
        <v>1356</v>
      </c>
      <c r="K22" s="327" t="s">
        <v>1358</v>
      </c>
    </row>
    <row r="23" spans="1:20" ht="15.75" customHeight="1">
      <c r="A23" s="304" t="s">
        <v>161</v>
      </c>
      <c r="B23" s="235">
        <v>48</v>
      </c>
      <c r="C23" s="235">
        <v>2</v>
      </c>
      <c r="D23" s="235">
        <v>10</v>
      </c>
      <c r="E23" s="235">
        <v>9</v>
      </c>
      <c r="F23" s="235" t="s">
        <v>57</v>
      </c>
      <c r="G23" s="101">
        <v>27</v>
      </c>
      <c r="H23" s="101">
        <v>12</v>
      </c>
      <c r="I23" s="101">
        <v>22</v>
      </c>
      <c r="J23" s="101">
        <v>20</v>
      </c>
      <c r="K23" s="101">
        <v>11</v>
      </c>
    </row>
    <row r="24" spans="1:20" ht="15.75" customHeight="1">
      <c r="A24" s="266" t="s">
        <v>162</v>
      </c>
      <c r="B24" s="105" t="s">
        <v>57</v>
      </c>
      <c r="C24" s="105" t="s">
        <v>57</v>
      </c>
      <c r="D24" s="105" t="s">
        <v>57</v>
      </c>
      <c r="E24" s="105" t="s">
        <v>57</v>
      </c>
      <c r="F24" s="105" t="s">
        <v>57</v>
      </c>
      <c r="G24" s="99" t="s">
        <v>57</v>
      </c>
      <c r="H24" s="99">
        <v>4</v>
      </c>
      <c r="I24" s="99">
        <v>3</v>
      </c>
      <c r="J24" s="99">
        <v>12</v>
      </c>
      <c r="K24" s="99" t="s">
        <v>57</v>
      </c>
    </row>
    <row r="25" spans="1:20" ht="15.75" customHeight="1">
      <c r="A25" s="266" t="s">
        <v>163</v>
      </c>
      <c r="B25" s="105" t="s">
        <v>57</v>
      </c>
      <c r="C25" s="105">
        <v>1</v>
      </c>
      <c r="D25" s="105" t="s">
        <v>57</v>
      </c>
      <c r="E25" s="105" t="s">
        <v>57</v>
      </c>
      <c r="F25" s="105" t="s">
        <v>57</v>
      </c>
      <c r="G25" s="99" t="s">
        <v>57</v>
      </c>
      <c r="H25" s="99">
        <v>2</v>
      </c>
      <c r="I25" s="99">
        <v>5</v>
      </c>
      <c r="J25" s="99" t="s">
        <v>57</v>
      </c>
      <c r="K25" s="99" t="s">
        <v>57</v>
      </c>
    </row>
    <row r="26" spans="1:20" ht="15.75" customHeight="1">
      <c r="A26" s="340" t="s">
        <v>164</v>
      </c>
      <c r="B26" s="105" t="s">
        <v>57</v>
      </c>
      <c r="C26" s="105" t="s">
        <v>57</v>
      </c>
      <c r="D26" s="105">
        <v>1</v>
      </c>
      <c r="E26" s="105" t="s">
        <v>57</v>
      </c>
      <c r="F26" s="105" t="s">
        <v>57</v>
      </c>
      <c r="G26" s="99" t="s">
        <v>57</v>
      </c>
      <c r="H26" s="99" t="s">
        <v>57</v>
      </c>
      <c r="I26" s="99">
        <v>2</v>
      </c>
      <c r="J26" s="99" t="s">
        <v>57</v>
      </c>
      <c r="K26" s="99" t="s">
        <v>57</v>
      </c>
    </row>
    <row r="27" spans="1:20" ht="15.75" customHeight="1">
      <c r="A27" s="340" t="s">
        <v>165</v>
      </c>
      <c r="B27" s="105">
        <v>25</v>
      </c>
      <c r="C27" s="105" t="s">
        <v>57</v>
      </c>
      <c r="D27" s="105" t="s">
        <v>57</v>
      </c>
      <c r="E27" s="105" t="s">
        <v>57</v>
      </c>
      <c r="F27" s="105" t="s">
        <v>57</v>
      </c>
      <c r="G27" s="99">
        <v>52</v>
      </c>
      <c r="H27" s="99">
        <v>11</v>
      </c>
      <c r="I27" s="99">
        <v>115</v>
      </c>
      <c r="J27" s="99">
        <v>178</v>
      </c>
      <c r="K27" s="99">
        <v>20</v>
      </c>
    </row>
    <row r="28" spans="1:20" ht="15.75" customHeight="1">
      <c r="A28" s="340" t="s">
        <v>166</v>
      </c>
      <c r="B28" s="105">
        <v>7</v>
      </c>
      <c r="C28" s="105" t="s">
        <v>57</v>
      </c>
      <c r="D28" s="105">
        <v>2</v>
      </c>
      <c r="E28" s="105" t="s">
        <v>57</v>
      </c>
      <c r="F28" s="105" t="s">
        <v>57</v>
      </c>
      <c r="G28" s="99">
        <v>31</v>
      </c>
      <c r="H28" s="99">
        <v>23</v>
      </c>
      <c r="I28" s="99">
        <v>43</v>
      </c>
      <c r="J28" s="99">
        <v>7</v>
      </c>
      <c r="K28" s="99" t="s">
        <v>57</v>
      </c>
    </row>
    <row r="29" spans="1:20" ht="15.75" customHeight="1">
      <c r="A29" s="340" t="s">
        <v>425</v>
      </c>
      <c r="B29" s="105" t="s">
        <v>57</v>
      </c>
      <c r="C29" s="105">
        <v>1</v>
      </c>
      <c r="D29" s="105" t="s">
        <v>57</v>
      </c>
      <c r="E29" s="105" t="s">
        <v>57</v>
      </c>
      <c r="F29" s="105" t="s">
        <v>57</v>
      </c>
      <c r="G29" s="99" t="s">
        <v>57</v>
      </c>
      <c r="H29" s="99">
        <v>2</v>
      </c>
      <c r="I29" s="99" t="s">
        <v>57</v>
      </c>
      <c r="J29" s="99">
        <v>7</v>
      </c>
      <c r="K29" s="99" t="s">
        <v>57</v>
      </c>
    </row>
    <row r="30" spans="1:20" ht="25.5">
      <c r="A30" s="340" t="s">
        <v>167</v>
      </c>
      <c r="B30" s="105" t="s">
        <v>57</v>
      </c>
      <c r="C30" s="105">
        <v>1</v>
      </c>
      <c r="D30" s="105">
        <v>24</v>
      </c>
      <c r="E30" s="105">
        <v>20</v>
      </c>
      <c r="F30" s="105" t="s">
        <v>57</v>
      </c>
      <c r="G30" s="99" t="s">
        <v>57</v>
      </c>
      <c r="H30" s="99">
        <v>47</v>
      </c>
      <c r="I30" s="99">
        <v>112</v>
      </c>
      <c r="J30" s="99">
        <v>204</v>
      </c>
      <c r="K30" s="99">
        <v>18</v>
      </c>
    </row>
    <row r="31" spans="1:20" ht="15.75" customHeight="1">
      <c r="A31" s="416" t="s">
        <v>1162</v>
      </c>
      <c r="B31" s="152">
        <v>51</v>
      </c>
      <c r="C31" s="236">
        <v>7</v>
      </c>
      <c r="D31" s="236">
        <v>27</v>
      </c>
      <c r="E31" s="236">
        <v>38</v>
      </c>
      <c r="F31" s="236">
        <v>4</v>
      </c>
      <c r="G31" s="89">
        <v>347</v>
      </c>
      <c r="H31" s="89">
        <v>104</v>
      </c>
      <c r="I31" s="89">
        <v>408</v>
      </c>
      <c r="J31" s="89">
        <v>373</v>
      </c>
      <c r="K31" s="89">
        <v>14</v>
      </c>
    </row>
    <row r="32" spans="1:20" ht="15" customHeight="1">
      <c r="A32" s="74" t="s">
        <v>1035</v>
      </c>
      <c r="B32" s="91">
        <f t="shared" ref="B32:K32" si="1">SUM(B23:B31)</f>
        <v>131</v>
      </c>
      <c r="C32" s="91">
        <f t="shared" si="1"/>
        <v>12</v>
      </c>
      <c r="D32" s="91">
        <f t="shared" si="1"/>
        <v>64</v>
      </c>
      <c r="E32" s="91">
        <f t="shared" si="1"/>
        <v>67</v>
      </c>
      <c r="F32" s="91">
        <f t="shared" si="1"/>
        <v>4</v>
      </c>
      <c r="G32" s="93">
        <f t="shared" si="1"/>
        <v>457</v>
      </c>
      <c r="H32" s="93">
        <f t="shared" si="1"/>
        <v>205</v>
      </c>
      <c r="I32" s="93">
        <f t="shared" si="1"/>
        <v>710</v>
      </c>
      <c r="J32" s="93">
        <f t="shared" si="1"/>
        <v>801</v>
      </c>
      <c r="K32" s="93">
        <f t="shared" si="1"/>
        <v>63</v>
      </c>
    </row>
    <row r="33" spans="1:11">
      <c r="A33" s="49"/>
      <c r="B33" s="49"/>
      <c r="C33" s="49"/>
      <c r="D33" s="49"/>
      <c r="E33" s="49"/>
      <c r="F33" s="49"/>
      <c r="G33" s="49"/>
      <c r="H33" s="49"/>
      <c r="I33" s="256"/>
      <c r="J33" s="256"/>
      <c r="K33" s="571" t="str">
        <f>CONCATENATE("Source : Superintendent of Police, ",District!$A$1)</f>
        <v>Source : Superintendent of Police, Purulia</v>
      </c>
    </row>
    <row r="34" spans="1:11">
      <c r="A34" s="49"/>
      <c r="B34" s="49"/>
      <c r="C34" s="49"/>
      <c r="D34" s="49"/>
      <c r="E34" s="49"/>
      <c r="F34" s="49"/>
      <c r="G34" s="49"/>
      <c r="H34" s="49"/>
      <c r="I34" s="49"/>
      <c r="J34" s="49"/>
      <c r="K34" s="49"/>
    </row>
  </sheetData>
  <mergeCells count="9">
    <mergeCell ref="B20:F20"/>
    <mergeCell ref="G20:K20"/>
    <mergeCell ref="A20:A21"/>
    <mergeCell ref="A1:K1"/>
    <mergeCell ref="A2:K2"/>
    <mergeCell ref="A18:K18"/>
    <mergeCell ref="A4:A5"/>
    <mergeCell ref="B4:F4"/>
    <mergeCell ref="G4:K4"/>
  </mergeCells>
  <phoneticPr fontId="0" type="noConversion"/>
  <printOptions horizontalCentered="1" verticalCentered="1"/>
  <pageMargins left="0.1" right="0.1" top="0.33" bottom="0" header="0.3" footer="0.1"/>
  <pageSetup paperSize="9" orientation="landscape" blackAndWhite="1" r:id="rId1"/>
  <headerFooter alignWithMargins="0"/>
</worksheet>
</file>

<file path=xl/worksheets/sheet71.xml><?xml version="1.0" encoding="utf-8"?>
<worksheet xmlns="http://schemas.openxmlformats.org/spreadsheetml/2006/main" xmlns:r="http://schemas.openxmlformats.org/officeDocument/2006/relationships">
  <dimension ref="A1:K31"/>
  <sheetViews>
    <sheetView topLeftCell="A16" workbookViewId="0">
      <selection activeCell="F14" sqref="F14"/>
    </sheetView>
  </sheetViews>
  <sheetFormatPr defaultRowHeight="12.75"/>
  <cols>
    <col min="1" max="1" width="21.5703125" customWidth="1"/>
    <col min="2" max="2" width="11.28515625" customWidth="1"/>
    <col min="3" max="3" width="9.42578125" customWidth="1"/>
    <col min="4" max="4" width="9.7109375" customWidth="1"/>
    <col min="5" max="5" width="8.85546875" customWidth="1"/>
    <col min="6" max="6" width="9.85546875" customWidth="1"/>
    <col min="7" max="7" width="8" customWidth="1"/>
    <col min="8" max="8" width="9.42578125" customWidth="1"/>
    <col min="9" max="9" width="10" customWidth="1"/>
    <col min="10" max="10" width="8.140625" customWidth="1"/>
    <col min="11" max="11" width="11.28515625" customWidth="1"/>
  </cols>
  <sheetData>
    <row r="1" spans="1:11" ht="12.75" customHeight="1">
      <c r="A1" s="1672" t="s">
        <v>866</v>
      </c>
      <c r="B1" s="1672"/>
      <c r="C1" s="1672"/>
      <c r="D1" s="1672"/>
      <c r="E1" s="1672"/>
      <c r="F1" s="1672"/>
      <c r="G1" s="1672"/>
      <c r="H1" s="1672"/>
      <c r="I1" s="1672"/>
      <c r="J1" s="1672"/>
      <c r="K1" s="1672"/>
    </row>
    <row r="2" spans="1:11" ht="15" customHeight="1">
      <c r="A2" s="1660" t="str">
        <f>CONCATENATE("Police Stations and Out-posts in different Sub-divisions in the district of ",District!$A$1)</f>
        <v>Police Stations and Out-posts in different Sub-divisions in the district of Purulia</v>
      </c>
      <c r="B2" s="1660"/>
      <c r="C2" s="1660"/>
      <c r="D2" s="1660"/>
      <c r="E2" s="1660"/>
      <c r="F2" s="1660"/>
      <c r="G2" s="1660"/>
      <c r="H2" s="1660"/>
      <c r="I2" s="1660"/>
      <c r="J2" s="1660"/>
      <c r="K2" s="1660"/>
    </row>
    <row r="3" spans="1:11" ht="12" customHeight="1">
      <c r="B3" s="26"/>
      <c r="C3" s="26"/>
      <c r="D3" s="26"/>
      <c r="E3" s="26"/>
      <c r="F3" s="3"/>
      <c r="G3" s="26"/>
      <c r="H3" s="30"/>
      <c r="I3" s="30"/>
      <c r="J3" s="30"/>
      <c r="K3" s="415"/>
    </row>
    <row r="4" spans="1:11" ht="17.25" customHeight="1">
      <c r="A4" s="1668" t="s">
        <v>171</v>
      </c>
      <c r="B4" s="1709" t="s">
        <v>105</v>
      </c>
      <c r="C4" s="1701"/>
      <c r="D4" s="1701"/>
      <c r="E4" s="1701"/>
      <c r="F4" s="1687"/>
      <c r="G4" s="1709" t="s">
        <v>106</v>
      </c>
      <c r="H4" s="1701"/>
      <c r="I4" s="1701"/>
      <c r="J4" s="1701"/>
      <c r="K4" s="1687"/>
    </row>
    <row r="5" spans="1:11" ht="16.5" customHeight="1">
      <c r="A5" s="1669"/>
      <c r="B5" s="345">
        <v>2010</v>
      </c>
      <c r="C5" s="345">
        <v>2011</v>
      </c>
      <c r="D5" s="345">
        <v>2012</v>
      </c>
      <c r="E5" s="345">
        <v>2013</v>
      </c>
      <c r="F5" s="345">
        <v>2014</v>
      </c>
      <c r="G5" s="345">
        <v>2010</v>
      </c>
      <c r="H5" s="345">
        <v>2011</v>
      </c>
      <c r="I5" s="345">
        <v>2012</v>
      </c>
      <c r="J5" s="345">
        <v>2013</v>
      </c>
      <c r="K5" s="345">
        <v>2014</v>
      </c>
    </row>
    <row r="6" spans="1:11" ht="18" customHeight="1">
      <c r="A6" s="293" t="s">
        <v>1008</v>
      </c>
      <c r="B6" s="278" t="s">
        <v>1009</v>
      </c>
      <c r="C6" s="293" t="s">
        <v>1010</v>
      </c>
      <c r="D6" s="331" t="s">
        <v>1011</v>
      </c>
      <c r="E6" s="293" t="s">
        <v>1015</v>
      </c>
      <c r="F6" s="293" t="s">
        <v>1016</v>
      </c>
      <c r="G6" s="278" t="s">
        <v>1017</v>
      </c>
      <c r="H6" s="293" t="s">
        <v>1039</v>
      </c>
      <c r="I6" s="278" t="s">
        <v>1040</v>
      </c>
      <c r="J6" s="293" t="s">
        <v>1041</v>
      </c>
      <c r="K6" s="324" t="s">
        <v>1042</v>
      </c>
    </row>
    <row r="7" spans="1:11" ht="22.5" customHeight="1">
      <c r="A7" s="266" t="s">
        <v>757</v>
      </c>
      <c r="B7" s="156">
        <v>7</v>
      </c>
      <c r="C7" s="156">
        <v>7</v>
      </c>
      <c r="D7" s="156">
        <v>7</v>
      </c>
      <c r="E7" s="156">
        <v>7</v>
      </c>
      <c r="F7" s="156">
        <v>7</v>
      </c>
      <c r="G7" s="100">
        <v>9</v>
      </c>
      <c r="H7" s="101">
        <v>10</v>
      </c>
      <c r="I7" s="101">
        <v>10</v>
      </c>
      <c r="J7" s="101">
        <v>9</v>
      </c>
      <c r="K7" s="101">
        <v>4</v>
      </c>
    </row>
    <row r="8" spans="1:11" ht="22.5" customHeight="1">
      <c r="A8" s="266" t="s">
        <v>758</v>
      </c>
      <c r="B8" s="146">
        <v>8</v>
      </c>
      <c r="C8" s="146">
        <v>8</v>
      </c>
      <c r="D8" s="146">
        <v>8</v>
      </c>
      <c r="E8" s="146">
        <v>8</v>
      </c>
      <c r="F8" s="146">
        <v>8</v>
      </c>
      <c r="G8" s="94">
        <v>6</v>
      </c>
      <c r="H8" s="99">
        <v>8</v>
      </c>
      <c r="I8" s="99">
        <v>8</v>
      </c>
      <c r="J8" s="99">
        <v>5</v>
      </c>
      <c r="K8" s="99">
        <v>6</v>
      </c>
    </row>
    <row r="9" spans="1:11" ht="22.5" customHeight="1">
      <c r="A9" s="266" t="s">
        <v>35</v>
      </c>
      <c r="B9" s="149">
        <v>6</v>
      </c>
      <c r="C9" s="149">
        <v>6</v>
      </c>
      <c r="D9" s="149">
        <v>6</v>
      </c>
      <c r="E9" s="149">
        <v>6</v>
      </c>
      <c r="F9" s="149">
        <v>7</v>
      </c>
      <c r="G9" s="43">
        <v>5</v>
      </c>
      <c r="H9" s="89">
        <v>5</v>
      </c>
      <c r="I9" s="89">
        <v>5</v>
      </c>
      <c r="J9" s="89">
        <v>3</v>
      </c>
      <c r="K9" s="89">
        <v>4</v>
      </c>
    </row>
    <row r="10" spans="1:11" ht="21.75" customHeight="1">
      <c r="A10" s="74" t="s">
        <v>302</v>
      </c>
      <c r="B10" s="93">
        <f t="shared" ref="B10:K10" si="0">SUM(B7:B9)</f>
        <v>21</v>
      </c>
      <c r="C10" s="93">
        <f t="shared" si="0"/>
        <v>21</v>
      </c>
      <c r="D10" s="93">
        <f t="shared" si="0"/>
        <v>21</v>
      </c>
      <c r="E10" s="93">
        <f t="shared" si="0"/>
        <v>21</v>
      </c>
      <c r="F10" s="93">
        <f t="shared" si="0"/>
        <v>22</v>
      </c>
      <c r="G10" s="93">
        <f t="shared" si="0"/>
        <v>20</v>
      </c>
      <c r="H10" s="93">
        <f t="shared" si="0"/>
        <v>23</v>
      </c>
      <c r="I10" s="93">
        <f t="shared" si="0"/>
        <v>23</v>
      </c>
      <c r="J10" s="93">
        <f t="shared" si="0"/>
        <v>17</v>
      </c>
      <c r="K10" s="93">
        <f t="shared" si="0"/>
        <v>14</v>
      </c>
    </row>
    <row r="11" spans="1:11" ht="12.75" customHeight="1">
      <c r="A11" s="16"/>
      <c r="B11" s="6"/>
      <c r="C11" s="6"/>
      <c r="D11" s="33"/>
      <c r="F11" s="6"/>
      <c r="G11" s="6"/>
      <c r="H11" s="1847" t="s">
        <v>1407</v>
      </c>
      <c r="I11" s="1847"/>
      <c r="J11" s="1847"/>
      <c r="K11" s="1847"/>
    </row>
    <row r="12" spans="1:11" ht="12.75" customHeight="1">
      <c r="A12" s="16"/>
      <c r="B12" s="6"/>
      <c r="C12" s="6"/>
      <c r="D12" s="33"/>
      <c r="F12" s="6"/>
      <c r="G12" s="6"/>
      <c r="H12" s="63"/>
      <c r="I12" s="63"/>
      <c r="J12" s="72"/>
      <c r="K12" s="73"/>
    </row>
    <row r="13" spans="1:11" ht="12" customHeight="1">
      <c r="A13" s="1672" t="s">
        <v>867</v>
      </c>
      <c r="B13" s="1672"/>
      <c r="C13" s="1672"/>
      <c r="D13" s="1672"/>
      <c r="E13" s="1672"/>
      <c r="F13" s="1672"/>
      <c r="G13" s="1672"/>
      <c r="H13" s="1672"/>
      <c r="I13" s="1672"/>
      <c r="J13" s="1672"/>
      <c r="K13" s="1672"/>
    </row>
    <row r="14" spans="1:11" ht="16.5" customHeight="1">
      <c r="A14" s="1660" t="str">
        <f>CONCATENATE("Strength of Police Force by category in the district of ",District!$A$1)</f>
        <v>Strength of Police Force by category in the district of Purulia</v>
      </c>
      <c r="B14" s="1660"/>
      <c r="C14" s="1660"/>
      <c r="D14" s="1660"/>
      <c r="E14" s="1660"/>
      <c r="F14" s="1660"/>
      <c r="G14" s="1660"/>
      <c r="H14" s="1660"/>
      <c r="I14" s="1660"/>
      <c r="J14" s="1660"/>
      <c r="K14" s="1660"/>
    </row>
    <row r="15" spans="1:11" ht="12" customHeight="1">
      <c r="C15" s="18"/>
      <c r="D15" s="18"/>
      <c r="E15" s="18"/>
      <c r="F15" s="18"/>
      <c r="H15" s="6"/>
      <c r="I15" s="6"/>
      <c r="K15" s="417" t="s">
        <v>1058</v>
      </c>
    </row>
    <row r="16" spans="1:11" ht="19.5" customHeight="1">
      <c r="A16" s="300" t="s">
        <v>172</v>
      </c>
      <c r="B16" s="1663">
        <v>2010</v>
      </c>
      <c r="C16" s="1667"/>
      <c r="D16" s="1663">
        <v>2011</v>
      </c>
      <c r="E16" s="1667"/>
      <c r="F16" s="1663">
        <v>2012</v>
      </c>
      <c r="G16" s="1667"/>
      <c r="H16" s="1663">
        <v>2013</v>
      </c>
      <c r="I16" s="1667"/>
      <c r="J16" s="1663">
        <v>2014</v>
      </c>
      <c r="K16" s="1667"/>
    </row>
    <row r="17" spans="1:11" ht="16.5" customHeight="1">
      <c r="A17" s="293" t="s">
        <v>1008</v>
      </c>
      <c r="B17" s="1732" t="s">
        <v>1009</v>
      </c>
      <c r="C17" s="1699"/>
      <c r="D17" s="1732" t="s">
        <v>1010</v>
      </c>
      <c r="E17" s="1699"/>
      <c r="F17" s="1850" t="s">
        <v>1011</v>
      </c>
      <c r="G17" s="1851"/>
      <c r="H17" s="1675" t="s">
        <v>1015</v>
      </c>
      <c r="I17" s="1699"/>
      <c r="J17" s="1848" t="s">
        <v>1016</v>
      </c>
      <c r="K17" s="1849"/>
    </row>
    <row r="18" spans="1:11" ht="16.5" customHeight="1">
      <c r="A18" s="150" t="s">
        <v>1342</v>
      </c>
      <c r="B18" s="1704">
        <v>1</v>
      </c>
      <c r="C18" s="1705"/>
      <c r="D18" s="1704">
        <v>1</v>
      </c>
      <c r="E18" s="1705"/>
      <c r="F18" s="1704">
        <v>1</v>
      </c>
      <c r="G18" s="1705"/>
      <c r="H18" s="1704">
        <v>1</v>
      </c>
      <c r="I18" s="1705"/>
      <c r="J18" s="1704">
        <v>1</v>
      </c>
      <c r="K18" s="1705"/>
    </row>
    <row r="19" spans="1:11" ht="16.5" customHeight="1">
      <c r="A19" s="87" t="s">
        <v>426</v>
      </c>
      <c r="B19" s="1694">
        <v>1</v>
      </c>
      <c r="C19" s="1695"/>
      <c r="D19" s="1694">
        <v>1</v>
      </c>
      <c r="E19" s="1695"/>
      <c r="F19" s="1694">
        <v>1</v>
      </c>
      <c r="G19" s="1695"/>
      <c r="H19" s="1694">
        <v>1</v>
      </c>
      <c r="I19" s="1695"/>
      <c r="J19" s="1694">
        <v>1</v>
      </c>
      <c r="K19" s="1695"/>
    </row>
    <row r="20" spans="1:11" ht="16.5" customHeight="1">
      <c r="A20" s="87" t="s">
        <v>427</v>
      </c>
      <c r="B20" s="1694">
        <v>5</v>
      </c>
      <c r="C20" s="1695"/>
      <c r="D20" s="1694">
        <v>5</v>
      </c>
      <c r="E20" s="1695"/>
      <c r="F20" s="1694">
        <v>4</v>
      </c>
      <c r="G20" s="1695"/>
      <c r="H20" s="1694">
        <v>4</v>
      </c>
      <c r="I20" s="1695"/>
      <c r="J20" s="1694">
        <v>3</v>
      </c>
      <c r="K20" s="1695"/>
    </row>
    <row r="21" spans="1:11" ht="16.5" customHeight="1">
      <c r="A21" s="87" t="s">
        <v>173</v>
      </c>
      <c r="B21" s="1694">
        <v>1</v>
      </c>
      <c r="C21" s="1695"/>
      <c r="D21" s="1694">
        <v>1</v>
      </c>
      <c r="E21" s="1695"/>
      <c r="F21" s="1694">
        <v>1</v>
      </c>
      <c r="G21" s="1695"/>
      <c r="H21" s="1694">
        <v>1</v>
      </c>
      <c r="I21" s="1695"/>
      <c r="J21" s="1694">
        <v>1</v>
      </c>
      <c r="K21" s="1695"/>
    </row>
    <row r="22" spans="1:11" ht="16.5" customHeight="1">
      <c r="A22" s="87" t="s">
        <v>174</v>
      </c>
      <c r="B22" s="1694">
        <v>17</v>
      </c>
      <c r="C22" s="1695"/>
      <c r="D22" s="1694">
        <v>16</v>
      </c>
      <c r="E22" s="1695"/>
      <c r="F22" s="1694">
        <v>16</v>
      </c>
      <c r="G22" s="1695"/>
      <c r="H22" s="1694">
        <v>17</v>
      </c>
      <c r="I22" s="1695"/>
      <c r="J22" s="1694">
        <v>12</v>
      </c>
      <c r="K22" s="1695"/>
    </row>
    <row r="23" spans="1:11" ht="16.5" customHeight="1">
      <c r="A23" s="87" t="s">
        <v>175</v>
      </c>
      <c r="B23" s="1694">
        <v>80</v>
      </c>
      <c r="C23" s="1695"/>
      <c r="D23" s="1694">
        <v>122</v>
      </c>
      <c r="E23" s="1695"/>
      <c r="F23" s="1694">
        <v>115</v>
      </c>
      <c r="G23" s="1695"/>
      <c r="H23" s="1694">
        <v>118</v>
      </c>
      <c r="I23" s="1695"/>
      <c r="J23" s="1694">
        <v>113</v>
      </c>
      <c r="K23" s="1695"/>
    </row>
    <row r="24" spans="1:11" ht="16.5" customHeight="1">
      <c r="A24" s="87" t="s">
        <v>119</v>
      </c>
      <c r="B24" s="1694">
        <v>4</v>
      </c>
      <c r="C24" s="1695"/>
      <c r="D24" s="1694">
        <v>7</v>
      </c>
      <c r="E24" s="1695"/>
      <c r="F24" s="1694">
        <v>6</v>
      </c>
      <c r="G24" s="1695"/>
      <c r="H24" s="1694">
        <v>5</v>
      </c>
      <c r="I24" s="1695"/>
      <c r="J24" s="1694">
        <v>2</v>
      </c>
      <c r="K24" s="1695"/>
    </row>
    <row r="25" spans="1:11" ht="16.5" customHeight="1">
      <c r="A25" s="87" t="s">
        <v>176</v>
      </c>
      <c r="B25" s="1694" t="s">
        <v>57</v>
      </c>
      <c r="C25" s="1695"/>
      <c r="D25" s="1694" t="s">
        <v>57</v>
      </c>
      <c r="E25" s="1695"/>
      <c r="F25" s="1694" t="s">
        <v>57</v>
      </c>
      <c r="G25" s="1695"/>
      <c r="H25" s="1694" t="s">
        <v>57</v>
      </c>
      <c r="I25" s="1695"/>
      <c r="J25" s="1694" t="s">
        <v>57</v>
      </c>
      <c r="K25" s="1695"/>
    </row>
    <row r="26" spans="1:11" ht="32.25" customHeight="1">
      <c r="A26" s="296" t="s">
        <v>122</v>
      </c>
      <c r="B26" s="1694">
        <v>179</v>
      </c>
      <c r="C26" s="1695"/>
      <c r="D26" s="1694">
        <v>240</v>
      </c>
      <c r="E26" s="1695"/>
      <c r="F26" s="1694">
        <v>230</v>
      </c>
      <c r="G26" s="1695"/>
      <c r="H26" s="1694">
        <v>237</v>
      </c>
      <c r="I26" s="1695"/>
      <c r="J26" s="1694">
        <v>227</v>
      </c>
      <c r="K26" s="1695"/>
    </row>
    <row r="27" spans="1:11" ht="27" customHeight="1">
      <c r="A27" s="296" t="s">
        <v>120</v>
      </c>
      <c r="B27" s="1694"/>
      <c r="C27" s="1695"/>
      <c r="D27" s="1694"/>
      <c r="E27" s="1695"/>
      <c r="F27" s="1694">
        <v>43</v>
      </c>
      <c r="G27" s="1695"/>
      <c r="H27" s="1694" t="s">
        <v>57</v>
      </c>
      <c r="I27" s="1695"/>
      <c r="J27" s="1694">
        <v>4</v>
      </c>
      <c r="K27" s="1695"/>
    </row>
    <row r="28" spans="1:11" ht="16.5" customHeight="1">
      <c r="A28" s="87" t="s">
        <v>177</v>
      </c>
      <c r="B28" s="1694" t="s">
        <v>57</v>
      </c>
      <c r="C28" s="1695"/>
      <c r="D28" s="1694" t="s">
        <v>57</v>
      </c>
      <c r="E28" s="1695"/>
      <c r="F28" s="1694" t="s">
        <v>57</v>
      </c>
      <c r="G28" s="1695"/>
      <c r="H28" s="1694" t="s">
        <v>57</v>
      </c>
      <c r="I28" s="1695"/>
      <c r="J28" s="1694" t="s">
        <v>57</v>
      </c>
      <c r="K28" s="1695"/>
    </row>
    <row r="29" spans="1:11" ht="16.5" customHeight="1">
      <c r="A29" s="88" t="s">
        <v>121</v>
      </c>
      <c r="B29" s="1689">
        <v>1071</v>
      </c>
      <c r="C29" s="1690"/>
      <c r="D29" s="1689">
        <v>1262</v>
      </c>
      <c r="E29" s="1690"/>
      <c r="F29" s="1689">
        <v>2821</v>
      </c>
      <c r="G29" s="1690"/>
      <c r="H29" s="1689">
        <v>2595</v>
      </c>
      <c r="I29" s="1690"/>
      <c r="J29" s="1689">
        <v>2518</v>
      </c>
      <c r="K29" s="1690"/>
    </row>
    <row r="30" spans="1:11" ht="18.75" customHeight="1">
      <c r="A30" s="74" t="s">
        <v>1035</v>
      </c>
      <c r="B30" s="1852">
        <f>SUM(B18:C29)</f>
        <v>1359</v>
      </c>
      <c r="C30" s="1853"/>
      <c r="D30" s="1852">
        <f>SUM(D18:E29)</f>
        <v>1655</v>
      </c>
      <c r="E30" s="1853"/>
      <c r="F30" s="1852">
        <f>SUM(F18:G29)</f>
        <v>3238</v>
      </c>
      <c r="G30" s="1853"/>
      <c r="H30" s="1852">
        <f>SUM(H18:I29)</f>
        <v>2979</v>
      </c>
      <c r="I30" s="1853"/>
      <c r="J30" s="1852">
        <f>SUM(J18:K29)</f>
        <v>2882</v>
      </c>
      <c r="K30" s="1853"/>
    </row>
    <row r="31" spans="1:11">
      <c r="B31" s="16"/>
      <c r="C31" s="6"/>
      <c r="D31" s="60"/>
      <c r="E31" s="77"/>
      <c r="F31" s="72"/>
      <c r="H31" s="316"/>
      <c r="I31" s="316"/>
      <c r="J31" s="316"/>
      <c r="K31" s="578" t="str">
        <f>CONCATENATE("Source : Superintendent of Police, ",District!$A$1)</f>
        <v>Source : Superintendent of Police, Purulia</v>
      </c>
    </row>
  </sheetData>
  <mergeCells count="81">
    <mergeCell ref="D30:E30"/>
    <mergeCell ref="D25:E25"/>
    <mergeCell ref="B29:C29"/>
    <mergeCell ref="B30:C30"/>
    <mergeCell ref="B25:C25"/>
    <mergeCell ref="D28:E28"/>
    <mergeCell ref="D29:E29"/>
    <mergeCell ref="D26:E27"/>
    <mergeCell ref="B28:C28"/>
    <mergeCell ref="B26:C27"/>
    <mergeCell ref="J30:K30"/>
    <mergeCell ref="J25:K25"/>
    <mergeCell ref="J28:K28"/>
    <mergeCell ref="F30:G30"/>
    <mergeCell ref="H29:I29"/>
    <mergeCell ref="F25:G25"/>
    <mergeCell ref="H30:I30"/>
    <mergeCell ref="H25:I25"/>
    <mergeCell ref="F29:G29"/>
    <mergeCell ref="B23:C23"/>
    <mergeCell ref="B24:C24"/>
    <mergeCell ref="D23:E23"/>
    <mergeCell ref="D24:E24"/>
    <mergeCell ref="J23:K23"/>
    <mergeCell ref="F24:G24"/>
    <mergeCell ref="F23:G23"/>
    <mergeCell ref="F21:G21"/>
    <mergeCell ref="H21:I21"/>
    <mergeCell ref="H18:I18"/>
    <mergeCell ref="H24:I24"/>
    <mergeCell ref="F28:G28"/>
    <mergeCell ref="H26:I26"/>
    <mergeCell ref="H22:I22"/>
    <mergeCell ref="F22:G22"/>
    <mergeCell ref="F26:G26"/>
    <mergeCell ref="F27:G27"/>
    <mergeCell ref="F20:G20"/>
    <mergeCell ref="F18:G18"/>
    <mergeCell ref="F19:G19"/>
    <mergeCell ref="B20:C20"/>
    <mergeCell ref="D20:E20"/>
    <mergeCell ref="B21:C21"/>
    <mergeCell ref="D21:E21"/>
    <mergeCell ref="D22:E22"/>
    <mergeCell ref="B22:C22"/>
    <mergeCell ref="A14:K14"/>
    <mergeCell ref="B16:C16"/>
    <mergeCell ref="D17:E17"/>
    <mergeCell ref="D16:E16"/>
    <mergeCell ref="J16:K16"/>
    <mergeCell ref="H17:I17"/>
    <mergeCell ref="J17:K17"/>
    <mergeCell ref="H16:I16"/>
    <mergeCell ref="F16:G16"/>
    <mergeCell ref="F17:G17"/>
    <mergeCell ref="B19:C19"/>
    <mergeCell ref="B17:C17"/>
    <mergeCell ref="B18:C18"/>
    <mergeCell ref="D18:E18"/>
    <mergeCell ref="D19:E19"/>
    <mergeCell ref="A1:K1"/>
    <mergeCell ref="A2:K2"/>
    <mergeCell ref="B4:F4"/>
    <mergeCell ref="G4:K4"/>
    <mergeCell ref="A4:A5"/>
    <mergeCell ref="H11:K11"/>
    <mergeCell ref="J29:K29"/>
    <mergeCell ref="H28:I28"/>
    <mergeCell ref="J26:K26"/>
    <mergeCell ref="J27:K27"/>
    <mergeCell ref="J21:K21"/>
    <mergeCell ref="H27:I27"/>
    <mergeCell ref="H23:I23"/>
    <mergeCell ref="J24:K24"/>
    <mergeCell ref="H19:I19"/>
    <mergeCell ref="J22:K22"/>
    <mergeCell ref="J19:K19"/>
    <mergeCell ref="J20:K20"/>
    <mergeCell ref="H20:I20"/>
    <mergeCell ref="J18:K18"/>
    <mergeCell ref="A13:K13"/>
  </mergeCells>
  <phoneticPr fontId="0" type="noConversion"/>
  <printOptions horizontalCentered="1" verticalCentered="1"/>
  <pageMargins left="0.1" right="0.1" top="0.28000000000000003" bottom="0.14000000000000001" header="0.14000000000000001" footer="0.14000000000000001"/>
  <pageSetup paperSize="9" orientation="landscape" blackAndWhite="1" r:id="rId1"/>
  <headerFooter alignWithMargins="0"/>
  <colBreaks count="1" manualBreakCount="1">
    <brk id="12" max="1048575" man="1"/>
  </colBreaks>
  <drawing r:id="rId2"/>
</worksheet>
</file>

<file path=xl/worksheets/sheet72.xml><?xml version="1.0" encoding="utf-8"?>
<worksheet xmlns="http://schemas.openxmlformats.org/spreadsheetml/2006/main" xmlns:r="http://schemas.openxmlformats.org/officeDocument/2006/relationships">
  <dimension ref="A1:P24"/>
  <sheetViews>
    <sheetView topLeftCell="A10" workbookViewId="0">
      <selection activeCell="F14" sqref="F14"/>
    </sheetView>
  </sheetViews>
  <sheetFormatPr defaultRowHeight="12.75"/>
  <cols>
    <col min="1" max="1" width="13.28515625" customWidth="1"/>
    <col min="2" max="2" width="12.7109375" customWidth="1"/>
    <col min="3" max="3" width="9.42578125" customWidth="1"/>
    <col min="4" max="4" width="8.7109375" customWidth="1"/>
    <col min="5" max="5" width="10.140625" customWidth="1"/>
    <col min="6" max="6" width="8.7109375" customWidth="1"/>
    <col min="7" max="7" width="10.7109375" customWidth="1"/>
    <col min="8" max="8" width="8.7109375" customWidth="1"/>
    <col min="9" max="9" width="10.42578125" customWidth="1"/>
    <col min="10" max="10" width="8.7109375" customWidth="1"/>
    <col min="11" max="11" width="10.42578125" customWidth="1"/>
    <col min="12" max="12" width="9.42578125" style="49" customWidth="1"/>
    <col min="13" max="13" width="10.28515625" customWidth="1"/>
  </cols>
  <sheetData>
    <row r="1" spans="1:16" ht="15.75" customHeight="1">
      <c r="A1" s="1658" t="s">
        <v>868</v>
      </c>
      <c r="B1" s="1658"/>
      <c r="C1" s="1658"/>
      <c r="D1" s="1658"/>
      <c r="E1" s="1658"/>
      <c r="F1" s="1658"/>
      <c r="G1" s="1658"/>
      <c r="H1" s="1658"/>
      <c r="I1" s="1658"/>
      <c r="J1" s="1658"/>
      <c r="K1" s="1658"/>
      <c r="L1" s="1658"/>
      <c r="M1" s="1658"/>
    </row>
    <row r="2" spans="1:16" ht="18" customHeight="1">
      <c r="A2" s="1660" t="str">
        <f>CONCATENATE("Population, Receipt &amp; Expenditure of Municipalities in the district of ",District!$A$1)</f>
        <v>Population, Receipt &amp; Expenditure of Municipalities in the district of Purulia</v>
      </c>
      <c r="B2" s="1660"/>
      <c r="C2" s="1660"/>
      <c r="D2" s="1660"/>
      <c r="E2" s="1660"/>
      <c r="F2" s="1660"/>
      <c r="G2" s="1660"/>
      <c r="H2" s="1660"/>
      <c r="I2" s="1660"/>
      <c r="J2" s="1660"/>
      <c r="K2" s="1660"/>
      <c r="L2" s="1660"/>
      <c r="M2" s="1660"/>
    </row>
    <row r="3" spans="1:16" ht="12.75" customHeight="1">
      <c r="B3" s="3"/>
      <c r="C3" s="3"/>
      <c r="D3" s="3"/>
      <c r="E3" s="3"/>
      <c r="F3" s="3"/>
      <c r="G3" s="3"/>
      <c r="H3" s="3"/>
      <c r="I3" s="3"/>
      <c r="J3" s="3"/>
      <c r="K3" s="3"/>
      <c r="L3" s="418"/>
      <c r="M3" s="419" t="s">
        <v>1501</v>
      </c>
    </row>
    <row r="4" spans="1:16" ht="18" customHeight="1">
      <c r="A4" s="1668" t="s">
        <v>1259</v>
      </c>
      <c r="B4" s="1668" t="s">
        <v>181</v>
      </c>
      <c r="C4" s="1668" t="s">
        <v>59</v>
      </c>
      <c r="D4" s="1407" t="s">
        <v>1526</v>
      </c>
      <c r="E4" s="1401"/>
      <c r="F4" s="1407" t="s">
        <v>1525</v>
      </c>
      <c r="G4" s="1401"/>
      <c r="H4" s="1407" t="s">
        <v>1051</v>
      </c>
      <c r="I4" s="1401"/>
      <c r="J4" s="1407" t="s">
        <v>1250</v>
      </c>
      <c r="K4" s="1573"/>
      <c r="L4" s="1407" t="s">
        <v>527</v>
      </c>
      <c r="M4" s="1573"/>
    </row>
    <row r="5" spans="1:16" ht="18" customHeight="1">
      <c r="A5" s="1669"/>
      <c r="B5" s="1669"/>
      <c r="C5" s="1669"/>
      <c r="D5" s="314" t="s">
        <v>321</v>
      </c>
      <c r="E5" s="300" t="s">
        <v>1594</v>
      </c>
      <c r="F5" s="314" t="s">
        <v>321</v>
      </c>
      <c r="G5" s="300" t="s">
        <v>1594</v>
      </c>
      <c r="H5" s="314" t="s">
        <v>321</v>
      </c>
      <c r="I5" s="300" t="s">
        <v>1594</v>
      </c>
      <c r="J5" s="314" t="s">
        <v>321</v>
      </c>
      <c r="K5" s="300" t="s">
        <v>1594</v>
      </c>
      <c r="L5" s="314" t="s">
        <v>321</v>
      </c>
      <c r="M5" s="88" t="s">
        <v>1594</v>
      </c>
    </row>
    <row r="6" spans="1:16" ht="18" customHeight="1">
      <c r="A6" s="293" t="s">
        <v>1008</v>
      </c>
      <c r="B6" s="279" t="s">
        <v>1009</v>
      </c>
      <c r="C6" s="278" t="s">
        <v>1010</v>
      </c>
      <c r="D6" s="277" t="s">
        <v>1011</v>
      </c>
      <c r="E6" s="293" t="s">
        <v>1015</v>
      </c>
      <c r="F6" s="277" t="s">
        <v>1016</v>
      </c>
      <c r="G6" s="293" t="s">
        <v>1017</v>
      </c>
      <c r="H6" s="277" t="s">
        <v>1039</v>
      </c>
      <c r="I6" s="293" t="s">
        <v>1040</v>
      </c>
      <c r="J6" s="277" t="s">
        <v>1041</v>
      </c>
      <c r="K6" s="293" t="s">
        <v>1042</v>
      </c>
      <c r="L6" s="347" t="s">
        <v>1076</v>
      </c>
      <c r="M6" s="348" t="s">
        <v>1077</v>
      </c>
    </row>
    <row r="7" spans="1:16" ht="30" customHeight="1">
      <c r="A7" s="266" t="s">
        <v>20</v>
      </c>
      <c r="B7" s="50" t="s">
        <v>68</v>
      </c>
      <c r="C7" s="101">
        <v>121067</v>
      </c>
      <c r="D7" s="157">
        <v>205814</v>
      </c>
      <c r="E7" s="237">
        <v>168999</v>
      </c>
      <c r="F7" s="157">
        <v>228904</v>
      </c>
      <c r="G7" s="235">
        <v>171567</v>
      </c>
      <c r="H7" s="157">
        <v>186750</v>
      </c>
      <c r="I7" s="235">
        <v>182583</v>
      </c>
      <c r="J7" s="157">
        <v>303905</v>
      </c>
      <c r="K7" s="235">
        <v>250031</v>
      </c>
      <c r="L7" s="157">
        <v>486332</v>
      </c>
      <c r="M7" s="235">
        <v>367012</v>
      </c>
      <c r="O7" s="55"/>
      <c r="P7" s="31"/>
    </row>
    <row r="8" spans="1:16" ht="30" customHeight="1">
      <c r="A8" s="266" t="s">
        <v>32</v>
      </c>
      <c r="B8" s="50" t="s">
        <v>69</v>
      </c>
      <c r="C8" s="99">
        <v>19544</v>
      </c>
      <c r="D8" s="104">
        <v>44165</v>
      </c>
      <c r="E8" s="106">
        <v>33843</v>
      </c>
      <c r="F8" s="104">
        <v>41359</v>
      </c>
      <c r="G8" s="105">
        <v>22623</v>
      </c>
      <c r="H8" s="104">
        <v>26831</v>
      </c>
      <c r="I8" s="105">
        <v>48161</v>
      </c>
      <c r="J8" s="104">
        <v>38718</v>
      </c>
      <c r="K8" s="105">
        <v>26910</v>
      </c>
      <c r="L8" s="104">
        <v>50129</v>
      </c>
      <c r="M8" s="105">
        <v>44290</v>
      </c>
      <c r="O8" s="55"/>
      <c r="P8" s="31"/>
    </row>
    <row r="9" spans="1:16" ht="30" customHeight="1">
      <c r="A9" s="267" t="s">
        <v>35</v>
      </c>
      <c r="B9" s="48" t="s">
        <v>70</v>
      </c>
      <c r="C9" s="89">
        <v>25561</v>
      </c>
      <c r="D9" s="152">
        <v>80700</v>
      </c>
      <c r="E9" s="153">
        <v>55682</v>
      </c>
      <c r="F9" s="152">
        <v>54889</v>
      </c>
      <c r="G9" s="236">
        <v>35451</v>
      </c>
      <c r="H9" s="152">
        <v>49373</v>
      </c>
      <c r="I9" s="236">
        <v>49234</v>
      </c>
      <c r="J9" s="152">
        <v>92392</v>
      </c>
      <c r="K9" s="236">
        <v>92043</v>
      </c>
      <c r="L9" s="152">
        <v>191901</v>
      </c>
      <c r="M9" s="236">
        <v>172944</v>
      </c>
      <c r="O9" s="55"/>
      <c r="P9" s="31"/>
    </row>
    <row r="10" spans="1:16">
      <c r="G10" s="53" t="s">
        <v>985</v>
      </c>
      <c r="H10" s="53"/>
      <c r="I10" s="305"/>
      <c r="J10" s="305"/>
      <c r="K10" s="305"/>
      <c r="L10" s="579"/>
      <c r="M10" s="570" t="s">
        <v>338</v>
      </c>
    </row>
    <row r="11" spans="1:16">
      <c r="G11" s="53"/>
      <c r="H11" s="53"/>
      <c r="I11" s="53"/>
      <c r="J11" s="72"/>
      <c r="K11" s="72"/>
      <c r="L11" s="95"/>
      <c r="M11" s="73"/>
    </row>
    <row r="12" spans="1:16">
      <c r="G12" s="53"/>
      <c r="H12" s="53"/>
      <c r="I12" s="53"/>
      <c r="J12" s="72"/>
      <c r="K12" s="72"/>
      <c r="L12" s="95"/>
      <c r="M12" s="73"/>
    </row>
    <row r="13" spans="1:16" ht="21" customHeight="1">
      <c r="A13" s="1658" t="s">
        <v>869</v>
      </c>
      <c r="B13" s="1658"/>
      <c r="C13" s="1658"/>
      <c r="D13" s="1658"/>
      <c r="E13" s="1658"/>
      <c r="F13" s="1658"/>
      <c r="G13" s="1658"/>
      <c r="H13" s="1658"/>
      <c r="I13" s="1658"/>
      <c r="J13" s="1658"/>
      <c r="K13" s="1658"/>
      <c r="L13" s="1658"/>
      <c r="M13" s="1658"/>
    </row>
    <row r="14" spans="1:16" ht="16.5">
      <c r="A14" s="1660" t="str">
        <f>CONCATENATE("Receipt &amp; Expenditure of ",District!$A$1," Zilla Parishad")</f>
        <v>Receipt &amp; Expenditure of Purulia Zilla Parishad</v>
      </c>
      <c r="B14" s="1660"/>
      <c r="C14" s="1660"/>
      <c r="D14" s="1660"/>
      <c r="E14" s="1660"/>
      <c r="F14" s="1660"/>
      <c r="G14" s="1660"/>
      <c r="H14" s="1660"/>
      <c r="I14" s="1660"/>
      <c r="J14" s="1660"/>
      <c r="K14" s="1660"/>
      <c r="L14" s="1660"/>
      <c r="M14" s="254"/>
    </row>
    <row r="15" spans="1:16">
      <c r="B15" s="3"/>
      <c r="C15" s="3"/>
      <c r="D15" s="3"/>
      <c r="E15" s="3"/>
      <c r="F15" s="3"/>
      <c r="G15" s="3"/>
      <c r="H15" s="3"/>
      <c r="I15" s="3"/>
      <c r="J15" s="3"/>
      <c r="K15" s="3"/>
      <c r="L15" s="359"/>
      <c r="M15" s="395" t="s">
        <v>1501</v>
      </c>
    </row>
    <row r="16" spans="1:16" ht="18" customHeight="1">
      <c r="A16" s="1668" t="s">
        <v>180</v>
      </c>
      <c r="B16" s="1793" t="s">
        <v>181</v>
      </c>
      <c r="C16" s="1794"/>
      <c r="D16" s="1407" t="s">
        <v>1526</v>
      </c>
      <c r="E16" s="1401"/>
      <c r="F16" s="1407" t="s">
        <v>1525</v>
      </c>
      <c r="G16" s="1401"/>
      <c r="H16" s="1407" t="s">
        <v>1051</v>
      </c>
      <c r="I16" s="1401"/>
      <c r="J16" s="1407" t="s">
        <v>1250</v>
      </c>
      <c r="K16" s="1573"/>
      <c r="L16" s="1407" t="s">
        <v>527</v>
      </c>
      <c r="M16" s="1573"/>
    </row>
    <row r="17" spans="1:13" ht="18" customHeight="1">
      <c r="A17" s="1669"/>
      <c r="B17" s="1829"/>
      <c r="C17" s="1856"/>
      <c r="D17" s="314" t="s">
        <v>321</v>
      </c>
      <c r="E17" s="87" t="s">
        <v>1594</v>
      </c>
      <c r="F17" s="314" t="s">
        <v>321</v>
      </c>
      <c r="G17" s="150" t="s">
        <v>1594</v>
      </c>
      <c r="H17" s="314" t="s">
        <v>321</v>
      </c>
      <c r="I17" s="150" t="s">
        <v>1594</v>
      </c>
      <c r="J17" s="314" t="s">
        <v>321</v>
      </c>
      <c r="K17" s="150" t="s">
        <v>1594</v>
      </c>
      <c r="L17" s="314" t="s">
        <v>321</v>
      </c>
      <c r="M17" s="87" t="s">
        <v>1594</v>
      </c>
    </row>
    <row r="18" spans="1:13" ht="18" customHeight="1">
      <c r="A18" s="293" t="s">
        <v>1008</v>
      </c>
      <c r="B18" s="1675" t="s">
        <v>1009</v>
      </c>
      <c r="C18" s="1699"/>
      <c r="D18" s="278" t="s">
        <v>1010</v>
      </c>
      <c r="E18" s="293" t="s">
        <v>1011</v>
      </c>
      <c r="F18" s="278" t="s">
        <v>1015</v>
      </c>
      <c r="G18" s="293" t="s">
        <v>1016</v>
      </c>
      <c r="H18" s="278" t="s">
        <v>1017</v>
      </c>
      <c r="I18" s="293" t="s">
        <v>1039</v>
      </c>
      <c r="J18" s="278" t="s">
        <v>1040</v>
      </c>
      <c r="K18" s="293" t="s">
        <v>1041</v>
      </c>
      <c r="L18" s="277" t="s">
        <v>1042</v>
      </c>
      <c r="M18" s="325" t="s">
        <v>1076</v>
      </c>
    </row>
    <row r="19" spans="1:13" ht="54.75" customHeight="1">
      <c r="A19" s="420" t="s">
        <v>20</v>
      </c>
      <c r="B19" s="1854" t="s">
        <v>71</v>
      </c>
      <c r="C19" s="1855"/>
      <c r="D19" s="34">
        <v>1554927</v>
      </c>
      <c r="E19" s="34">
        <v>1212247</v>
      </c>
      <c r="F19" s="34">
        <v>1728000</v>
      </c>
      <c r="G19" s="34">
        <v>1195704</v>
      </c>
      <c r="H19" s="34">
        <v>1822275</v>
      </c>
      <c r="I19" s="34">
        <v>1183664</v>
      </c>
      <c r="J19" s="34">
        <v>1458448</v>
      </c>
      <c r="K19" s="34">
        <v>1440486</v>
      </c>
      <c r="L19" s="34">
        <v>1302520</v>
      </c>
      <c r="M19" s="34">
        <v>1120664</v>
      </c>
    </row>
    <row r="20" spans="1:13" ht="17.25" customHeight="1">
      <c r="A20" s="1678"/>
      <c r="B20" s="1678"/>
      <c r="C20" s="1678"/>
      <c r="D20" s="1678"/>
      <c r="E20" s="1678"/>
      <c r="F20" s="1678"/>
      <c r="J20" s="316"/>
      <c r="K20" s="316"/>
      <c r="L20" s="359"/>
      <c r="M20" s="360" t="s">
        <v>1408</v>
      </c>
    </row>
    <row r="21" spans="1:13">
      <c r="A21" s="1712"/>
      <c r="B21" s="1712"/>
      <c r="C21" s="1712"/>
      <c r="D21" s="1712"/>
      <c r="E21" s="1712"/>
      <c r="F21" s="1712"/>
      <c r="J21" s="316"/>
      <c r="K21" s="316"/>
      <c r="L21" s="359"/>
      <c r="M21" s="339"/>
    </row>
    <row r="22" spans="1:13">
      <c r="H22" s="49"/>
    </row>
    <row r="24" spans="1:13">
      <c r="E24" s="75"/>
    </row>
  </sheetData>
  <mergeCells count="22">
    <mergeCell ref="A20:F21"/>
    <mergeCell ref="A16:A17"/>
    <mergeCell ref="H4:I4"/>
    <mergeCell ref="F4:G4"/>
    <mergeCell ref="B19:C19"/>
    <mergeCell ref="C4:C5"/>
    <mergeCell ref="F16:G16"/>
    <mergeCell ref="H16:I16"/>
    <mergeCell ref="B18:C18"/>
    <mergeCell ref="B16:C17"/>
    <mergeCell ref="A14:L14"/>
    <mergeCell ref="D16:E16"/>
    <mergeCell ref="D4:E4"/>
    <mergeCell ref="B4:B5"/>
    <mergeCell ref="L16:M16"/>
    <mergeCell ref="J16:K16"/>
    <mergeCell ref="A1:M1"/>
    <mergeCell ref="A13:M13"/>
    <mergeCell ref="L4:M4"/>
    <mergeCell ref="A2:M2"/>
    <mergeCell ref="J4:K4"/>
    <mergeCell ref="A4:A5"/>
  </mergeCells>
  <phoneticPr fontId="0" type="noConversion"/>
  <printOptions horizontalCentered="1" verticalCentered="1"/>
  <pageMargins left="0.1" right="0.1" top="0.25" bottom="0.1" header="0.15" footer="0.1"/>
  <pageSetup paperSize="9" orientation="landscape" blackAndWhite="1" r:id="rId1"/>
  <headerFooter alignWithMargins="0"/>
</worksheet>
</file>

<file path=xl/worksheets/sheet73.xml><?xml version="1.0" encoding="utf-8"?>
<worksheet xmlns="http://schemas.openxmlformats.org/spreadsheetml/2006/main" xmlns:r="http://schemas.openxmlformats.org/officeDocument/2006/relationships">
  <dimension ref="A1:L26"/>
  <sheetViews>
    <sheetView workbookViewId="0">
      <selection activeCell="F14" sqref="F14"/>
    </sheetView>
  </sheetViews>
  <sheetFormatPr defaultRowHeight="12.75"/>
  <cols>
    <col min="1" max="1" width="15.85546875" customWidth="1"/>
    <col min="2" max="12" width="10.5703125" customWidth="1"/>
  </cols>
  <sheetData>
    <row r="1" spans="1:12" ht="21" customHeight="1">
      <c r="A1" s="1658" t="s">
        <v>870</v>
      </c>
      <c r="B1" s="1658"/>
      <c r="C1" s="1658"/>
      <c r="D1" s="1658"/>
      <c r="E1" s="1658"/>
      <c r="F1" s="1658"/>
      <c r="G1" s="1658"/>
      <c r="H1" s="1658"/>
      <c r="I1" s="1658"/>
      <c r="J1" s="1658"/>
      <c r="K1" s="1658"/>
      <c r="L1" s="1658"/>
    </row>
    <row r="2" spans="1:12" ht="21" customHeight="1">
      <c r="A2" s="1676" t="str">
        <f>CONCATENATE("Revenue collected from different sources in the district of ",District!$A$1)</f>
        <v>Revenue collected from different sources in the district of Purulia</v>
      </c>
      <c r="B2" s="1676"/>
      <c r="C2" s="1676"/>
      <c r="D2" s="1676"/>
      <c r="E2" s="1676"/>
      <c r="F2" s="1676"/>
      <c r="G2" s="1676"/>
      <c r="H2" s="1676"/>
      <c r="I2" s="1676"/>
      <c r="J2" s="1676"/>
      <c r="K2" s="1676"/>
      <c r="L2" s="1676"/>
    </row>
    <row r="3" spans="1:12" ht="12" customHeight="1">
      <c r="A3" s="49"/>
      <c r="B3" s="158"/>
      <c r="C3" s="158"/>
      <c r="D3" s="158"/>
      <c r="E3" s="158"/>
      <c r="F3" s="158"/>
      <c r="G3" s="158"/>
      <c r="H3" s="158"/>
      <c r="I3" s="158"/>
      <c r="J3" s="158"/>
      <c r="K3" s="418"/>
      <c r="L3" s="367" t="s">
        <v>1501</v>
      </c>
    </row>
    <row r="4" spans="1:12" s="7" customFormat="1" ht="60.75" customHeight="1">
      <c r="A4" s="292" t="s">
        <v>951</v>
      </c>
      <c r="B4" s="271" t="s">
        <v>182</v>
      </c>
      <c r="C4" s="285" t="s">
        <v>189</v>
      </c>
      <c r="D4" s="368" t="s">
        <v>190</v>
      </c>
      <c r="E4" s="285" t="s">
        <v>191</v>
      </c>
      <c r="F4" s="368" t="s">
        <v>192</v>
      </c>
      <c r="G4" s="285" t="s">
        <v>196</v>
      </c>
      <c r="H4" s="368" t="s">
        <v>193</v>
      </c>
      <c r="I4" s="285" t="s">
        <v>194</v>
      </c>
      <c r="J4" s="368" t="s">
        <v>197</v>
      </c>
      <c r="K4" s="285" t="s">
        <v>195</v>
      </c>
      <c r="L4" s="273" t="s">
        <v>1035</v>
      </c>
    </row>
    <row r="5" spans="1:12" s="7" customFormat="1" ht="21.95" customHeight="1">
      <c r="A5" s="277" t="s">
        <v>1008</v>
      </c>
      <c r="B5" s="269" t="s">
        <v>1009</v>
      </c>
      <c r="C5" s="299" t="s">
        <v>1010</v>
      </c>
      <c r="D5" s="486" t="s">
        <v>1011</v>
      </c>
      <c r="E5" s="299" t="s">
        <v>1015</v>
      </c>
      <c r="F5" s="486" t="s">
        <v>1016</v>
      </c>
      <c r="G5" s="299" t="s">
        <v>1017</v>
      </c>
      <c r="H5" s="486" t="s">
        <v>1039</v>
      </c>
      <c r="I5" s="299" t="s">
        <v>1040</v>
      </c>
      <c r="J5" s="486" t="s">
        <v>1041</v>
      </c>
      <c r="K5" s="299" t="s">
        <v>1042</v>
      </c>
      <c r="L5" s="468" t="s">
        <v>1076</v>
      </c>
    </row>
    <row r="6" spans="1:12" ht="36" customHeight="1">
      <c r="A6" s="304" t="s">
        <v>1526</v>
      </c>
      <c r="B6" s="92">
        <v>118273</v>
      </c>
      <c r="C6" s="46">
        <v>122066</v>
      </c>
      <c r="D6" s="92">
        <v>108801</v>
      </c>
      <c r="E6" s="160">
        <v>302087</v>
      </c>
      <c r="F6" s="46">
        <v>64530</v>
      </c>
      <c r="G6" s="92">
        <v>1579</v>
      </c>
      <c r="H6" s="46">
        <v>13397</v>
      </c>
      <c r="I6" s="92" t="s">
        <v>57</v>
      </c>
      <c r="J6" s="46">
        <v>58088</v>
      </c>
      <c r="K6" s="92" t="s">
        <v>57</v>
      </c>
      <c r="L6" s="96">
        <f>SUM(B6:K6)</f>
        <v>788821</v>
      </c>
    </row>
    <row r="7" spans="1:12" ht="36" customHeight="1">
      <c r="A7" s="266" t="s">
        <v>1525</v>
      </c>
      <c r="B7" s="35">
        <v>51041</v>
      </c>
      <c r="C7" s="46">
        <v>147190</v>
      </c>
      <c r="D7" s="35">
        <v>56216</v>
      </c>
      <c r="E7" s="51">
        <v>285878</v>
      </c>
      <c r="F7" s="46">
        <v>83121</v>
      </c>
      <c r="G7" s="35">
        <v>1341</v>
      </c>
      <c r="H7" s="46">
        <v>339</v>
      </c>
      <c r="I7" s="35" t="s">
        <v>57</v>
      </c>
      <c r="J7" s="46">
        <v>64089</v>
      </c>
      <c r="K7" s="35">
        <v>496988</v>
      </c>
      <c r="L7" s="96">
        <f>SUM(B7:K7)</f>
        <v>1186203</v>
      </c>
    </row>
    <row r="8" spans="1:12" ht="36" customHeight="1">
      <c r="A8" s="266" t="s">
        <v>1051</v>
      </c>
      <c r="B8" s="35">
        <v>1060035</v>
      </c>
      <c r="C8" s="46">
        <v>165409</v>
      </c>
      <c r="D8" s="35">
        <v>6240</v>
      </c>
      <c r="E8" s="51">
        <v>234794</v>
      </c>
      <c r="F8" s="46">
        <v>102056</v>
      </c>
      <c r="G8" s="35">
        <v>1087</v>
      </c>
      <c r="H8" s="46">
        <v>124</v>
      </c>
      <c r="I8" s="35" t="s">
        <v>57</v>
      </c>
      <c r="J8" s="46">
        <v>69839</v>
      </c>
      <c r="K8" s="35">
        <v>33866</v>
      </c>
      <c r="L8" s="96">
        <f>SUM(B8:K8)</f>
        <v>1673450</v>
      </c>
    </row>
    <row r="9" spans="1:12" ht="36" customHeight="1">
      <c r="A9" s="266" t="s">
        <v>1250</v>
      </c>
      <c r="B9" s="35">
        <v>191480</v>
      </c>
      <c r="C9" s="46">
        <v>216087</v>
      </c>
      <c r="D9" s="35">
        <v>69639</v>
      </c>
      <c r="E9" s="51">
        <v>285970</v>
      </c>
      <c r="F9" s="46">
        <v>152311</v>
      </c>
      <c r="G9" s="35">
        <v>1016</v>
      </c>
      <c r="H9" s="46">
        <v>78</v>
      </c>
      <c r="I9" s="35" t="s">
        <v>57</v>
      </c>
      <c r="J9" s="46">
        <v>79421</v>
      </c>
      <c r="K9" s="35">
        <v>642589</v>
      </c>
      <c r="L9" s="96">
        <f>SUM(B9:K9)</f>
        <v>1638591</v>
      </c>
    </row>
    <row r="10" spans="1:12" ht="36" customHeight="1">
      <c r="A10" s="267" t="s">
        <v>527</v>
      </c>
      <c r="B10" s="86">
        <v>177216</v>
      </c>
      <c r="C10" s="36">
        <v>231272</v>
      </c>
      <c r="D10" s="86">
        <v>122334</v>
      </c>
      <c r="E10" s="108">
        <v>696042</v>
      </c>
      <c r="F10" s="36">
        <v>176190</v>
      </c>
      <c r="G10" s="86">
        <v>1099</v>
      </c>
      <c r="H10" s="36">
        <v>175</v>
      </c>
      <c r="I10" s="230" t="s">
        <v>57</v>
      </c>
      <c r="J10" s="36">
        <v>88624</v>
      </c>
      <c r="K10" s="86">
        <v>811567</v>
      </c>
      <c r="L10" s="97">
        <f>SUM(B10:K10)</f>
        <v>2304519</v>
      </c>
    </row>
    <row r="11" spans="1:12">
      <c r="A11" s="207"/>
      <c r="B11" s="188"/>
      <c r="C11" s="188"/>
      <c r="D11" s="49"/>
      <c r="E11" s="49"/>
      <c r="F11" s="49"/>
      <c r="H11" s="565" t="s">
        <v>1469</v>
      </c>
      <c r="I11" s="580" t="s">
        <v>75</v>
      </c>
      <c r="J11" s="318"/>
      <c r="K11" s="318"/>
      <c r="L11" s="318"/>
    </row>
    <row r="12" spans="1:12">
      <c r="A12" s="49"/>
      <c r="B12" s="49"/>
      <c r="C12" s="49"/>
      <c r="D12" s="49"/>
      <c r="E12" s="49"/>
      <c r="F12" s="49"/>
      <c r="H12" s="349"/>
      <c r="I12" s="564" t="s">
        <v>481</v>
      </c>
      <c r="J12" s="330"/>
      <c r="K12" s="330"/>
      <c r="L12" s="330"/>
    </row>
    <row r="13" spans="1:12" ht="11.25" customHeight="1">
      <c r="H13" s="305"/>
      <c r="I13" s="305"/>
      <c r="J13" s="305"/>
      <c r="K13" s="305"/>
      <c r="L13" s="305"/>
    </row>
    <row r="14" spans="1:12" ht="15.75" customHeight="1"/>
    <row r="15" spans="1:12" ht="12" customHeight="1"/>
    <row r="16" spans="1:12" ht="12.75" customHeight="1"/>
    <row r="18" ht="15" customHeight="1"/>
    <row r="19" ht="15" customHeight="1"/>
    <row r="20" ht="15" customHeight="1"/>
    <row r="21" ht="15" customHeight="1"/>
    <row r="22" ht="15" customHeight="1"/>
    <row r="23" ht="15" customHeight="1"/>
    <row r="24" ht="15" customHeight="1"/>
    <row r="25" ht="15" customHeight="1"/>
    <row r="26" ht="15" customHeight="1"/>
  </sheetData>
  <mergeCells count="2">
    <mergeCell ref="A1:L1"/>
    <mergeCell ref="A2:L2"/>
  </mergeCells>
  <phoneticPr fontId="0" type="noConversion"/>
  <printOptions horizontalCentered="1" verticalCentered="1"/>
  <pageMargins left="0.1" right="0.1" top="0.28999999999999998" bottom="0.14000000000000001" header="0.24" footer="0.14000000000000001"/>
  <pageSetup paperSize="9" orientation="landscape" blackAndWhite="1" r:id="rId1"/>
  <headerFooter alignWithMargins="0"/>
</worksheet>
</file>

<file path=xl/worksheets/sheet74.xml><?xml version="1.0" encoding="utf-8"?>
<worksheet xmlns="http://schemas.openxmlformats.org/spreadsheetml/2006/main" xmlns:r="http://schemas.openxmlformats.org/officeDocument/2006/relationships">
  <dimension ref="A1:H43"/>
  <sheetViews>
    <sheetView topLeftCell="A4" workbookViewId="0">
      <selection activeCell="F14" sqref="F14"/>
    </sheetView>
  </sheetViews>
  <sheetFormatPr defaultRowHeight="12.75"/>
  <sheetData>
    <row r="1" spans="1:8">
      <c r="A1" s="1658" t="s">
        <v>1619</v>
      </c>
      <c r="B1" s="1658"/>
      <c r="C1" s="1658"/>
      <c r="D1" s="1658"/>
      <c r="E1" s="1658"/>
      <c r="F1" s="1658"/>
      <c r="G1" s="1658"/>
      <c r="H1" s="1658"/>
    </row>
    <row r="2" spans="1:8" ht="16.5">
      <c r="A2" s="1676" t="str">
        <f>CONCATENATE("Net Collection from Small Savings in the district of ",District!$A$1)</f>
        <v>Net Collection from Small Savings in the district of Purulia</v>
      </c>
      <c r="B2" s="1676"/>
      <c r="C2" s="1676"/>
      <c r="D2" s="1676"/>
      <c r="E2" s="1676"/>
      <c r="F2" s="1676"/>
      <c r="G2" s="1676"/>
      <c r="H2" s="1676"/>
    </row>
    <row r="3" spans="1:8">
      <c r="A3" s="49"/>
      <c r="B3" s="49"/>
      <c r="C3" s="49"/>
      <c r="E3" s="49"/>
      <c r="F3" s="49"/>
      <c r="G3" s="359"/>
      <c r="H3" s="412" t="s">
        <v>1501</v>
      </c>
    </row>
    <row r="4" spans="1:8" ht="18" customHeight="1">
      <c r="A4" s="1709" t="s">
        <v>951</v>
      </c>
      <c r="B4" s="1701"/>
      <c r="C4" s="1701"/>
      <c r="D4" s="1687"/>
      <c r="E4" s="1709" t="s">
        <v>99</v>
      </c>
      <c r="F4" s="1701"/>
      <c r="G4" s="1701"/>
      <c r="H4" s="1687"/>
    </row>
    <row r="5" spans="1:8" ht="18" customHeight="1">
      <c r="A5" s="1675" t="s">
        <v>1008</v>
      </c>
      <c r="B5" s="1732"/>
      <c r="C5" s="1732"/>
      <c r="D5" s="1699"/>
      <c r="E5" s="1675" t="s">
        <v>1009</v>
      </c>
      <c r="F5" s="1732"/>
      <c r="G5" s="1732"/>
      <c r="H5" s="1699"/>
    </row>
    <row r="6" spans="1:8" ht="18" customHeight="1">
      <c r="A6" s="1724" t="s">
        <v>1526</v>
      </c>
      <c r="B6" s="1825"/>
      <c r="C6" s="1825"/>
      <c r="D6" s="1725"/>
      <c r="E6" s="1704">
        <v>2117782</v>
      </c>
      <c r="F6" s="1706"/>
      <c r="G6" s="1706"/>
      <c r="H6" s="1705"/>
    </row>
    <row r="7" spans="1:8" ht="18" customHeight="1">
      <c r="A7" s="1722" t="s">
        <v>1525</v>
      </c>
      <c r="B7" s="1746"/>
      <c r="C7" s="1746"/>
      <c r="D7" s="1723"/>
      <c r="E7" s="1694">
        <v>1652803</v>
      </c>
      <c r="F7" s="1698"/>
      <c r="G7" s="1698"/>
      <c r="H7" s="1695"/>
    </row>
    <row r="8" spans="1:8" ht="18" customHeight="1">
      <c r="A8" s="1722" t="s">
        <v>1051</v>
      </c>
      <c r="B8" s="1746"/>
      <c r="C8" s="1746"/>
      <c r="D8" s="1746"/>
      <c r="E8" s="1694">
        <v>1095871</v>
      </c>
      <c r="F8" s="1698"/>
      <c r="G8" s="1698"/>
      <c r="H8" s="1695"/>
    </row>
    <row r="9" spans="1:8" ht="18" customHeight="1">
      <c r="A9" s="1722" t="s">
        <v>1250</v>
      </c>
      <c r="B9" s="1746"/>
      <c r="C9" s="1746"/>
      <c r="D9" s="1746"/>
      <c r="E9" s="1694">
        <v>711281</v>
      </c>
      <c r="F9" s="1698"/>
      <c r="G9" s="1698"/>
      <c r="H9" s="1695"/>
    </row>
    <row r="10" spans="1:8" ht="18" customHeight="1">
      <c r="A10" s="1720" t="s">
        <v>527</v>
      </c>
      <c r="B10" s="1743"/>
      <c r="C10" s="1743"/>
      <c r="D10" s="1743"/>
      <c r="E10" s="1689">
        <f>SUM(E13,E22,E31)</f>
        <v>1290750</v>
      </c>
      <c r="F10" s="1693"/>
      <c r="G10" s="1693"/>
      <c r="H10" s="1690"/>
    </row>
    <row r="11" spans="1:8" ht="18" customHeight="1">
      <c r="A11" s="1793" t="s">
        <v>1218</v>
      </c>
      <c r="B11" s="1827"/>
      <c r="C11" s="1827"/>
      <c r="D11" s="1794"/>
      <c r="E11" s="1866" t="str">
        <f>"Year : " &amp;A10</f>
        <v>Year : 2013-14</v>
      </c>
      <c r="F11" s="1867"/>
      <c r="G11" s="1867"/>
      <c r="H11" s="1868"/>
    </row>
    <row r="12" spans="1:8" ht="18" customHeight="1">
      <c r="A12" s="1829"/>
      <c r="B12" s="1828"/>
      <c r="C12" s="1828"/>
      <c r="D12" s="1856"/>
      <c r="E12" s="1869"/>
      <c r="F12" s="1870"/>
      <c r="G12" s="1870"/>
      <c r="H12" s="1871"/>
    </row>
    <row r="13" spans="1:8" ht="18" customHeight="1">
      <c r="A13" s="1860" t="s">
        <v>619</v>
      </c>
      <c r="B13" s="1861"/>
      <c r="C13" s="1861"/>
      <c r="D13" s="1862"/>
      <c r="E13" s="1872">
        <f>SUM(E14:F21)</f>
        <v>193623</v>
      </c>
      <c r="F13" s="1873"/>
      <c r="G13" s="1873"/>
      <c r="H13" s="1874"/>
    </row>
    <row r="14" spans="1:8" ht="18" customHeight="1">
      <c r="A14" s="1863" t="s">
        <v>26</v>
      </c>
      <c r="B14" s="1864"/>
      <c r="C14" s="1864"/>
      <c r="D14" s="1865"/>
      <c r="E14" s="1694">
        <v>5812</v>
      </c>
      <c r="F14" s="1698"/>
      <c r="G14" s="1698"/>
      <c r="H14" s="1695"/>
    </row>
    <row r="15" spans="1:8" ht="18" customHeight="1">
      <c r="A15" s="1722" t="s">
        <v>27</v>
      </c>
      <c r="B15" s="1746"/>
      <c r="C15" s="1746"/>
      <c r="D15" s="1723"/>
      <c r="E15" s="1694">
        <v>11621</v>
      </c>
      <c r="F15" s="1698"/>
      <c r="G15" s="1698"/>
      <c r="H15" s="1695"/>
    </row>
    <row r="16" spans="1:8" ht="18" customHeight="1">
      <c r="A16" s="1722" t="s">
        <v>53</v>
      </c>
      <c r="B16" s="1746"/>
      <c r="C16" s="1746"/>
      <c r="D16" s="1723"/>
      <c r="E16" s="1694">
        <v>23236</v>
      </c>
      <c r="F16" s="1698"/>
      <c r="G16" s="1698"/>
      <c r="H16" s="1695"/>
    </row>
    <row r="17" spans="1:8" ht="18" customHeight="1">
      <c r="A17" s="1722" t="s">
        <v>28</v>
      </c>
      <c r="B17" s="1746"/>
      <c r="C17" s="1746"/>
      <c r="D17" s="1723"/>
      <c r="E17" s="1694">
        <v>13555</v>
      </c>
      <c r="F17" s="1698"/>
      <c r="G17" s="1698"/>
      <c r="H17" s="1695"/>
    </row>
    <row r="18" spans="1:8" ht="18" customHeight="1">
      <c r="A18" s="1722" t="s">
        <v>29</v>
      </c>
      <c r="B18" s="1746"/>
      <c r="C18" s="1746"/>
      <c r="D18" s="1723"/>
      <c r="E18" s="1694">
        <v>15491</v>
      </c>
      <c r="F18" s="1698"/>
      <c r="G18" s="1698"/>
      <c r="H18" s="1695"/>
    </row>
    <row r="19" spans="1:8" ht="18" customHeight="1">
      <c r="A19" s="1722" t="s">
        <v>48</v>
      </c>
      <c r="B19" s="1746"/>
      <c r="C19" s="1746"/>
      <c r="D19" s="1723"/>
      <c r="E19" s="1694">
        <v>19363</v>
      </c>
      <c r="F19" s="1698"/>
      <c r="G19" s="1698"/>
      <c r="H19" s="1695"/>
    </row>
    <row r="20" spans="1:8" ht="18" customHeight="1">
      <c r="A20" s="1722" t="s">
        <v>54</v>
      </c>
      <c r="B20" s="1746"/>
      <c r="C20" s="1746"/>
      <c r="D20" s="1723"/>
      <c r="E20" s="1694">
        <v>9680</v>
      </c>
      <c r="F20" s="1698"/>
      <c r="G20" s="1698"/>
      <c r="H20" s="1695"/>
    </row>
    <row r="21" spans="1:8" ht="18" customHeight="1">
      <c r="A21" s="1722" t="s">
        <v>49</v>
      </c>
      <c r="B21" s="1746"/>
      <c r="C21" s="1746"/>
      <c r="D21" s="1723"/>
      <c r="E21" s="1390">
        <v>94865</v>
      </c>
      <c r="F21" s="1487"/>
      <c r="G21" s="1487"/>
      <c r="H21" s="1391"/>
    </row>
    <row r="22" spans="1:8" ht="18" customHeight="1">
      <c r="A22" s="1858" t="s">
        <v>759</v>
      </c>
      <c r="B22" s="1658"/>
      <c r="C22" s="1658"/>
      <c r="D22" s="1859"/>
      <c r="E22" s="1858">
        <f>SUM(E23:E30)</f>
        <v>748621</v>
      </c>
      <c r="F22" s="1658"/>
      <c r="G22" s="1658"/>
      <c r="H22" s="1859"/>
    </row>
    <row r="23" spans="1:8" ht="18" customHeight="1">
      <c r="A23" s="1722" t="s">
        <v>33</v>
      </c>
      <c r="B23" s="1746"/>
      <c r="C23" s="1746"/>
      <c r="D23" s="1723"/>
      <c r="E23" s="1694">
        <v>22457</v>
      </c>
      <c r="F23" s="1698"/>
      <c r="G23" s="1698"/>
      <c r="H23" s="1695"/>
    </row>
    <row r="24" spans="1:8" ht="18" customHeight="1">
      <c r="A24" s="1722" t="s">
        <v>34</v>
      </c>
      <c r="B24" s="1746"/>
      <c r="C24" s="1746"/>
      <c r="D24" s="1723"/>
      <c r="E24" s="1694">
        <v>29954</v>
      </c>
      <c r="F24" s="1698"/>
      <c r="G24" s="1698"/>
      <c r="H24" s="1695"/>
    </row>
    <row r="25" spans="1:8" ht="18" customHeight="1">
      <c r="A25" s="1722" t="s">
        <v>55</v>
      </c>
      <c r="B25" s="1746"/>
      <c r="C25" s="1746"/>
      <c r="D25" s="1723"/>
      <c r="E25" s="1694">
        <v>37429</v>
      </c>
      <c r="F25" s="1698"/>
      <c r="G25" s="1698"/>
      <c r="H25" s="1695"/>
    </row>
    <row r="26" spans="1:8" ht="18" customHeight="1">
      <c r="A26" s="1722" t="s">
        <v>56</v>
      </c>
      <c r="B26" s="1746"/>
      <c r="C26" s="1746"/>
      <c r="D26" s="1723"/>
      <c r="E26" s="1694">
        <v>14972</v>
      </c>
      <c r="F26" s="1698"/>
      <c r="G26" s="1698"/>
      <c r="H26" s="1695"/>
    </row>
    <row r="27" spans="1:8" ht="18" customHeight="1">
      <c r="A27" s="1722" t="s">
        <v>45</v>
      </c>
      <c r="B27" s="1746"/>
      <c r="C27" s="1746"/>
      <c r="D27" s="1723"/>
      <c r="E27" s="1694">
        <v>22457</v>
      </c>
      <c r="F27" s="1698"/>
      <c r="G27" s="1698"/>
      <c r="H27" s="1695"/>
    </row>
    <row r="28" spans="1:8" ht="18" customHeight="1">
      <c r="A28" s="1722" t="s">
        <v>46</v>
      </c>
      <c r="B28" s="1746"/>
      <c r="C28" s="1746"/>
      <c r="D28" s="1723"/>
      <c r="E28" s="1694">
        <v>37429</v>
      </c>
      <c r="F28" s="1698"/>
      <c r="G28" s="1698"/>
      <c r="H28" s="1695"/>
    </row>
    <row r="29" spans="1:8" ht="18" customHeight="1">
      <c r="A29" s="1722" t="s">
        <v>47</v>
      </c>
      <c r="B29" s="1746"/>
      <c r="C29" s="1746"/>
      <c r="D29" s="1723"/>
      <c r="E29" s="1694">
        <v>29959</v>
      </c>
      <c r="F29" s="1698"/>
      <c r="G29" s="1698"/>
      <c r="H29" s="1695"/>
    </row>
    <row r="30" spans="1:8" ht="18" customHeight="1">
      <c r="A30" s="1722" t="s">
        <v>58</v>
      </c>
      <c r="B30" s="1746"/>
      <c r="C30" s="1746"/>
      <c r="D30" s="1723"/>
      <c r="E30" s="1694">
        <v>553964</v>
      </c>
      <c r="F30" s="1698"/>
      <c r="G30" s="1698"/>
      <c r="H30" s="1695"/>
    </row>
    <row r="31" spans="1:8" ht="18" customHeight="1">
      <c r="A31" s="1858" t="s">
        <v>339</v>
      </c>
      <c r="B31" s="1658"/>
      <c r="C31" s="1658"/>
      <c r="D31" s="1859"/>
      <c r="E31" s="1858">
        <f>SUM(E32:E38)</f>
        <v>348506</v>
      </c>
      <c r="F31" s="1658"/>
      <c r="G31" s="1658"/>
      <c r="H31" s="1859"/>
    </row>
    <row r="32" spans="1:8" ht="18" customHeight="1">
      <c r="A32" s="1722" t="s">
        <v>36</v>
      </c>
      <c r="B32" s="1746"/>
      <c r="C32" s="1746"/>
      <c r="D32" s="1723"/>
      <c r="E32" s="1694">
        <v>146363</v>
      </c>
      <c r="F32" s="1698"/>
      <c r="G32" s="1698"/>
      <c r="H32" s="1695"/>
    </row>
    <row r="33" spans="1:8" ht="18" customHeight="1">
      <c r="A33" s="1722" t="s">
        <v>37</v>
      </c>
      <c r="B33" s="1746"/>
      <c r="C33" s="1746"/>
      <c r="D33" s="1723"/>
      <c r="E33" s="1694">
        <v>6969</v>
      </c>
      <c r="F33" s="1698"/>
      <c r="G33" s="1698"/>
      <c r="H33" s="1695"/>
    </row>
    <row r="34" spans="1:8" ht="18" customHeight="1">
      <c r="A34" s="1722" t="s">
        <v>38</v>
      </c>
      <c r="B34" s="1746"/>
      <c r="C34" s="1746"/>
      <c r="D34" s="1723"/>
      <c r="E34" s="1694">
        <v>52273</v>
      </c>
      <c r="F34" s="1698"/>
      <c r="G34" s="1698"/>
      <c r="H34" s="1695"/>
    </row>
    <row r="35" spans="1:8" ht="18" customHeight="1">
      <c r="A35" s="1722" t="s">
        <v>40</v>
      </c>
      <c r="B35" s="1746"/>
      <c r="C35" s="1746"/>
      <c r="D35" s="1723"/>
      <c r="E35" s="1694">
        <v>13939</v>
      </c>
      <c r="F35" s="1698"/>
      <c r="G35" s="1698"/>
      <c r="H35" s="1695"/>
    </row>
    <row r="36" spans="1:8" ht="18" customHeight="1">
      <c r="A36" s="1722" t="s">
        <v>52</v>
      </c>
      <c r="B36" s="1746"/>
      <c r="C36" s="1746"/>
      <c r="D36" s="1723"/>
      <c r="E36" s="1694">
        <v>6969</v>
      </c>
      <c r="F36" s="1698"/>
      <c r="G36" s="1698"/>
      <c r="H36" s="1695"/>
    </row>
    <row r="37" spans="1:8" ht="18" customHeight="1">
      <c r="A37" s="1722" t="s">
        <v>41</v>
      </c>
      <c r="B37" s="1746"/>
      <c r="C37" s="1746"/>
      <c r="D37" s="1723"/>
      <c r="E37" s="1694">
        <v>118509</v>
      </c>
      <c r="F37" s="1698"/>
      <c r="G37" s="1698"/>
      <c r="H37" s="1695"/>
    </row>
    <row r="38" spans="1:8" ht="18" customHeight="1">
      <c r="A38" s="1720" t="s">
        <v>39</v>
      </c>
      <c r="B38" s="1743"/>
      <c r="C38" s="1743"/>
      <c r="D38" s="1721"/>
      <c r="E38" s="1689">
        <v>3484</v>
      </c>
      <c r="F38" s="1693"/>
      <c r="G38" s="1693"/>
      <c r="H38" s="1690"/>
    </row>
    <row r="39" spans="1:8" ht="23.25" customHeight="1">
      <c r="E39" s="567" t="s">
        <v>1400</v>
      </c>
      <c r="F39" s="1857" t="s">
        <v>1513</v>
      </c>
      <c r="G39" s="1857"/>
      <c r="H39" s="1857"/>
    </row>
    <row r="40" spans="1:8">
      <c r="F40" s="49"/>
      <c r="G40" s="19"/>
      <c r="H40" s="19"/>
    </row>
    <row r="41" spans="1:8">
      <c r="F41" s="177"/>
      <c r="H41" s="244"/>
    </row>
    <row r="42" spans="1:8">
      <c r="G42" s="244"/>
      <c r="H42" s="244"/>
    </row>
    <row r="43" spans="1:8">
      <c r="G43" s="47"/>
      <c r="H43" s="47"/>
    </row>
  </sheetData>
  <mergeCells count="71">
    <mergeCell ref="E15:H15"/>
    <mergeCell ref="E16:H16"/>
    <mergeCell ref="E14:H14"/>
    <mergeCell ref="E17:H17"/>
    <mergeCell ref="E20:H20"/>
    <mergeCell ref="A17:D17"/>
    <mergeCell ref="A18:D18"/>
    <mergeCell ref="A19:D19"/>
    <mergeCell ref="E18:H18"/>
    <mergeCell ref="E19:H19"/>
    <mergeCell ref="A29:D29"/>
    <mergeCell ref="A22:D22"/>
    <mergeCell ref="A23:D23"/>
    <mergeCell ref="A24:D24"/>
    <mergeCell ref="A25:D25"/>
    <mergeCell ref="A26:D26"/>
    <mergeCell ref="A27:D27"/>
    <mergeCell ref="E21:H21"/>
    <mergeCell ref="A28:D28"/>
    <mergeCell ref="A11:D12"/>
    <mergeCell ref="A13:D13"/>
    <mergeCell ref="A14:D14"/>
    <mergeCell ref="A16:D16"/>
    <mergeCell ref="A21:D21"/>
    <mergeCell ref="E11:H12"/>
    <mergeCell ref="E26:H26"/>
    <mergeCell ref="E24:H24"/>
    <mergeCell ref="E25:H25"/>
    <mergeCell ref="E22:H22"/>
    <mergeCell ref="E23:H23"/>
    <mergeCell ref="E13:H13"/>
    <mergeCell ref="A20:D20"/>
    <mergeCell ref="A15:D15"/>
    <mergeCell ref="A1:H1"/>
    <mergeCell ref="E10:H10"/>
    <mergeCell ref="A4:D4"/>
    <mergeCell ref="A5:D5"/>
    <mergeCell ref="A6:D6"/>
    <mergeCell ref="A8:D8"/>
    <mergeCell ref="A9:D9"/>
    <mergeCell ref="E5:H5"/>
    <mergeCell ref="E9:H9"/>
    <mergeCell ref="E8:H8"/>
    <mergeCell ref="E6:H6"/>
    <mergeCell ref="E7:H7"/>
    <mergeCell ref="E4:H4"/>
    <mergeCell ref="A7:D7"/>
    <mergeCell ref="A2:H2"/>
    <mergeCell ref="A10:D10"/>
    <mergeCell ref="E32:H32"/>
    <mergeCell ref="A38:D38"/>
    <mergeCell ref="A37:D37"/>
    <mergeCell ref="A30:D30"/>
    <mergeCell ref="A31:D31"/>
    <mergeCell ref="A32:D32"/>
    <mergeCell ref="A33:D33"/>
    <mergeCell ref="A34:D34"/>
    <mergeCell ref="A35:D35"/>
    <mergeCell ref="A36:D36"/>
    <mergeCell ref="E27:H27"/>
    <mergeCell ref="E28:H28"/>
    <mergeCell ref="E29:H29"/>
    <mergeCell ref="E30:H30"/>
    <mergeCell ref="E31:H31"/>
    <mergeCell ref="F39:H39"/>
    <mergeCell ref="E37:H37"/>
    <mergeCell ref="E38:H38"/>
    <mergeCell ref="E33:H33"/>
    <mergeCell ref="E34:H34"/>
    <mergeCell ref="E35:H35"/>
    <mergeCell ref="E36:H36"/>
  </mergeCells>
  <phoneticPr fontId="0" type="noConversion"/>
  <printOptions horizontalCentered="1" verticalCentered="1"/>
  <pageMargins left="0.15" right="0.1" top="0.16" bottom="0.1" header="0.23" footer="0.1"/>
  <pageSetup paperSize="9" orientation="portrait" blackAndWhite="1" r:id="rId1"/>
  <headerFooter alignWithMargins="0"/>
</worksheet>
</file>

<file path=xl/worksheets/sheet75.xml><?xml version="1.0" encoding="utf-8"?>
<worksheet xmlns="http://schemas.openxmlformats.org/spreadsheetml/2006/main" xmlns:r="http://schemas.openxmlformats.org/officeDocument/2006/relationships">
  <dimension ref="A1"/>
  <sheetViews>
    <sheetView zoomScale="75" workbookViewId="0">
      <selection activeCell="R24" sqref="R24"/>
    </sheetView>
  </sheetViews>
  <sheetFormatPr defaultRowHeight="12.75"/>
  <sheetData/>
  <phoneticPr fontId="0" type="noConversion"/>
  <pageMargins left="0.75" right="0.75" top="1" bottom="1" header="0.5" footer="0.5"/>
  <pageSetup paperSize="9" orientation="portrait" r:id="rId1"/>
  <headerFooter alignWithMargins="0"/>
  <drawing r:id="rId2"/>
</worksheet>
</file>

<file path=xl/worksheets/sheet76.xml><?xml version="1.0" encoding="utf-8"?>
<worksheet xmlns="http://schemas.openxmlformats.org/spreadsheetml/2006/main" xmlns:r="http://schemas.openxmlformats.org/officeDocument/2006/relationships">
  <dimension ref="A1:L30"/>
  <sheetViews>
    <sheetView workbookViewId="0">
      <selection activeCell="L7" sqref="L7"/>
    </sheetView>
  </sheetViews>
  <sheetFormatPr defaultRowHeight="12.75"/>
  <cols>
    <col min="1" max="1" width="4.5703125" customWidth="1"/>
    <col min="2" max="2" width="14.28515625" customWidth="1"/>
    <col min="3" max="3" width="15.140625" customWidth="1"/>
    <col min="4" max="4" width="11.140625" customWidth="1"/>
    <col min="5" max="5" width="12" customWidth="1"/>
    <col min="6" max="6" width="11.7109375" customWidth="1"/>
    <col min="7" max="7" width="15.28515625" customWidth="1"/>
    <col min="8" max="8" width="9.140625" customWidth="1"/>
    <col min="12" max="12" width="10.7109375" bestFit="1" customWidth="1"/>
  </cols>
  <sheetData>
    <row r="1" spans="1:12" ht="18.75" customHeight="1">
      <c r="A1" s="1658" t="s">
        <v>916</v>
      </c>
      <c r="B1" s="1658"/>
      <c r="C1" s="1658"/>
      <c r="D1" s="1658"/>
      <c r="E1" s="1658"/>
      <c r="F1" s="1658"/>
      <c r="G1" s="1658"/>
    </row>
    <row r="2" spans="1:12" ht="20.25" customHeight="1">
      <c r="A2" s="1676" t="str">
        <f>CONCATENATE("Some Basic Statistics about the Blocks of ",District!$A$1, " for the year ",District!F3)</f>
        <v>Some Basic Statistics about the Blocks of Purulia for the year 2013-14</v>
      </c>
      <c r="B2" s="1676"/>
      <c r="C2" s="1676"/>
      <c r="D2" s="1676"/>
      <c r="E2" s="1676"/>
      <c r="F2" s="1676"/>
      <c r="G2" s="1676"/>
    </row>
    <row r="3" spans="1:12" ht="54.75" customHeight="1">
      <c r="A3" s="271" t="s">
        <v>30</v>
      </c>
      <c r="B3" s="285" t="s">
        <v>1273</v>
      </c>
      <c r="C3" s="271" t="s">
        <v>216</v>
      </c>
      <c r="D3" s="285" t="s">
        <v>760</v>
      </c>
      <c r="E3" s="272" t="s">
        <v>761</v>
      </c>
      <c r="F3" s="285" t="s">
        <v>762</v>
      </c>
      <c r="G3" s="273" t="s">
        <v>763</v>
      </c>
    </row>
    <row r="4" spans="1:12" ht="17.25" customHeight="1">
      <c r="A4" s="325" t="s">
        <v>1008</v>
      </c>
      <c r="B4" s="278" t="s">
        <v>1009</v>
      </c>
      <c r="C4" s="277" t="s">
        <v>1010</v>
      </c>
      <c r="D4" s="293" t="s">
        <v>1011</v>
      </c>
      <c r="E4" s="278" t="s">
        <v>1015</v>
      </c>
      <c r="F4" s="293" t="s">
        <v>1016</v>
      </c>
      <c r="G4" s="279" t="s">
        <v>1017</v>
      </c>
    </row>
    <row r="5" spans="1:12" ht="21" customHeight="1">
      <c r="A5" s="421">
        <v>1</v>
      </c>
      <c r="B5" s="408" t="s">
        <v>26</v>
      </c>
      <c r="C5" s="100">
        <v>96</v>
      </c>
      <c r="D5" s="99">
        <v>38</v>
      </c>
      <c r="E5" s="107">
        <v>4</v>
      </c>
      <c r="F5" s="99">
        <v>73</v>
      </c>
      <c r="G5" s="50">
        <v>8</v>
      </c>
      <c r="L5" s="1282"/>
    </row>
    <row r="6" spans="1:12" ht="21" customHeight="1">
      <c r="A6" s="421">
        <f t="shared" ref="A6:A24" si="0">A5+1</f>
        <v>2</v>
      </c>
      <c r="B6" s="422" t="s">
        <v>27</v>
      </c>
      <c r="C6" s="94">
        <v>139</v>
      </c>
      <c r="D6" s="99">
        <v>32</v>
      </c>
      <c r="E6" s="107">
        <v>27</v>
      </c>
      <c r="F6" s="99">
        <v>56</v>
      </c>
      <c r="G6" s="50">
        <v>8</v>
      </c>
    </row>
    <row r="7" spans="1:12" ht="21" customHeight="1">
      <c r="A7" s="421">
        <f t="shared" si="0"/>
        <v>3</v>
      </c>
      <c r="B7" s="422" t="s">
        <v>53</v>
      </c>
      <c r="C7" s="94">
        <v>90</v>
      </c>
      <c r="D7" s="99">
        <v>56</v>
      </c>
      <c r="E7" s="107">
        <v>26</v>
      </c>
      <c r="F7" s="99">
        <v>35</v>
      </c>
      <c r="G7" s="50">
        <v>7</v>
      </c>
    </row>
    <row r="8" spans="1:12" ht="21" customHeight="1">
      <c r="A8" s="421">
        <f t="shared" si="0"/>
        <v>4</v>
      </c>
      <c r="B8" s="422" t="s">
        <v>28</v>
      </c>
      <c r="C8" s="94">
        <v>198</v>
      </c>
      <c r="D8" s="99">
        <v>37</v>
      </c>
      <c r="E8" s="107">
        <v>18</v>
      </c>
      <c r="F8" s="99">
        <v>62</v>
      </c>
      <c r="G8" s="50">
        <v>7</v>
      </c>
    </row>
    <row r="9" spans="1:12" ht="21" customHeight="1">
      <c r="A9" s="421">
        <f t="shared" si="0"/>
        <v>5</v>
      </c>
      <c r="B9" s="422" t="s">
        <v>29</v>
      </c>
      <c r="C9" s="94">
        <v>110</v>
      </c>
      <c r="D9" s="99">
        <v>31</v>
      </c>
      <c r="E9" s="107">
        <v>8</v>
      </c>
      <c r="F9" s="99">
        <v>42</v>
      </c>
      <c r="G9" s="50">
        <v>7</v>
      </c>
    </row>
    <row r="10" spans="1:12" ht="21" customHeight="1">
      <c r="A10" s="421">
        <f t="shared" si="0"/>
        <v>6</v>
      </c>
      <c r="B10" s="422" t="s">
        <v>48</v>
      </c>
      <c r="C10" s="94">
        <v>132</v>
      </c>
      <c r="D10" s="99">
        <v>24</v>
      </c>
      <c r="E10" s="107">
        <v>13</v>
      </c>
      <c r="F10" s="99">
        <v>48</v>
      </c>
      <c r="G10" s="50">
        <v>10</v>
      </c>
    </row>
    <row r="11" spans="1:12" ht="21" customHeight="1">
      <c r="A11" s="421">
        <f t="shared" si="0"/>
        <v>7</v>
      </c>
      <c r="B11" s="422" t="s">
        <v>54</v>
      </c>
      <c r="C11" s="94">
        <v>120</v>
      </c>
      <c r="D11" s="99">
        <v>21</v>
      </c>
      <c r="E11" s="107">
        <v>5</v>
      </c>
      <c r="F11" s="99">
        <v>60</v>
      </c>
      <c r="G11" s="50">
        <v>9</v>
      </c>
    </row>
    <row r="12" spans="1:12" ht="21" customHeight="1">
      <c r="A12" s="421">
        <f t="shared" si="0"/>
        <v>8</v>
      </c>
      <c r="B12" s="180" t="s">
        <v>33</v>
      </c>
      <c r="C12" s="94">
        <v>135</v>
      </c>
      <c r="D12" s="99">
        <v>39</v>
      </c>
      <c r="E12" s="107">
        <v>10</v>
      </c>
      <c r="F12" s="99">
        <v>27</v>
      </c>
      <c r="G12" s="50">
        <v>8</v>
      </c>
    </row>
    <row r="13" spans="1:12" ht="21" customHeight="1">
      <c r="A13" s="421">
        <f t="shared" si="0"/>
        <v>9</v>
      </c>
      <c r="B13" s="422" t="s">
        <v>34</v>
      </c>
      <c r="C13" s="94">
        <v>112</v>
      </c>
      <c r="D13" s="99">
        <v>38</v>
      </c>
      <c r="E13" s="107">
        <v>10</v>
      </c>
      <c r="F13" s="99">
        <v>54</v>
      </c>
      <c r="G13" s="50">
        <v>10</v>
      </c>
    </row>
    <row r="14" spans="1:12" ht="21" customHeight="1">
      <c r="A14" s="421">
        <f t="shared" si="0"/>
        <v>10</v>
      </c>
      <c r="B14" s="180" t="s">
        <v>55</v>
      </c>
      <c r="C14" s="94">
        <v>244</v>
      </c>
      <c r="D14" s="99">
        <v>22</v>
      </c>
      <c r="E14" s="107">
        <v>12</v>
      </c>
      <c r="F14" s="99">
        <v>55</v>
      </c>
      <c r="G14" s="50">
        <v>10</v>
      </c>
    </row>
    <row r="15" spans="1:12" ht="21" customHeight="1">
      <c r="A15" s="421">
        <f t="shared" si="0"/>
        <v>11</v>
      </c>
      <c r="B15" s="422" t="s">
        <v>56</v>
      </c>
      <c r="C15" s="94">
        <v>136</v>
      </c>
      <c r="D15" s="99">
        <v>19</v>
      </c>
      <c r="E15" s="107">
        <v>6</v>
      </c>
      <c r="F15" s="99">
        <v>40</v>
      </c>
      <c r="G15" s="50">
        <v>7</v>
      </c>
    </row>
    <row r="16" spans="1:12" ht="21" customHeight="1">
      <c r="A16" s="421">
        <f t="shared" si="0"/>
        <v>12</v>
      </c>
      <c r="B16" s="422" t="s">
        <v>45</v>
      </c>
      <c r="C16" s="94">
        <v>109</v>
      </c>
      <c r="D16" s="99">
        <v>61</v>
      </c>
      <c r="E16" s="107">
        <v>25</v>
      </c>
      <c r="F16" s="99">
        <v>56</v>
      </c>
      <c r="G16" s="50">
        <v>10</v>
      </c>
    </row>
    <row r="17" spans="1:7" ht="21" customHeight="1">
      <c r="A17" s="421">
        <f t="shared" si="0"/>
        <v>13</v>
      </c>
      <c r="B17" s="422" t="s">
        <v>46</v>
      </c>
      <c r="C17" s="94">
        <v>106</v>
      </c>
      <c r="D17" s="99">
        <v>50</v>
      </c>
      <c r="E17" s="107">
        <v>35</v>
      </c>
      <c r="F17" s="99">
        <v>61</v>
      </c>
      <c r="G17" s="50">
        <v>8</v>
      </c>
    </row>
    <row r="18" spans="1:7" ht="21" customHeight="1">
      <c r="A18" s="421">
        <f t="shared" si="0"/>
        <v>14</v>
      </c>
      <c r="B18" s="422" t="s">
        <v>47</v>
      </c>
      <c r="C18" s="94">
        <v>103</v>
      </c>
      <c r="D18" s="99">
        <v>21</v>
      </c>
      <c r="E18" s="107">
        <v>5</v>
      </c>
      <c r="F18" s="99">
        <v>51</v>
      </c>
      <c r="G18" s="50">
        <v>9</v>
      </c>
    </row>
    <row r="19" spans="1:7" ht="21" customHeight="1">
      <c r="A19" s="421">
        <f t="shared" si="0"/>
        <v>15</v>
      </c>
      <c r="B19" s="180" t="s">
        <v>36</v>
      </c>
      <c r="C19" s="94">
        <v>199</v>
      </c>
      <c r="D19" s="99">
        <v>30</v>
      </c>
      <c r="E19" s="107" t="s">
        <v>57</v>
      </c>
      <c r="F19" s="99">
        <v>76</v>
      </c>
      <c r="G19" s="50">
        <v>13</v>
      </c>
    </row>
    <row r="20" spans="1:7" ht="21" customHeight="1">
      <c r="A20" s="421">
        <f t="shared" si="0"/>
        <v>16</v>
      </c>
      <c r="B20" s="422" t="s">
        <v>37</v>
      </c>
      <c r="C20" s="94">
        <v>110</v>
      </c>
      <c r="D20" s="99">
        <v>6</v>
      </c>
      <c r="E20" s="107">
        <v>2</v>
      </c>
      <c r="F20" s="99">
        <v>38</v>
      </c>
      <c r="G20" s="50">
        <v>7</v>
      </c>
    </row>
    <row r="21" spans="1:7" ht="21" customHeight="1">
      <c r="A21" s="421">
        <f t="shared" si="0"/>
        <v>17</v>
      </c>
      <c r="B21" s="422" t="s">
        <v>38</v>
      </c>
      <c r="C21" s="94">
        <v>122</v>
      </c>
      <c r="D21" s="99">
        <v>38</v>
      </c>
      <c r="E21" s="107">
        <v>20</v>
      </c>
      <c r="F21" s="99">
        <v>54</v>
      </c>
      <c r="G21" s="50">
        <v>10</v>
      </c>
    </row>
    <row r="22" spans="1:7" ht="21" customHeight="1">
      <c r="A22" s="421">
        <f t="shared" si="0"/>
        <v>18</v>
      </c>
      <c r="B22" s="422" t="s">
        <v>40</v>
      </c>
      <c r="C22" s="94">
        <v>80</v>
      </c>
      <c r="D22" s="99">
        <v>17</v>
      </c>
      <c r="E22" s="107">
        <v>5</v>
      </c>
      <c r="F22" s="99">
        <v>44</v>
      </c>
      <c r="G22" s="50">
        <v>7</v>
      </c>
    </row>
    <row r="23" spans="1:7" ht="21" customHeight="1">
      <c r="A23" s="421">
        <f t="shared" si="0"/>
        <v>19</v>
      </c>
      <c r="B23" s="180" t="s">
        <v>52</v>
      </c>
      <c r="C23" s="94">
        <v>93</v>
      </c>
      <c r="D23" s="99">
        <v>6</v>
      </c>
      <c r="E23" s="107">
        <v>6</v>
      </c>
      <c r="F23" s="99">
        <v>30</v>
      </c>
      <c r="G23" s="50">
        <v>6</v>
      </c>
    </row>
    <row r="24" spans="1:7" ht="21" customHeight="1">
      <c r="A24" s="423">
        <f t="shared" si="0"/>
        <v>20</v>
      </c>
      <c r="B24" s="424" t="s">
        <v>39</v>
      </c>
      <c r="C24" s="43">
        <v>93</v>
      </c>
      <c r="D24" s="89">
        <v>15</v>
      </c>
      <c r="E24" s="22">
        <v>5</v>
      </c>
      <c r="F24" s="89">
        <v>27</v>
      </c>
      <c r="G24" s="48">
        <v>6</v>
      </c>
    </row>
    <row r="25" spans="1:7">
      <c r="B25" s="73"/>
      <c r="C25" s="73"/>
      <c r="E25" s="570" t="s">
        <v>776</v>
      </c>
      <c r="F25" s="373" t="s">
        <v>1514</v>
      </c>
      <c r="G25" s="286"/>
    </row>
    <row r="26" spans="1:7">
      <c r="A26" s="72"/>
      <c r="B26" s="72"/>
      <c r="C26" s="72"/>
      <c r="E26" s="559" t="s">
        <v>782</v>
      </c>
      <c r="F26" s="560" t="s">
        <v>1515</v>
      </c>
      <c r="G26" s="305"/>
    </row>
    <row r="27" spans="1:7">
      <c r="E27" s="559" t="s">
        <v>381</v>
      </c>
      <c r="F27" s="560" t="s">
        <v>1516</v>
      </c>
      <c r="G27" s="305"/>
    </row>
    <row r="28" spans="1:7" ht="12.75" customHeight="1">
      <c r="E28" s="559" t="s">
        <v>382</v>
      </c>
      <c r="F28" s="1875" t="s">
        <v>123</v>
      </c>
      <c r="G28" s="1875"/>
    </row>
    <row r="29" spans="1:7">
      <c r="E29" s="560"/>
      <c r="F29" s="1875"/>
      <c r="G29" s="1875"/>
    </row>
    <row r="30" spans="1:7">
      <c r="F30" s="1875"/>
      <c r="G30" s="1875"/>
    </row>
  </sheetData>
  <mergeCells count="3">
    <mergeCell ref="A1:G1"/>
    <mergeCell ref="A2:G2"/>
    <mergeCell ref="F28:G30"/>
  </mergeCells>
  <phoneticPr fontId="0" type="noConversion"/>
  <printOptions horizontalCentered="1"/>
  <pageMargins left="0.1" right="0.1" top="0.97" bottom="0.1" header="0.5" footer="0.1"/>
  <pageSetup paperSize="9" orientation="portrait" blackAndWhite="1" horizontalDpi="4294967295" verticalDpi="300" r:id="rId1"/>
  <headerFooter alignWithMargins="0"/>
</worksheet>
</file>

<file path=xl/worksheets/sheet77.xml><?xml version="1.0" encoding="utf-8"?>
<worksheet xmlns="http://schemas.openxmlformats.org/spreadsheetml/2006/main" xmlns:r="http://schemas.openxmlformats.org/officeDocument/2006/relationships">
  <dimension ref="A1:S41"/>
  <sheetViews>
    <sheetView workbookViewId="0">
      <selection activeCell="L7" sqref="L7"/>
    </sheetView>
  </sheetViews>
  <sheetFormatPr defaultRowHeight="12.75"/>
  <cols>
    <col min="1" max="1" width="4.5703125" style="7" customWidth="1"/>
    <col min="2" max="2" width="14.42578125" style="7" customWidth="1"/>
    <col min="3" max="3" width="7" style="7" customWidth="1"/>
    <col min="4" max="4" width="8.5703125" style="7" customWidth="1"/>
    <col min="5" max="5" width="7.140625" style="7" customWidth="1"/>
    <col min="6" max="6" width="7.85546875" style="7" customWidth="1"/>
    <col min="7" max="7" width="6.7109375" style="7" customWidth="1"/>
    <col min="8" max="8" width="8" style="7" customWidth="1"/>
    <col min="9" max="9" width="6.7109375" style="7" customWidth="1"/>
    <col min="10" max="10" width="8" style="7" customWidth="1"/>
    <col min="11" max="11" width="6.7109375" style="7" customWidth="1"/>
    <col min="12" max="12" width="7.7109375" style="7" customWidth="1"/>
    <col min="13" max="13" width="6.7109375" style="7" customWidth="1"/>
    <col min="14" max="14" width="8.140625" style="7" customWidth="1"/>
    <col min="15" max="15" width="6.7109375" style="7" customWidth="1"/>
    <col min="16" max="16" width="7.7109375" style="7" customWidth="1"/>
    <col min="17" max="17" width="6.85546875" style="7" customWidth="1"/>
    <col min="18" max="18" width="8.42578125" style="7" customWidth="1"/>
    <col min="19" max="19" width="7.5703125" style="7" customWidth="1"/>
    <col min="20" max="16384" width="9.140625" style="7"/>
  </cols>
  <sheetData>
    <row r="1" spans="1:19" ht="12.75" customHeight="1">
      <c r="A1" s="1658" t="s">
        <v>625</v>
      </c>
      <c r="B1" s="1658"/>
      <c r="C1" s="1658"/>
      <c r="D1" s="1658"/>
      <c r="E1" s="1658"/>
      <c r="F1" s="1658"/>
      <c r="G1" s="1658"/>
      <c r="H1" s="1658"/>
      <c r="I1" s="1658"/>
      <c r="J1" s="1658"/>
      <c r="K1" s="1658"/>
      <c r="L1" s="1658"/>
      <c r="M1" s="1658"/>
      <c r="N1" s="1658"/>
      <c r="O1" s="1658"/>
      <c r="P1" s="1658"/>
      <c r="Q1" s="1658"/>
      <c r="R1" s="1658"/>
      <c r="S1" s="1658"/>
    </row>
    <row r="2" spans="1:19" ht="16.5" customHeight="1">
      <c r="A2" s="1676" t="str">
        <f>CONCATENATE("Population by religion in the Blocks of ",District!$A$1,)</f>
        <v>Population by religion in the Blocks of Purulia</v>
      </c>
      <c r="B2" s="1676"/>
      <c r="C2" s="1676"/>
      <c r="D2" s="1676"/>
      <c r="E2" s="1676"/>
      <c r="F2" s="1676"/>
      <c r="G2" s="1676"/>
      <c r="H2" s="1676"/>
      <c r="I2" s="1676"/>
      <c r="J2" s="1676"/>
      <c r="K2" s="1676"/>
      <c r="L2" s="1676"/>
      <c r="M2" s="1676"/>
      <c r="N2" s="1676"/>
      <c r="O2" s="1676"/>
      <c r="P2" s="1676"/>
      <c r="Q2" s="1676"/>
      <c r="R2" s="1676"/>
      <c r="S2" s="1676"/>
    </row>
    <row r="3" spans="1:19" ht="13.5" customHeight="1">
      <c r="A3" s="685"/>
      <c r="B3" s="685"/>
      <c r="C3" s="685"/>
      <c r="D3" s="686"/>
      <c r="E3" s="686"/>
      <c r="F3" s="686"/>
      <c r="G3" s="686"/>
      <c r="H3" s="686"/>
      <c r="I3" s="686"/>
      <c r="J3" s="686"/>
      <c r="K3" s="686"/>
      <c r="L3" s="686"/>
      <c r="M3" s="686"/>
      <c r="N3" s="686"/>
      <c r="O3" s="686"/>
      <c r="P3" s="686"/>
      <c r="Q3" s="686"/>
      <c r="R3" s="686"/>
      <c r="S3" s="315" t="s">
        <v>184</v>
      </c>
    </row>
    <row r="4" spans="1:19" ht="14.25" customHeight="1">
      <c r="A4" s="1668" t="s">
        <v>30</v>
      </c>
      <c r="B4" s="1668" t="s">
        <v>1271</v>
      </c>
      <c r="C4" s="1881" t="s">
        <v>1176</v>
      </c>
      <c r="D4" s="1663" t="s">
        <v>607</v>
      </c>
      <c r="E4" s="1671"/>
      <c r="F4" s="1663" t="s">
        <v>608</v>
      </c>
      <c r="G4" s="1667"/>
      <c r="H4" s="1663" t="s">
        <v>609</v>
      </c>
      <c r="I4" s="1667"/>
      <c r="J4" s="1663" t="s">
        <v>610</v>
      </c>
      <c r="K4" s="1667"/>
      <c r="L4" s="1663" t="s">
        <v>611</v>
      </c>
      <c r="M4" s="1667"/>
      <c r="N4" s="1663" t="s">
        <v>612</v>
      </c>
      <c r="O4" s="1667"/>
      <c r="P4" s="1663" t="s">
        <v>1162</v>
      </c>
      <c r="Q4" s="1667"/>
      <c r="R4" s="1671" t="s">
        <v>1035</v>
      </c>
      <c r="S4" s="1667"/>
    </row>
    <row r="5" spans="1:19" ht="67.5" customHeight="1">
      <c r="A5" s="1669"/>
      <c r="B5" s="1669"/>
      <c r="C5" s="1882"/>
      <c r="D5" s="526" t="s">
        <v>1272</v>
      </c>
      <c r="E5" s="525" t="s">
        <v>1518</v>
      </c>
      <c r="F5" s="526" t="s">
        <v>1272</v>
      </c>
      <c r="G5" s="525" t="s">
        <v>1518</v>
      </c>
      <c r="H5" s="526" t="s">
        <v>1272</v>
      </c>
      <c r="I5" s="525" t="s">
        <v>1518</v>
      </c>
      <c r="J5" s="526" t="s">
        <v>1272</v>
      </c>
      <c r="K5" s="525" t="s">
        <v>1518</v>
      </c>
      <c r="L5" s="526" t="s">
        <v>1272</v>
      </c>
      <c r="M5" s="525" t="s">
        <v>1518</v>
      </c>
      <c r="N5" s="526" t="s">
        <v>1272</v>
      </c>
      <c r="O5" s="525" t="s">
        <v>1518</v>
      </c>
      <c r="P5" s="526" t="s">
        <v>1272</v>
      </c>
      <c r="Q5" s="525" t="s">
        <v>1518</v>
      </c>
      <c r="R5" s="526" t="s">
        <v>1272</v>
      </c>
      <c r="S5" s="525" t="s">
        <v>1518</v>
      </c>
    </row>
    <row r="6" spans="1:19" ht="13.5" customHeight="1">
      <c r="A6" s="277" t="s">
        <v>1008</v>
      </c>
      <c r="B6" s="293" t="s">
        <v>1009</v>
      </c>
      <c r="C6" s="277" t="s">
        <v>1010</v>
      </c>
      <c r="D6" s="269" t="s">
        <v>1011</v>
      </c>
      <c r="E6" s="299" t="s">
        <v>1015</v>
      </c>
      <c r="F6" s="277" t="s">
        <v>1016</v>
      </c>
      <c r="G6" s="293" t="s">
        <v>1017</v>
      </c>
      <c r="H6" s="277" t="s">
        <v>1039</v>
      </c>
      <c r="I6" s="293" t="s">
        <v>1040</v>
      </c>
      <c r="J6" s="277" t="s">
        <v>1041</v>
      </c>
      <c r="K6" s="293" t="s">
        <v>1042</v>
      </c>
      <c r="L6" s="277" t="s">
        <v>1076</v>
      </c>
      <c r="M6" s="293" t="s">
        <v>1077</v>
      </c>
      <c r="N6" s="277" t="s">
        <v>1078</v>
      </c>
      <c r="O6" s="293" t="s">
        <v>1079</v>
      </c>
      <c r="P6" s="277" t="s">
        <v>1080</v>
      </c>
      <c r="Q6" s="293" t="s">
        <v>1081</v>
      </c>
      <c r="R6" s="278" t="s">
        <v>1083</v>
      </c>
      <c r="S6" s="293" t="s">
        <v>1082</v>
      </c>
    </row>
    <row r="7" spans="1:19" ht="12.75" customHeight="1">
      <c r="A7" s="1724">
        <v>1</v>
      </c>
      <c r="B7" s="1878" t="s">
        <v>26</v>
      </c>
      <c r="C7" s="428">
        <v>2001</v>
      </c>
      <c r="D7" s="605">
        <v>109638</v>
      </c>
      <c r="E7" s="606">
        <f>IF(D7="-","-",ROUND(D7/$R7*100,2))</f>
        <v>84.89</v>
      </c>
      <c r="F7" s="605">
        <v>8790</v>
      </c>
      <c r="G7" s="606">
        <f t="shared" ref="G7:G38" si="0">IF(F7="-","-",ROUND(F7/$R7*100,2))</f>
        <v>6.81</v>
      </c>
      <c r="H7" s="605">
        <v>311</v>
      </c>
      <c r="I7" s="606">
        <f t="shared" ref="I7:I38" si="1">IF(H7="-","-",ROUND(H7/$R7*100,2))</f>
        <v>0.24</v>
      </c>
      <c r="J7" s="607" t="s">
        <v>57</v>
      </c>
      <c r="K7" s="606" t="str">
        <f t="shared" ref="K7:K38" si="2">IF(J7="-","-",ROUND(J7/$R7*100,2))</f>
        <v>-</v>
      </c>
      <c r="L7" s="607" t="s">
        <v>57</v>
      </c>
      <c r="M7" s="606" t="str">
        <f t="shared" ref="M7:M38" si="3">IF(L7="-","-",ROUND(L7/$R7*100,2))</f>
        <v>-</v>
      </c>
      <c r="N7" s="607">
        <v>1</v>
      </c>
      <c r="O7" s="606">
        <f t="shared" ref="O7:O38" si="4">IF(N7="-","-",ROUND(N7/$R7*100,2))</f>
        <v>0</v>
      </c>
      <c r="P7" s="607">
        <v>10408</v>
      </c>
      <c r="Q7" s="606">
        <f t="shared" ref="Q7:Q38" si="5">IF(P7="-","-",ROUND(P7/$R7*100,2))</f>
        <v>8.06</v>
      </c>
      <c r="R7" s="588">
        <f>SUM(D7,F7,H7,J7,L7,N7,P7)</f>
        <v>129148</v>
      </c>
      <c r="S7" s="608">
        <f t="shared" ref="S7:S38" si="6">SUM(E7,G7,I7,K7,M7,O7,Q7)</f>
        <v>100</v>
      </c>
    </row>
    <row r="8" spans="1:19" ht="12.75" customHeight="1">
      <c r="A8" s="1720"/>
      <c r="B8" s="1879"/>
      <c r="C8" s="426">
        <v>1991</v>
      </c>
      <c r="D8" s="143">
        <v>100759</v>
      </c>
      <c r="E8" s="609">
        <f>IF(D8="-","-",ROUND(D8/$R8*100,2))</f>
        <v>90.03</v>
      </c>
      <c r="F8" s="143">
        <v>6609</v>
      </c>
      <c r="G8" s="609">
        <f t="shared" si="0"/>
        <v>5.91</v>
      </c>
      <c r="H8" s="143">
        <v>248</v>
      </c>
      <c r="I8" s="609">
        <f t="shared" si="1"/>
        <v>0.22</v>
      </c>
      <c r="J8" s="610" t="s">
        <v>57</v>
      </c>
      <c r="K8" s="609" t="str">
        <f t="shared" si="2"/>
        <v>-</v>
      </c>
      <c r="L8" s="610" t="s">
        <v>57</v>
      </c>
      <c r="M8" s="609" t="str">
        <f t="shared" si="3"/>
        <v>-</v>
      </c>
      <c r="N8" s="610" t="s">
        <v>57</v>
      </c>
      <c r="O8" s="609" t="str">
        <f t="shared" si="4"/>
        <v>-</v>
      </c>
      <c r="P8" s="143">
        <v>4303</v>
      </c>
      <c r="Q8" s="609">
        <f t="shared" si="5"/>
        <v>3.84</v>
      </c>
      <c r="R8" s="129">
        <f t="shared" ref="R8:R38" si="7">SUM(D8,F8,H8,J8,L8,N8,P8)</f>
        <v>111919</v>
      </c>
      <c r="S8" s="611">
        <f t="shared" si="6"/>
        <v>100</v>
      </c>
    </row>
    <row r="9" spans="1:19" ht="12.75" customHeight="1">
      <c r="A9" s="1724">
        <v>2</v>
      </c>
      <c r="B9" s="1878" t="s">
        <v>27</v>
      </c>
      <c r="C9" s="428">
        <v>2001</v>
      </c>
      <c r="D9" s="605">
        <v>104085</v>
      </c>
      <c r="E9" s="606">
        <f>IF(D9="-","-",ROUND(D9/$R9*100,2))</f>
        <v>92.56</v>
      </c>
      <c r="F9" s="605">
        <v>3322</v>
      </c>
      <c r="G9" s="606">
        <f>IF(F9="-","-",ROUND(F9/$R9*100,2))+0.01</f>
        <v>2.96</v>
      </c>
      <c r="H9" s="605">
        <v>482</v>
      </c>
      <c r="I9" s="606">
        <f t="shared" si="1"/>
        <v>0.43</v>
      </c>
      <c r="J9" s="607">
        <v>2</v>
      </c>
      <c r="K9" s="606">
        <f t="shared" si="2"/>
        <v>0</v>
      </c>
      <c r="L9" s="607">
        <v>4</v>
      </c>
      <c r="M9" s="606">
        <f t="shared" si="3"/>
        <v>0</v>
      </c>
      <c r="N9" s="607" t="s">
        <v>57</v>
      </c>
      <c r="O9" s="606" t="str">
        <f t="shared" si="4"/>
        <v>-</v>
      </c>
      <c r="P9" s="607">
        <v>4553</v>
      </c>
      <c r="Q9" s="606">
        <f t="shared" si="5"/>
        <v>4.05</v>
      </c>
      <c r="R9" s="588">
        <f t="shared" si="7"/>
        <v>112448</v>
      </c>
      <c r="S9" s="608">
        <f t="shared" si="6"/>
        <v>100</v>
      </c>
    </row>
    <row r="10" spans="1:19" ht="12.75" customHeight="1">
      <c r="A10" s="1720"/>
      <c r="B10" s="1879"/>
      <c r="C10" s="426">
        <v>1991</v>
      </c>
      <c r="D10" s="143">
        <v>93798</v>
      </c>
      <c r="E10" s="609">
        <f>IF(D10="-","-",ROUND(D10/$R10*100,2))</f>
        <v>94.84</v>
      </c>
      <c r="F10" s="143">
        <v>2723</v>
      </c>
      <c r="G10" s="609">
        <f t="shared" si="0"/>
        <v>2.75</v>
      </c>
      <c r="H10" s="143">
        <v>457</v>
      </c>
      <c r="I10" s="609">
        <f t="shared" si="1"/>
        <v>0.46</v>
      </c>
      <c r="J10" s="143">
        <v>4</v>
      </c>
      <c r="K10" s="609">
        <f>IF(J10="-","-",ROUND(J10/$R10*100,2))+0.01</f>
        <v>0.01</v>
      </c>
      <c r="L10" s="610" t="s">
        <v>57</v>
      </c>
      <c r="M10" s="609" t="str">
        <f t="shared" si="3"/>
        <v>-</v>
      </c>
      <c r="N10" s="610" t="s">
        <v>57</v>
      </c>
      <c r="O10" s="609" t="str">
        <f t="shared" si="4"/>
        <v>-</v>
      </c>
      <c r="P10" s="143">
        <v>1918</v>
      </c>
      <c r="Q10" s="609">
        <f t="shared" si="5"/>
        <v>1.94</v>
      </c>
      <c r="R10" s="129">
        <f t="shared" si="7"/>
        <v>98900</v>
      </c>
      <c r="S10" s="611">
        <f t="shared" si="6"/>
        <v>100</v>
      </c>
    </row>
    <row r="11" spans="1:19" ht="12.75" customHeight="1">
      <c r="A11" s="1724">
        <v>3</v>
      </c>
      <c r="B11" s="1878" t="s">
        <v>53</v>
      </c>
      <c r="C11" s="428">
        <v>2001</v>
      </c>
      <c r="D11" s="605">
        <v>96671</v>
      </c>
      <c r="E11" s="606">
        <f>IF(D11="-","-",ROUND(D11/$R11*100,2))</f>
        <v>81.849999999999994</v>
      </c>
      <c r="F11" s="605">
        <v>6419</v>
      </c>
      <c r="G11" s="606">
        <f>IF(F11="-","-",ROUND(F11/$R11*100,2))-0.01</f>
        <v>5.4300000000000006</v>
      </c>
      <c r="H11" s="605">
        <v>398</v>
      </c>
      <c r="I11" s="606">
        <f t="shared" si="1"/>
        <v>0.34</v>
      </c>
      <c r="J11" s="605">
        <v>7</v>
      </c>
      <c r="K11" s="606">
        <f t="shared" si="2"/>
        <v>0.01</v>
      </c>
      <c r="L11" s="607" t="s">
        <v>57</v>
      </c>
      <c r="M11" s="606" t="str">
        <f t="shared" si="3"/>
        <v>-</v>
      </c>
      <c r="N11" s="605">
        <v>15</v>
      </c>
      <c r="O11" s="606">
        <f t="shared" si="4"/>
        <v>0.01</v>
      </c>
      <c r="P11" s="605">
        <v>14592</v>
      </c>
      <c r="Q11" s="606">
        <f t="shared" si="5"/>
        <v>12.36</v>
      </c>
      <c r="R11" s="588">
        <f t="shared" si="7"/>
        <v>118102</v>
      </c>
      <c r="S11" s="608">
        <f t="shared" si="6"/>
        <v>100.00000000000001</v>
      </c>
    </row>
    <row r="12" spans="1:19" ht="12.75" customHeight="1">
      <c r="A12" s="1720"/>
      <c r="B12" s="1879"/>
      <c r="C12" s="426">
        <v>1991</v>
      </c>
      <c r="D12" s="612">
        <v>94329</v>
      </c>
      <c r="E12" s="609">
        <f t="shared" ref="E12:E30" si="8">IF(D12="-","-",ROUND(D12/$R12*100,2))</f>
        <v>91.29</v>
      </c>
      <c r="F12" s="143">
        <v>5166</v>
      </c>
      <c r="G12" s="609">
        <f t="shared" si="0"/>
        <v>5</v>
      </c>
      <c r="H12" s="143">
        <v>422</v>
      </c>
      <c r="I12" s="609">
        <f t="shared" si="1"/>
        <v>0.41</v>
      </c>
      <c r="J12" s="143">
        <v>15</v>
      </c>
      <c r="K12" s="609">
        <f>IF(J12="-","-",ROUND(J12/$R12*100,2))+0.01</f>
        <v>0.02</v>
      </c>
      <c r="L12" s="143">
        <v>3</v>
      </c>
      <c r="M12" s="609">
        <f t="shared" si="3"/>
        <v>0</v>
      </c>
      <c r="N12" s="610" t="s">
        <v>57</v>
      </c>
      <c r="O12" s="609" t="str">
        <f t="shared" si="4"/>
        <v>-</v>
      </c>
      <c r="P12" s="143">
        <v>3391</v>
      </c>
      <c r="Q12" s="609">
        <f t="shared" si="5"/>
        <v>3.28</v>
      </c>
      <c r="R12" s="129">
        <f t="shared" si="7"/>
        <v>103326</v>
      </c>
      <c r="S12" s="611">
        <f t="shared" si="6"/>
        <v>100</v>
      </c>
    </row>
    <row r="13" spans="1:19" ht="12.75" customHeight="1">
      <c r="A13" s="1724">
        <v>4</v>
      </c>
      <c r="B13" s="1878" t="s">
        <v>28</v>
      </c>
      <c r="C13" s="428">
        <v>2001</v>
      </c>
      <c r="D13" s="605">
        <v>130616</v>
      </c>
      <c r="E13" s="606">
        <f t="shared" si="8"/>
        <v>88.9</v>
      </c>
      <c r="F13" s="605">
        <v>6464</v>
      </c>
      <c r="G13" s="606">
        <f>IF(F13="-","-",ROUND(F13/$R13*100,2))</f>
        <v>4.4000000000000004</v>
      </c>
      <c r="H13" s="605">
        <v>54</v>
      </c>
      <c r="I13" s="606">
        <f t="shared" si="1"/>
        <v>0.04</v>
      </c>
      <c r="J13" s="607">
        <v>1</v>
      </c>
      <c r="K13" s="606">
        <f t="shared" si="2"/>
        <v>0</v>
      </c>
      <c r="L13" s="607">
        <v>2</v>
      </c>
      <c r="M13" s="606">
        <f t="shared" si="3"/>
        <v>0</v>
      </c>
      <c r="N13" s="607" t="s">
        <v>57</v>
      </c>
      <c r="O13" s="606" t="str">
        <f t="shared" si="4"/>
        <v>-</v>
      </c>
      <c r="P13" s="605">
        <v>9790</v>
      </c>
      <c r="Q13" s="606">
        <f t="shared" si="5"/>
        <v>6.66</v>
      </c>
      <c r="R13" s="588">
        <f t="shared" si="7"/>
        <v>146927</v>
      </c>
      <c r="S13" s="608">
        <f t="shared" si="6"/>
        <v>100.00000000000001</v>
      </c>
    </row>
    <row r="14" spans="1:19" ht="12.75" customHeight="1">
      <c r="A14" s="1720"/>
      <c r="B14" s="1879"/>
      <c r="C14" s="426">
        <v>1991</v>
      </c>
      <c r="D14" s="143">
        <v>123242</v>
      </c>
      <c r="E14" s="609">
        <f t="shared" si="8"/>
        <v>95.29</v>
      </c>
      <c r="F14" s="143">
        <v>5221</v>
      </c>
      <c r="G14" s="609">
        <f t="shared" si="0"/>
        <v>4.04</v>
      </c>
      <c r="H14" s="143">
        <v>30</v>
      </c>
      <c r="I14" s="609">
        <f t="shared" si="1"/>
        <v>0.02</v>
      </c>
      <c r="J14" s="610" t="s">
        <v>57</v>
      </c>
      <c r="K14" s="609" t="str">
        <f t="shared" si="2"/>
        <v>-</v>
      </c>
      <c r="L14" s="610" t="s">
        <v>57</v>
      </c>
      <c r="M14" s="609" t="str">
        <f t="shared" si="3"/>
        <v>-</v>
      </c>
      <c r="N14" s="143">
        <v>38</v>
      </c>
      <c r="O14" s="609">
        <f t="shared" si="4"/>
        <v>0.03</v>
      </c>
      <c r="P14" s="143">
        <v>797</v>
      </c>
      <c r="Q14" s="609">
        <f t="shared" si="5"/>
        <v>0.62</v>
      </c>
      <c r="R14" s="129">
        <f t="shared" si="7"/>
        <v>129328</v>
      </c>
      <c r="S14" s="611">
        <f t="shared" si="6"/>
        <v>100.00000000000001</v>
      </c>
    </row>
    <row r="15" spans="1:19" ht="12.75" customHeight="1">
      <c r="A15" s="1724">
        <v>5</v>
      </c>
      <c r="B15" s="1878" t="s">
        <v>29</v>
      </c>
      <c r="C15" s="428">
        <v>2001</v>
      </c>
      <c r="D15" s="605">
        <v>97356</v>
      </c>
      <c r="E15" s="606">
        <f t="shared" si="8"/>
        <v>87.11</v>
      </c>
      <c r="F15" s="605">
        <v>9786</v>
      </c>
      <c r="G15" s="606">
        <f t="shared" si="0"/>
        <v>8.76</v>
      </c>
      <c r="H15" s="605">
        <v>72</v>
      </c>
      <c r="I15" s="606">
        <f t="shared" si="1"/>
        <v>0.06</v>
      </c>
      <c r="J15" s="607">
        <v>3</v>
      </c>
      <c r="K15" s="606">
        <f t="shared" si="2"/>
        <v>0</v>
      </c>
      <c r="L15" s="607">
        <v>2</v>
      </c>
      <c r="M15" s="606">
        <f t="shared" si="3"/>
        <v>0</v>
      </c>
      <c r="N15" s="607">
        <v>7</v>
      </c>
      <c r="O15" s="606">
        <f t="shared" si="4"/>
        <v>0.01</v>
      </c>
      <c r="P15" s="607">
        <v>4542</v>
      </c>
      <c r="Q15" s="606">
        <f t="shared" si="5"/>
        <v>4.0599999999999996</v>
      </c>
      <c r="R15" s="588">
        <f t="shared" si="7"/>
        <v>111768</v>
      </c>
      <c r="S15" s="608">
        <f t="shared" si="6"/>
        <v>100.00000000000001</v>
      </c>
    </row>
    <row r="16" spans="1:19" ht="12.75" customHeight="1">
      <c r="A16" s="1720"/>
      <c r="B16" s="1879"/>
      <c r="C16" s="426">
        <v>1991</v>
      </c>
      <c r="D16" s="143">
        <v>85066</v>
      </c>
      <c r="E16" s="609">
        <f t="shared" si="8"/>
        <v>89.83</v>
      </c>
      <c r="F16" s="143">
        <v>9203</v>
      </c>
      <c r="G16" s="609">
        <f t="shared" si="0"/>
        <v>9.7200000000000006</v>
      </c>
      <c r="H16" s="143">
        <v>36</v>
      </c>
      <c r="I16" s="609">
        <f t="shared" si="1"/>
        <v>0.04</v>
      </c>
      <c r="J16" s="610" t="s">
        <v>57</v>
      </c>
      <c r="K16" s="609" t="str">
        <f t="shared" si="2"/>
        <v>-</v>
      </c>
      <c r="L16" s="610" t="s">
        <v>57</v>
      </c>
      <c r="M16" s="609" t="str">
        <f t="shared" si="3"/>
        <v>-</v>
      </c>
      <c r="N16" s="610" t="s">
        <v>57</v>
      </c>
      <c r="O16" s="609" t="str">
        <f t="shared" si="4"/>
        <v>-</v>
      </c>
      <c r="P16" s="143">
        <v>391</v>
      </c>
      <c r="Q16" s="609">
        <f t="shared" si="5"/>
        <v>0.41</v>
      </c>
      <c r="R16" s="129">
        <f t="shared" si="7"/>
        <v>94696</v>
      </c>
      <c r="S16" s="611">
        <f t="shared" si="6"/>
        <v>100</v>
      </c>
    </row>
    <row r="17" spans="1:19" ht="12.75" customHeight="1">
      <c r="A17" s="303">
        <v>6</v>
      </c>
      <c r="B17" s="1880" t="s">
        <v>1343</v>
      </c>
      <c r="C17" s="428">
        <v>2001</v>
      </c>
      <c r="D17" s="605">
        <v>206282</v>
      </c>
      <c r="E17" s="606">
        <f t="shared" si="8"/>
        <v>86.14</v>
      </c>
      <c r="F17" s="605">
        <v>14198</v>
      </c>
      <c r="G17" s="606">
        <f t="shared" si="0"/>
        <v>5.93</v>
      </c>
      <c r="H17" s="605">
        <v>333</v>
      </c>
      <c r="I17" s="606">
        <f t="shared" si="1"/>
        <v>0.14000000000000001</v>
      </c>
      <c r="J17" s="607">
        <v>7</v>
      </c>
      <c r="K17" s="606">
        <f t="shared" si="2"/>
        <v>0</v>
      </c>
      <c r="L17" s="607">
        <v>11</v>
      </c>
      <c r="M17" s="606">
        <f>IF(L17="-","-",ROUND(L17/$R17*100,2))+0.01</f>
        <v>0.01</v>
      </c>
      <c r="N17" s="607" t="s">
        <v>57</v>
      </c>
      <c r="O17" s="606" t="str">
        <f t="shared" si="4"/>
        <v>-</v>
      </c>
      <c r="P17" s="605">
        <v>18631</v>
      </c>
      <c r="Q17" s="606">
        <f t="shared" si="5"/>
        <v>7.78</v>
      </c>
      <c r="R17" s="588">
        <f t="shared" si="7"/>
        <v>239462</v>
      </c>
      <c r="S17" s="608">
        <f t="shared" si="6"/>
        <v>100</v>
      </c>
    </row>
    <row r="18" spans="1:19" ht="12.75" customHeight="1">
      <c r="A18" s="336">
        <v>7</v>
      </c>
      <c r="B18" s="1877"/>
      <c r="C18" s="427">
        <v>1991</v>
      </c>
      <c r="D18" s="143">
        <v>190910</v>
      </c>
      <c r="E18" s="609">
        <f t="shared" si="8"/>
        <v>93.76</v>
      </c>
      <c r="F18" s="143">
        <v>10864</v>
      </c>
      <c r="G18" s="609">
        <f>IF(F18="-","-",ROUND(F18/$R18*100,2))-0.01</f>
        <v>5.33</v>
      </c>
      <c r="H18" s="143">
        <v>320</v>
      </c>
      <c r="I18" s="609">
        <f t="shared" si="1"/>
        <v>0.16</v>
      </c>
      <c r="J18" s="610" t="s">
        <v>57</v>
      </c>
      <c r="K18" s="609" t="str">
        <f t="shared" si="2"/>
        <v>-</v>
      </c>
      <c r="L18" s="143">
        <v>1</v>
      </c>
      <c r="M18" s="609">
        <f t="shared" si="3"/>
        <v>0</v>
      </c>
      <c r="N18" s="610" t="s">
        <v>57</v>
      </c>
      <c r="O18" s="609" t="str">
        <f t="shared" si="4"/>
        <v>-</v>
      </c>
      <c r="P18" s="143">
        <v>1524</v>
      </c>
      <c r="Q18" s="609">
        <f t="shared" si="5"/>
        <v>0.75</v>
      </c>
      <c r="R18" s="129">
        <f t="shared" si="7"/>
        <v>203619</v>
      </c>
      <c r="S18" s="611">
        <f t="shared" si="6"/>
        <v>100</v>
      </c>
    </row>
    <row r="19" spans="1:19" ht="12.75" customHeight="1">
      <c r="A19" s="1724">
        <v>8</v>
      </c>
      <c r="B19" s="1878" t="s">
        <v>33</v>
      </c>
      <c r="C19" s="428">
        <v>2001</v>
      </c>
      <c r="D19" s="605">
        <v>50756</v>
      </c>
      <c r="E19" s="606">
        <f>IF(D19="-","-",ROUND(D19/$R19*100,2))+0.01</f>
        <v>60.65</v>
      </c>
      <c r="F19" s="605">
        <v>628</v>
      </c>
      <c r="G19" s="606">
        <f t="shared" si="0"/>
        <v>0.75</v>
      </c>
      <c r="H19" s="605">
        <v>135</v>
      </c>
      <c r="I19" s="606">
        <f t="shared" si="1"/>
        <v>0.16</v>
      </c>
      <c r="J19" s="607">
        <v>3</v>
      </c>
      <c r="K19" s="606">
        <f t="shared" si="2"/>
        <v>0</v>
      </c>
      <c r="L19" s="605">
        <v>7</v>
      </c>
      <c r="M19" s="606">
        <f>IF(L19="-","-",ROUND(L19/$R19*100,2))</f>
        <v>0.01</v>
      </c>
      <c r="N19" s="607" t="s">
        <v>57</v>
      </c>
      <c r="O19" s="606" t="str">
        <f t="shared" si="4"/>
        <v>-</v>
      </c>
      <c r="P19" s="605">
        <v>32165</v>
      </c>
      <c r="Q19" s="606">
        <f t="shared" si="5"/>
        <v>38.43</v>
      </c>
      <c r="R19" s="588">
        <f t="shared" si="7"/>
        <v>83694</v>
      </c>
      <c r="S19" s="608">
        <f t="shared" si="6"/>
        <v>100</v>
      </c>
    </row>
    <row r="20" spans="1:19" ht="12.75" customHeight="1">
      <c r="A20" s="1720"/>
      <c r="B20" s="1879"/>
      <c r="C20" s="426">
        <v>1991</v>
      </c>
      <c r="D20" s="143">
        <v>55175</v>
      </c>
      <c r="E20" s="609">
        <f t="shared" si="8"/>
        <v>75.540000000000006</v>
      </c>
      <c r="F20" s="143">
        <v>369</v>
      </c>
      <c r="G20" s="609">
        <f>IF(F20="-","-",ROUND(F20/$R20*100,2))-0.01</f>
        <v>0.5</v>
      </c>
      <c r="H20" s="143">
        <v>94</v>
      </c>
      <c r="I20" s="609">
        <f t="shared" si="1"/>
        <v>0.13</v>
      </c>
      <c r="J20" s="610" t="s">
        <v>57</v>
      </c>
      <c r="K20" s="609" t="str">
        <f t="shared" si="2"/>
        <v>-</v>
      </c>
      <c r="L20" s="143">
        <v>20</v>
      </c>
      <c r="M20" s="609">
        <f t="shared" si="3"/>
        <v>0.03</v>
      </c>
      <c r="N20" s="610" t="s">
        <v>57</v>
      </c>
      <c r="O20" s="609" t="str">
        <f t="shared" si="4"/>
        <v>-</v>
      </c>
      <c r="P20" s="143">
        <v>17385</v>
      </c>
      <c r="Q20" s="609">
        <f t="shared" si="5"/>
        <v>23.8</v>
      </c>
      <c r="R20" s="129">
        <f t="shared" si="7"/>
        <v>73043</v>
      </c>
      <c r="S20" s="611">
        <f t="shared" si="6"/>
        <v>100</v>
      </c>
    </row>
    <row r="21" spans="1:19" ht="12.75" customHeight="1">
      <c r="A21" s="1724">
        <v>9</v>
      </c>
      <c r="B21" s="1878" t="s">
        <v>613</v>
      </c>
      <c r="C21" s="428">
        <v>2001</v>
      </c>
      <c r="D21" s="605">
        <v>102522</v>
      </c>
      <c r="E21" s="606">
        <f t="shared" si="8"/>
        <v>80.45</v>
      </c>
      <c r="F21" s="605">
        <v>7974</v>
      </c>
      <c r="G21" s="606">
        <f t="shared" si="0"/>
        <v>6.26</v>
      </c>
      <c r="H21" s="605">
        <v>17</v>
      </c>
      <c r="I21" s="606">
        <f t="shared" si="1"/>
        <v>0.01</v>
      </c>
      <c r="J21" s="607">
        <v>1</v>
      </c>
      <c r="K21" s="606">
        <f t="shared" si="2"/>
        <v>0</v>
      </c>
      <c r="L21" s="607">
        <v>3</v>
      </c>
      <c r="M21" s="606">
        <f t="shared" si="3"/>
        <v>0</v>
      </c>
      <c r="N21" s="607" t="s">
        <v>57</v>
      </c>
      <c r="O21" s="606" t="str">
        <f t="shared" si="4"/>
        <v>-</v>
      </c>
      <c r="P21" s="605">
        <v>16926</v>
      </c>
      <c r="Q21" s="606">
        <f t="shared" si="5"/>
        <v>13.28</v>
      </c>
      <c r="R21" s="588">
        <f t="shared" si="7"/>
        <v>127443</v>
      </c>
      <c r="S21" s="608">
        <f t="shared" si="6"/>
        <v>100.00000000000001</v>
      </c>
    </row>
    <row r="22" spans="1:19" ht="12.75" customHeight="1">
      <c r="A22" s="1720"/>
      <c r="B22" s="1879"/>
      <c r="C22" s="426">
        <v>1991</v>
      </c>
      <c r="D22" s="143">
        <v>105787</v>
      </c>
      <c r="E22" s="609">
        <f t="shared" si="8"/>
        <v>93.02</v>
      </c>
      <c r="F22" s="143">
        <v>6053</v>
      </c>
      <c r="G22" s="609">
        <f t="shared" si="0"/>
        <v>5.32</v>
      </c>
      <c r="H22" s="143">
        <v>19</v>
      </c>
      <c r="I22" s="609">
        <f t="shared" si="1"/>
        <v>0.02</v>
      </c>
      <c r="J22" s="610" t="s">
        <v>57</v>
      </c>
      <c r="K22" s="609" t="str">
        <f t="shared" si="2"/>
        <v>-</v>
      </c>
      <c r="L22" s="610" t="s">
        <v>57</v>
      </c>
      <c r="M22" s="609" t="str">
        <f t="shared" si="3"/>
        <v>-</v>
      </c>
      <c r="N22" s="610" t="s">
        <v>57</v>
      </c>
      <c r="O22" s="609" t="str">
        <f t="shared" si="4"/>
        <v>-</v>
      </c>
      <c r="P22" s="143">
        <v>1868</v>
      </c>
      <c r="Q22" s="609">
        <f t="shared" si="5"/>
        <v>1.64</v>
      </c>
      <c r="R22" s="129">
        <f t="shared" si="7"/>
        <v>113727</v>
      </c>
      <c r="S22" s="611">
        <f t="shared" si="6"/>
        <v>100</v>
      </c>
    </row>
    <row r="23" spans="1:19" ht="12.75" customHeight="1">
      <c r="A23" s="303">
        <v>10</v>
      </c>
      <c r="B23" s="1876" t="s">
        <v>620</v>
      </c>
      <c r="C23" s="428">
        <v>2001</v>
      </c>
      <c r="D23" s="605">
        <v>152594</v>
      </c>
      <c r="E23" s="606">
        <f t="shared" si="8"/>
        <v>71.69</v>
      </c>
      <c r="F23" s="605">
        <v>4825</v>
      </c>
      <c r="G23" s="606">
        <f t="shared" si="0"/>
        <v>2.27</v>
      </c>
      <c r="H23" s="605">
        <v>125</v>
      </c>
      <c r="I23" s="606">
        <f t="shared" si="1"/>
        <v>0.06</v>
      </c>
      <c r="J23" s="607">
        <v>6</v>
      </c>
      <c r="K23" s="606">
        <f t="shared" si="2"/>
        <v>0</v>
      </c>
      <c r="L23" s="607">
        <v>1</v>
      </c>
      <c r="M23" s="606">
        <f t="shared" si="3"/>
        <v>0</v>
      </c>
      <c r="N23" s="607" t="s">
        <v>57</v>
      </c>
      <c r="O23" s="606" t="str">
        <f t="shared" si="4"/>
        <v>-</v>
      </c>
      <c r="P23" s="605">
        <v>55303</v>
      </c>
      <c r="Q23" s="606">
        <f t="shared" si="5"/>
        <v>25.98</v>
      </c>
      <c r="R23" s="588">
        <f t="shared" si="7"/>
        <v>212854</v>
      </c>
      <c r="S23" s="608">
        <f t="shared" si="6"/>
        <v>100</v>
      </c>
    </row>
    <row r="24" spans="1:19" ht="12.75" customHeight="1">
      <c r="A24" s="336">
        <v>11</v>
      </c>
      <c r="B24" s="1877"/>
      <c r="C24" s="426">
        <v>1991</v>
      </c>
      <c r="D24" s="143">
        <v>166455</v>
      </c>
      <c r="E24" s="609">
        <f t="shared" si="8"/>
        <v>84.71</v>
      </c>
      <c r="F24" s="143">
        <v>4045</v>
      </c>
      <c r="G24" s="609">
        <f t="shared" si="0"/>
        <v>2.06</v>
      </c>
      <c r="H24" s="143">
        <v>131</v>
      </c>
      <c r="I24" s="609">
        <f t="shared" si="1"/>
        <v>7.0000000000000007E-2</v>
      </c>
      <c r="J24" s="610" t="s">
        <v>57</v>
      </c>
      <c r="K24" s="609" t="str">
        <f t="shared" si="2"/>
        <v>-</v>
      </c>
      <c r="L24" s="610" t="s">
        <v>57</v>
      </c>
      <c r="M24" s="609" t="str">
        <f t="shared" si="3"/>
        <v>-</v>
      </c>
      <c r="N24" s="610" t="s">
        <v>57</v>
      </c>
      <c r="O24" s="609" t="str">
        <f t="shared" si="4"/>
        <v>-</v>
      </c>
      <c r="P24" s="143">
        <v>25871</v>
      </c>
      <c r="Q24" s="609">
        <f>IF(P24="-","-",ROUND(P24/$R24*100,2))-0.01</f>
        <v>13.16</v>
      </c>
      <c r="R24" s="129">
        <f t="shared" si="7"/>
        <v>196502</v>
      </c>
      <c r="S24" s="611">
        <f t="shared" si="6"/>
        <v>99.999999999999986</v>
      </c>
    </row>
    <row r="25" spans="1:19" ht="12.75" customHeight="1">
      <c r="A25" s="1724">
        <v>12</v>
      </c>
      <c r="B25" s="1878" t="s">
        <v>614</v>
      </c>
      <c r="C25" s="428">
        <v>2001</v>
      </c>
      <c r="D25" s="605">
        <v>89115</v>
      </c>
      <c r="E25" s="606">
        <f t="shared" si="8"/>
        <v>82.42</v>
      </c>
      <c r="F25" s="605">
        <v>3784</v>
      </c>
      <c r="G25" s="606">
        <f t="shared" si="0"/>
        <v>3.5</v>
      </c>
      <c r="H25" s="605">
        <v>106</v>
      </c>
      <c r="I25" s="606">
        <f t="shared" si="1"/>
        <v>0.1</v>
      </c>
      <c r="J25" s="607">
        <v>26</v>
      </c>
      <c r="K25" s="606">
        <f t="shared" si="2"/>
        <v>0.02</v>
      </c>
      <c r="L25" s="607">
        <v>14</v>
      </c>
      <c r="M25" s="606">
        <f t="shared" si="3"/>
        <v>0.01</v>
      </c>
      <c r="N25" s="607">
        <v>1</v>
      </c>
      <c r="O25" s="606">
        <f t="shared" si="4"/>
        <v>0</v>
      </c>
      <c r="P25" s="605">
        <v>15083</v>
      </c>
      <c r="Q25" s="606">
        <f t="shared" si="5"/>
        <v>13.95</v>
      </c>
      <c r="R25" s="588">
        <f t="shared" si="7"/>
        <v>108129</v>
      </c>
      <c r="S25" s="608">
        <f t="shared" si="6"/>
        <v>100</v>
      </c>
    </row>
    <row r="26" spans="1:19" ht="12.75" customHeight="1">
      <c r="A26" s="1720"/>
      <c r="B26" s="1879"/>
      <c r="C26" s="426">
        <v>1991</v>
      </c>
      <c r="D26" s="143">
        <v>90712</v>
      </c>
      <c r="E26" s="609">
        <f t="shared" si="8"/>
        <v>94.11</v>
      </c>
      <c r="F26" s="143">
        <v>3081</v>
      </c>
      <c r="G26" s="609">
        <f t="shared" si="0"/>
        <v>3.2</v>
      </c>
      <c r="H26" s="610" t="s">
        <v>57</v>
      </c>
      <c r="I26" s="609" t="str">
        <f t="shared" si="1"/>
        <v>-</v>
      </c>
      <c r="J26" s="610" t="s">
        <v>57</v>
      </c>
      <c r="K26" s="609" t="str">
        <f t="shared" si="2"/>
        <v>-</v>
      </c>
      <c r="L26" s="143">
        <v>128</v>
      </c>
      <c r="M26" s="609">
        <f t="shared" si="3"/>
        <v>0.13</v>
      </c>
      <c r="N26" s="610" t="s">
        <v>57</v>
      </c>
      <c r="O26" s="609" t="str">
        <f t="shared" si="4"/>
        <v>-</v>
      </c>
      <c r="P26" s="143">
        <v>2473</v>
      </c>
      <c r="Q26" s="609">
        <f>IF(P26="-","-",ROUND(P26/$R26*100,2))-0.01</f>
        <v>2.56</v>
      </c>
      <c r="R26" s="129">
        <f t="shared" si="7"/>
        <v>96394</v>
      </c>
      <c r="S26" s="611">
        <f t="shared" si="6"/>
        <v>100</v>
      </c>
    </row>
    <row r="27" spans="1:19" ht="12.75" customHeight="1">
      <c r="A27" s="303">
        <v>13</v>
      </c>
      <c r="B27" s="1876" t="s">
        <v>621</v>
      </c>
      <c r="C27" s="428">
        <v>2001</v>
      </c>
      <c r="D27" s="605">
        <v>235013</v>
      </c>
      <c r="E27" s="606">
        <f t="shared" si="8"/>
        <v>87.68</v>
      </c>
      <c r="F27" s="605">
        <v>28490</v>
      </c>
      <c r="G27" s="606">
        <f>IF(F27="-","-",ROUND(F27/$R27*100,2))</f>
        <v>10.63</v>
      </c>
      <c r="H27" s="605">
        <v>905</v>
      </c>
      <c r="I27" s="606">
        <f t="shared" si="1"/>
        <v>0.34</v>
      </c>
      <c r="J27" s="605">
        <v>8</v>
      </c>
      <c r="K27" s="606">
        <f t="shared" si="2"/>
        <v>0</v>
      </c>
      <c r="L27" s="607">
        <v>26</v>
      </c>
      <c r="M27" s="606">
        <f t="shared" si="3"/>
        <v>0.01</v>
      </c>
      <c r="N27" s="607">
        <v>31</v>
      </c>
      <c r="O27" s="606">
        <f t="shared" si="4"/>
        <v>0.01</v>
      </c>
      <c r="P27" s="607">
        <v>3552</v>
      </c>
      <c r="Q27" s="606">
        <f t="shared" si="5"/>
        <v>1.33</v>
      </c>
      <c r="R27" s="588">
        <f t="shared" si="7"/>
        <v>268025</v>
      </c>
      <c r="S27" s="608">
        <f t="shared" si="6"/>
        <v>100.00000000000001</v>
      </c>
    </row>
    <row r="28" spans="1:19" ht="12.75" customHeight="1">
      <c r="A28" s="336">
        <v>14</v>
      </c>
      <c r="B28" s="1877"/>
      <c r="C28" s="426">
        <v>1991</v>
      </c>
      <c r="D28" s="143">
        <v>209380</v>
      </c>
      <c r="E28" s="609">
        <f t="shared" si="8"/>
        <v>90.23</v>
      </c>
      <c r="F28" s="143">
        <v>21912</v>
      </c>
      <c r="G28" s="609">
        <f t="shared" si="0"/>
        <v>9.44</v>
      </c>
      <c r="H28" s="143">
        <v>699</v>
      </c>
      <c r="I28" s="609">
        <f t="shared" si="1"/>
        <v>0.3</v>
      </c>
      <c r="J28" s="143">
        <v>8</v>
      </c>
      <c r="K28" s="609">
        <f>IF(J28="-","-",ROUND(J28/$R28*100,2))+0.01</f>
        <v>0.01</v>
      </c>
      <c r="L28" s="143">
        <v>14</v>
      </c>
      <c r="M28" s="609">
        <f t="shared" si="3"/>
        <v>0.01</v>
      </c>
      <c r="N28" s="143">
        <v>3</v>
      </c>
      <c r="O28" s="609">
        <f t="shared" si="4"/>
        <v>0</v>
      </c>
      <c r="P28" s="143">
        <v>31</v>
      </c>
      <c r="Q28" s="609">
        <f t="shared" si="5"/>
        <v>0.01</v>
      </c>
      <c r="R28" s="129">
        <f t="shared" si="7"/>
        <v>232047</v>
      </c>
      <c r="S28" s="611">
        <f t="shared" si="6"/>
        <v>100.00000000000001</v>
      </c>
    </row>
    <row r="29" spans="1:19" ht="12.75" customHeight="1">
      <c r="A29" s="1724">
        <v>15</v>
      </c>
      <c r="B29" s="1878" t="s">
        <v>358</v>
      </c>
      <c r="C29" s="428">
        <v>2001</v>
      </c>
      <c r="D29" s="605">
        <v>165378</v>
      </c>
      <c r="E29" s="606">
        <f t="shared" si="8"/>
        <v>88.42</v>
      </c>
      <c r="F29" s="605">
        <v>9258</v>
      </c>
      <c r="G29" s="606">
        <f>IF(F29="-","-",ROUND(F29/$R29*100,2))</f>
        <v>4.95</v>
      </c>
      <c r="H29" s="605">
        <v>1137</v>
      </c>
      <c r="I29" s="606">
        <f t="shared" si="1"/>
        <v>0.61</v>
      </c>
      <c r="J29" s="605">
        <v>37</v>
      </c>
      <c r="K29" s="606">
        <f t="shared" si="2"/>
        <v>0.02</v>
      </c>
      <c r="L29" s="605">
        <v>25</v>
      </c>
      <c r="M29" s="606">
        <f t="shared" si="3"/>
        <v>0.01</v>
      </c>
      <c r="N29" s="605">
        <v>221</v>
      </c>
      <c r="O29" s="606">
        <f t="shared" si="4"/>
        <v>0.12</v>
      </c>
      <c r="P29" s="605">
        <v>10982</v>
      </c>
      <c r="Q29" s="606">
        <f t="shared" si="5"/>
        <v>5.87</v>
      </c>
      <c r="R29" s="588">
        <f t="shared" si="7"/>
        <v>187038</v>
      </c>
      <c r="S29" s="608">
        <f t="shared" si="6"/>
        <v>100.00000000000001</v>
      </c>
    </row>
    <row r="30" spans="1:19" ht="12.75" customHeight="1">
      <c r="A30" s="1720"/>
      <c r="B30" s="1879"/>
      <c r="C30" s="426">
        <v>1991</v>
      </c>
      <c r="D30" s="143">
        <v>158081</v>
      </c>
      <c r="E30" s="609">
        <f t="shared" si="8"/>
        <v>94.48</v>
      </c>
      <c r="F30" s="143">
        <v>7430</v>
      </c>
      <c r="G30" s="609">
        <f t="shared" si="0"/>
        <v>4.4400000000000004</v>
      </c>
      <c r="H30" s="143">
        <v>781</v>
      </c>
      <c r="I30" s="609">
        <f t="shared" si="1"/>
        <v>0.47</v>
      </c>
      <c r="J30" s="143">
        <v>62</v>
      </c>
      <c r="K30" s="609">
        <f t="shared" si="2"/>
        <v>0.04</v>
      </c>
      <c r="L30" s="143">
        <v>19</v>
      </c>
      <c r="M30" s="609">
        <f t="shared" si="3"/>
        <v>0.01</v>
      </c>
      <c r="N30" s="143">
        <v>5</v>
      </c>
      <c r="O30" s="609">
        <f t="shared" si="4"/>
        <v>0</v>
      </c>
      <c r="P30" s="143">
        <v>935</v>
      </c>
      <c r="Q30" s="609">
        <f t="shared" si="5"/>
        <v>0.56000000000000005</v>
      </c>
      <c r="R30" s="129">
        <f t="shared" si="7"/>
        <v>167313</v>
      </c>
      <c r="S30" s="611">
        <f t="shared" si="6"/>
        <v>100.00000000000001</v>
      </c>
    </row>
    <row r="31" spans="1:19" ht="12.75" customHeight="1">
      <c r="A31" s="1724">
        <v>16</v>
      </c>
      <c r="B31" s="1878" t="s">
        <v>359</v>
      </c>
      <c r="C31" s="428">
        <v>2001</v>
      </c>
      <c r="D31" s="605">
        <v>74825</v>
      </c>
      <c r="E31" s="606">
        <f>IF(D31="-","-",ROUND(D31/$R31*100,2))+0.01</f>
        <v>82.550000000000011</v>
      </c>
      <c r="F31" s="605">
        <v>7652</v>
      </c>
      <c r="G31" s="606">
        <f t="shared" si="0"/>
        <v>8.44</v>
      </c>
      <c r="H31" s="605">
        <v>111</v>
      </c>
      <c r="I31" s="606">
        <f t="shared" si="1"/>
        <v>0.12</v>
      </c>
      <c r="J31" s="605">
        <v>193</v>
      </c>
      <c r="K31" s="606">
        <f t="shared" si="2"/>
        <v>0.21</v>
      </c>
      <c r="L31" s="607">
        <v>1</v>
      </c>
      <c r="M31" s="606">
        <f t="shared" si="3"/>
        <v>0</v>
      </c>
      <c r="N31" s="607" t="s">
        <v>57</v>
      </c>
      <c r="O31" s="606" t="str">
        <f t="shared" si="4"/>
        <v>-</v>
      </c>
      <c r="P31" s="605">
        <v>7867</v>
      </c>
      <c r="Q31" s="606">
        <f t="shared" si="5"/>
        <v>8.68</v>
      </c>
      <c r="R31" s="588">
        <f t="shared" si="7"/>
        <v>90649</v>
      </c>
      <c r="S31" s="608">
        <f t="shared" si="6"/>
        <v>100</v>
      </c>
    </row>
    <row r="32" spans="1:19" ht="12.75" customHeight="1">
      <c r="A32" s="1720"/>
      <c r="B32" s="1879"/>
      <c r="C32" s="426">
        <v>1991</v>
      </c>
      <c r="D32" s="143">
        <v>80766</v>
      </c>
      <c r="E32" s="609">
        <f t="shared" ref="E32:E38" si="9">IF(D32="-","-",ROUND(D32/$R32*100,2))</f>
        <v>98.24</v>
      </c>
      <c r="F32" s="143">
        <v>719</v>
      </c>
      <c r="G32" s="609">
        <f t="shared" si="0"/>
        <v>0.87</v>
      </c>
      <c r="H32" s="143">
        <v>18</v>
      </c>
      <c r="I32" s="609">
        <f t="shared" si="1"/>
        <v>0.02</v>
      </c>
      <c r="J32" s="143">
        <v>119</v>
      </c>
      <c r="K32" s="609">
        <f>IF(J32="-","-",ROUND(J32/$R32*100,2))+0.01</f>
        <v>0.15000000000000002</v>
      </c>
      <c r="L32" s="610" t="s">
        <v>57</v>
      </c>
      <c r="M32" s="609" t="str">
        <f t="shared" si="3"/>
        <v>-</v>
      </c>
      <c r="N32" s="610" t="s">
        <v>57</v>
      </c>
      <c r="O32" s="609" t="str">
        <f t="shared" si="4"/>
        <v>-</v>
      </c>
      <c r="P32" s="143">
        <v>593</v>
      </c>
      <c r="Q32" s="609">
        <f t="shared" si="5"/>
        <v>0.72</v>
      </c>
      <c r="R32" s="129">
        <f t="shared" si="7"/>
        <v>82215</v>
      </c>
      <c r="S32" s="611">
        <f t="shared" si="6"/>
        <v>100</v>
      </c>
    </row>
    <row r="33" spans="1:19" ht="12.75" customHeight="1">
      <c r="A33" s="1724">
        <v>17</v>
      </c>
      <c r="B33" s="1878" t="s">
        <v>38</v>
      </c>
      <c r="C33" s="428">
        <v>2001</v>
      </c>
      <c r="D33" s="605">
        <v>141715</v>
      </c>
      <c r="E33" s="606">
        <f t="shared" si="9"/>
        <v>81.16</v>
      </c>
      <c r="F33" s="605">
        <v>28114</v>
      </c>
      <c r="G33" s="606">
        <f t="shared" si="0"/>
        <v>16.100000000000001</v>
      </c>
      <c r="H33" s="605">
        <v>158</v>
      </c>
      <c r="I33" s="606">
        <f t="shared" si="1"/>
        <v>0.09</v>
      </c>
      <c r="J33" s="605">
        <v>54</v>
      </c>
      <c r="K33" s="606">
        <f t="shared" si="2"/>
        <v>0.03</v>
      </c>
      <c r="L33" s="607">
        <v>8</v>
      </c>
      <c r="M33" s="606">
        <f t="shared" si="3"/>
        <v>0</v>
      </c>
      <c r="N33" s="605">
        <v>882</v>
      </c>
      <c r="O33" s="606">
        <f t="shared" si="4"/>
        <v>0.51</v>
      </c>
      <c r="P33" s="605">
        <v>3689</v>
      </c>
      <c r="Q33" s="606">
        <f t="shared" si="5"/>
        <v>2.11</v>
      </c>
      <c r="R33" s="588">
        <f t="shared" si="7"/>
        <v>174620</v>
      </c>
      <c r="S33" s="608">
        <f t="shared" si="6"/>
        <v>100</v>
      </c>
    </row>
    <row r="34" spans="1:19" ht="12.75" customHeight="1">
      <c r="A34" s="1720"/>
      <c r="B34" s="1879"/>
      <c r="C34" s="426">
        <v>1991</v>
      </c>
      <c r="D34" s="143">
        <v>124086</v>
      </c>
      <c r="E34" s="609">
        <f t="shared" si="9"/>
        <v>84.46</v>
      </c>
      <c r="F34" s="143">
        <v>21761</v>
      </c>
      <c r="G34" s="609">
        <f t="shared" si="0"/>
        <v>14.81</v>
      </c>
      <c r="H34" s="143">
        <v>215</v>
      </c>
      <c r="I34" s="609">
        <f t="shared" si="1"/>
        <v>0.15</v>
      </c>
      <c r="J34" s="143">
        <v>303</v>
      </c>
      <c r="K34" s="609">
        <f t="shared" si="2"/>
        <v>0.21</v>
      </c>
      <c r="L34" s="143">
        <v>8</v>
      </c>
      <c r="M34" s="609">
        <f>IF(L34="-","-",ROUND(L34/$R34*100,2))-0.01</f>
        <v>0</v>
      </c>
      <c r="N34" s="143">
        <v>462</v>
      </c>
      <c r="O34" s="609">
        <f t="shared" si="4"/>
        <v>0.31</v>
      </c>
      <c r="P34" s="143">
        <v>87</v>
      </c>
      <c r="Q34" s="609">
        <f t="shared" si="5"/>
        <v>0.06</v>
      </c>
      <c r="R34" s="129">
        <f t="shared" si="7"/>
        <v>146922</v>
      </c>
      <c r="S34" s="611">
        <f t="shared" si="6"/>
        <v>100</v>
      </c>
    </row>
    <row r="35" spans="1:19" ht="12.75" customHeight="1">
      <c r="A35" s="303">
        <v>18</v>
      </c>
      <c r="B35" s="1876" t="s">
        <v>622</v>
      </c>
      <c r="C35" s="428">
        <v>2001</v>
      </c>
      <c r="D35" s="605">
        <v>178736</v>
      </c>
      <c r="E35" s="606">
        <f t="shared" si="9"/>
        <v>88.04</v>
      </c>
      <c r="F35" s="605">
        <v>19094</v>
      </c>
      <c r="G35" s="606">
        <f t="shared" si="0"/>
        <v>9.41</v>
      </c>
      <c r="H35" s="605">
        <v>609</v>
      </c>
      <c r="I35" s="606">
        <f t="shared" si="1"/>
        <v>0.3</v>
      </c>
      <c r="J35" s="605">
        <v>119</v>
      </c>
      <c r="K35" s="606">
        <f t="shared" si="2"/>
        <v>0.06</v>
      </c>
      <c r="L35" s="607">
        <v>42</v>
      </c>
      <c r="M35" s="606">
        <f t="shared" si="3"/>
        <v>0.02</v>
      </c>
      <c r="N35" s="605">
        <v>689</v>
      </c>
      <c r="O35" s="606">
        <f t="shared" si="4"/>
        <v>0.34</v>
      </c>
      <c r="P35" s="605">
        <v>3723</v>
      </c>
      <c r="Q35" s="606">
        <f t="shared" si="5"/>
        <v>1.83</v>
      </c>
      <c r="R35" s="588">
        <f t="shared" si="7"/>
        <v>203012</v>
      </c>
      <c r="S35" s="608">
        <f t="shared" si="6"/>
        <v>100</v>
      </c>
    </row>
    <row r="36" spans="1:19" ht="12.75" customHeight="1">
      <c r="A36" s="336">
        <v>19</v>
      </c>
      <c r="B36" s="1877"/>
      <c r="C36" s="426">
        <v>1991</v>
      </c>
      <c r="D36" s="143">
        <v>166841</v>
      </c>
      <c r="E36" s="609">
        <f t="shared" si="9"/>
        <v>91.55</v>
      </c>
      <c r="F36" s="143">
        <v>14778</v>
      </c>
      <c r="G36" s="609">
        <f t="shared" si="0"/>
        <v>8.11</v>
      </c>
      <c r="H36" s="143">
        <v>490</v>
      </c>
      <c r="I36" s="609">
        <f t="shared" si="1"/>
        <v>0.27</v>
      </c>
      <c r="J36" s="143">
        <v>82</v>
      </c>
      <c r="K36" s="609">
        <f t="shared" si="2"/>
        <v>0.04</v>
      </c>
      <c r="L36" s="143">
        <v>1</v>
      </c>
      <c r="M36" s="609">
        <f t="shared" si="3"/>
        <v>0</v>
      </c>
      <c r="N36" s="143">
        <v>32</v>
      </c>
      <c r="O36" s="609">
        <f t="shared" si="4"/>
        <v>0.02</v>
      </c>
      <c r="P36" s="143">
        <v>18</v>
      </c>
      <c r="Q36" s="609">
        <f t="shared" si="5"/>
        <v>0.01</v>
      </c>
      <c r="R36" s="129">
        <f t="shared" si="7"/>
        <v>182242</v>
      </c>
      <c r="S36" s="611">
        <f t="shared" si="6"/>
        <v>100</v>
      </c>
    </row>
    <row r="37" spans="1:19" ht="12.75" customHeight="1">
      <c r="A37" s="1884">
        <v>20</v>
      </c>
      <c r="B37" s="1883" t="s">
        <v>39</v>
      </c>
      <c r="C37" s="428">
        <v>2001</v>
      </c>
      <c r="D37" s="141">
        <v>46539</v>
      </c>
      <c r="E37" s="613">
        <f t="shared" si="9"/>
        <v>66.88</v>
      </c>
      <c r="F37" s="141">
        <v>5106</v>
      </c>
      <c r="G37" s="613">
        <f t="shared" si="0"/>
        <v>7.34</v>
      </c>
      <c r="H37" s="141">
        <v>233</v>
      </c>
      <c r="I37" s="613">
        <f t="shared" si="1"/>
        <v>0.33</v>
      </c>
      <c r="J37" s="614">
        <v>25</v>
      </c>
      <c r="K37" s="613">
        <f t="shared" si="2"/>
        <v>0.04</v>
      </c>
      <c r="L37" s="614">
        <v>22</v>
      </c>
      <c r="M37" s="613">
        <f t="shared" si="3"/>
        <v>0.03</v>
      </c>
      <c r="N37" s="614" t="s">
        <v>57</v>
      </c>
      <c r="O37" s="613" t="str">
        <f t="shared" si="4"/>
        <v>-</v>
      </c>
      <c r="P37" s="141">
        <v>17662</v>
      </c>
      <c r="Q37" s="613">
        <f t="shared" si="5"/>
        <v>25.38</v>
      </c>
      <c r="R37" s="123">
        <f t="shared" si="7"/>
        <v>69587</v>
      </c>
      <c r="S37" s="132">
        <f t="shared" si="6"/>
        <v>100</v>
      </c>
    </row>
    <row r="38" spans="1:19" ht="12.75" customHeight="1">
      <c r="A38" s="1885"/>
      <c r="B38" s="1879"/>
      <c r="C38" s="426">
        <v>1991</v>
      </c>
      <c r="D38" s="143">
        <v>58672</v>
      </c>
      <c r="E38" s="609">
        <f t="shared" si="9"/>
        <v>92.26</v>
      </c>
      <c r="F38" s="143">
        <v>3857</v>
      </c>
      <c r="G38" s="609">
        <f t="shared" si="0"/>
        <v>6.07</v>
      </c>
      <c r="H38" s="143">
        <v>153</v>
      </c>
      <c r="I38" s="609">
        <f t="shared" si="1"/>
        <v>0.24</v>
      </c>
      <c r="J38" s="143">
        <v>1</v>
      </c>
      <c r="K38" s="609">
        <f t="shared" si="2"/>
        <v>0</v>
      </c>
      <c r="L38" s="610" t="s">
        <v>57</v>
      </c>
      <c r="M38" s="609" t="str">
        <f t="shared" si="3"/>
        <v>-</v>
      </c>
      <c r="N38" s="610" t="s">
        <v>57</v>
      </c>
      <c r="O38" s="609" t="str">
        <f t="shared" si="4"/>
        <v>-</v>
      </c>
      <c r="P38" s="143">
        <v>911</v>
      </c>
      <c r="Q38" s="609">
        <f t="shared" si="5"/>
        <v>1.43</v>
      </c>
      <c r="R38" s="129">
        <f t="shared" si="7"/>
        <v>63594</v>
      </c>
      <c r="S38" s="611">
        <f t="shared" si="6"/>
        <v>100.00000000000001</v>
      </c>
    </row>
    <row r="39" spans="1:19">
      <c r="A39" s="225"/>
      <c r="B39" s="176"/>
      <c r="C39" s="176"/>
      <c r="D39" s="176"/>
      <c r="E39" s="176"/>
      <c r="F39" s="176"/>
      <c r="G39" s="176"/>
      <c r="H39" s="176"/>
      <c r="I39" s="176"/>
      <c r="J39" s="176"/>
      <c r="K39" s="176"/>
      <c r="L39" s="176"/>
      <c r="M39" s="176"/>
      <c r="N39" s="176"/>
      <c r="O39" s="429"/>
      <c r="P39" s="290"/>
      <c r="Q39" s="429"/>
      <c r="R39" s="429"/>
      <c r="S39" s="565" t="s">
        <v>1377</v>
      </c>
    </row>
    <row r="41" spans="1:19">
      <c r="P41" s="20"/>
    </row>
  </sheetData>
  <mergeCells count="41">
    <mergeCell ref="A2:S2"/>
    <mergeCell ref="A4:A5"/>
    <mergeCell ref="N4:O4"/>
    <mergeCell ref="P4:Q4"/>
    <mergeCell ref="R4:S4"/>
    <mergeCell ref="F4:G4"/>
    <mergeCell ref="H4:I4"/>
    <mergeCell ref="D4:E4"/>
    <mergeCell ref="B31:B32"/>
    <mergeCell ref="B37:B38"/>
    <mergeCell ref="A29:A30"/>
    <mergeCell ref="A37:A38"/>
    <mergeCell ref="A31:A32"/>
    <mergeCell ref="A33:A34"/>
    <mergeCell ref="B35:B36"/>
    <mergeCell ref="B33:B34"/>
    <mergeCell ref="B29:B30"/>
    <mergeCell ref="A1:S1"/>
    <mergeCell ref="B17:B18"/>
    <mergeCell ref="B4:B5"/>
    <mergeCell ref="C4:C5"/>
    <mergeCell ref="B15:B16"/>
    <mergeCell ref="B13:B14"/>
    <mergeCell ref="L4:M4"/>
    <mergeCell ref="J4:K4"/>
    <mergeCell ref="A9:A10"/>
    <mergeCell ref="A13:A14"/>
    <mergeCell ref="B7:B8"/>
    <mergeCell ref="B11:B12"/>
    <mergeCell ref="A15:A16"/>
    <mergeCell ref="A7:A8"/>
    <mergeCell ref="B9:B10"/>
    <mergeCell ref="A11:A12"/>
    <mergeCell ref="B27:B28"/>
    <mergeCell ref="B25:B26"/>
    <mergeCell ref="B23:B24"/>
    <mergeCell ref="A19:A20"/>
    <mergeCell ref="B21:B22"/>
    <mergeCell ref="A25:A26"/>
    <mergeCell ref="A21:A22"/>
    <mergeCell ref="B19:B20"/>
  </mergeCells>
  <phoneticPr fontId="0" type="noConversion"/>
  <printOptions horizontalCentered="1" verticalCentered="1"/>
  <pageMargins left="0.1" right="0.1" top="0" bottom="0" header="0.25" footer="0.1"/>
  <pageSetup paperSize="9" orientation="landscape" blackAndWhite="1" r:id="rId1"/>
  <headerFooter alignWithMargins="0"/>
  <drawing r:id="rId2"/>
</worksheet>
</file>

<file path=xl/worksheets/sheet78.xml><?xml version="1.0" encoding="utf-8"?>
<worksheet xmlns="http://schemas.openxmlformats.org/spreadsheetml/2006/main" xmlns:r="http://schemas.openxmlformats.org/officeDocument/2006/relationships">
  <dimension ref="A1:I35"/>
  <sheetViews>
    <sheetView topLeftCell="A13" workbookViewId="0">
      <selection activeCell="L7" sqref="L7"/>
    </sheetView>
  </sheetViews>
  <sheetFormatPr defaultRowHeight="12.75"/>
  <cols>
    <col min="1" max="1" width="6.140625" customWidth="1"/>
    <col min="2" max="2" width="18.28515625" customWidth="1"/>
    <col min="3" max="4" width="12.42578125" customWidth="1"/>
    <col min="5" max="6" width="11.7109375" customWidth="1"/>
    <col min="7" max="7" width="16" customWidth="1"/>
  </cols>
  <sheetData>
    <row r="1" spans="1:8" ht="16.5" customHeight="1">
      <c r="A1" s="1658" t="s">
        <v>626</v>
      </c>
      <c r="B1" s="1658"/>
      <c r="C1" s="1658"/>
      <c r="D1" s="1658"/>
      <c r="E1" s="1658"/>
      <c r="F1" s="1658"/>
      <c r="G1" s="1658"/>
    </row>
    <row r="2" spans="1:8" ht="35.25" customHeight="1">
      <c r="A2" s="1670" t="str">
        <f>CONCATENATE(" Persons Engaged in Agriculture in the Blocks of ", District!$A$1, " 
for the year ",District!F3)</f>
        <v xml:space="preserve"> Persons Engaged in Agriculture in the Blocks of Purulia 
for the year 2013-14</v>
      </c>
      <c r="B2" s="1670"/>
      <c r="C2" s="1670"/>
      <c r="D2" s="1670"/>
      <c r="E2" s="1670"/>
      <c r="F2" s="1670"/>
      <c r="G2" s="1670"/>
      <c r="H2" s="4"/>
    </row>
    <row r="3" spans="1:8" ht="12.75" customHeight="1">
      <c r="B3" s="52"/>
      <c r="C3" s="3"/>
      <c r="D3" s="3"/>
      <c r="E3" s="3"/>
      <c r="F3" s="3"/>
      <c r="G3" s="320" t="s">
        <v>294</v>
      </c>
    </row>
    <row r="4" spans="1:8" ht="18.95" customHeight="1">
      <c r="A4" s="292" t="s">
        <v>295</v>
      </c>
      <c r="B4" s="1661" t="s">
        <v>293</v>
      </c>
      <c r="C4" s="1661" t="s">
        <v>296</v>
      </c>
      <c r="D4" s="150" t="s">
        <v>297</v>
      </c>
      <c r="E4" s="298" t="s">
        <v>1427</v>
      </c>
      <c r="F4" s="150" t="s">
        <v>1426</v>
      </c>
      <c r="G4" s="163" t="s">
        <v>139</v>
      </c>
    </row>
    <row r="5" spans="1:8" ht="18.95" customHeight="1">
      <c r="A5" s="314" t="s">
        <v>1059</v>
      </c>
      <c r="B5" s="1666"/>
      <c r="C5" s="1666"/>
      <c r="D5" s="88" t="s">
        <v>298</v>
      </c>
      <c r="E5" s="310" t="s">
        <v>275</v>
      </c>
      <c r="F5" s="88" t="s">
        <v>275</v>
      </c>
      <c r="G5" s="97" t="s">
        <v>283</v>
      </c>
    </row>
    <row r="6" spans="1:8" ht="18.95" customHeight="1">
      <c r="A6" s="277" t="s">
        <v>1008</v>
      </c>
      <c r="B6" s="293" t="s">
        <v>1009</v>
      </c>
      <c r="C6" s="278" t="s">
        <v>1010</v>
      </c>
      <c r="D6" s="293" t="s">
        <v>1011</v>
      </c>
      <c r="E6" s="278" t="s">
        <v>1015</v>
      </c>
      <c r="F6" s="293" t="s">
        <v>1016</v>
      </c>
      <c r="G6" s="279" t="s">
        <v>1017</v>
      </c>
    </row>
    <row r="7" spans="1:8" ht="21" customHeight="1">
      <c r="A7" s="332">
        <v>1</v>
      </c>
      <c r="B7" s="400" t="s">
        <v>26</v>
      </c>
      <c r="C7" s="107">
        <v>392</v>
      </c>
      <c r="D7" s="99">
        <v>5887</v>
      </c>
      <c r="E7" s="100">
        <v>3459</v>
      </c>
      <c r="F7" s="101">
        <v>10686</v>
      </c>
      <c r="G7" s="50">
        <v>30374</v>
      </c>
    </row>
    <row r="8" spans="1:8" ht="21" customHeight="1">
      <c r="A8" s="332">
        <f t="shared" ref="A8:A26" si="0">A7+1</f>
        <v>2</v>
      </c>
      <c r="B8" s="337" t="s">
        <v>27</v>
      </c>
      <c r="C8" s="107">
        <v>84</v>
      </c>
      <c r="D8" s="99">
        <v>5085</v>
      </c>
      <c r="E8" s="94">
        <v>1688</v>
      </c>
      <c r="F8" s="99">
        <v>12483</v>
      </c>
      <c r="G8" s="50">
        <v>30308</v>
      </c>
    </row>
    <row r="9" spans="1:8" ht="21" customHeight="1">
      <c r="A9" s="332">
        <f t="shared" si="0"/>
        <v>3</v>
      </c>
      <c r="B9" s="337" t="s">
        <v>53</v>
      </c>
      <c r="C9" s="107">
        <v>300</v>
      </c>
      <c r="D9" s="99">
        <v>7399</v>
      </c>
      <c r="E9" s="94">
        <v>2793</v>
      </c>
      <c r="F9" s="99">
        <v>10119</v>
      </c>
      <c r="G9" s="50">
        <v>21384</v>
      </c>
    </row>
    <row r="10" spans="1:8" ht="21" customHeight="1">
      <c r="A10" s="332">
        <f t="shared" si="0"/>
        <v>4</v>
      </c>
      <c r="B10" s="337" t="s">
        <v>28</v>
      </c>
      <c r="C10" s="107">
        <v>246</v>
      </c>
      <c r="D10" s="99">
        <v>9752</v>
      </c>
      <c r="E10" s="94">
        <v>5454</v>
      </c>
      <c r="F10" s="99">
        <v>17726</v>
      </c>
      <c r="G10" s="50">
        <v>42185</v>
      </c>
    </row>
    <row r="11" spans="1:8" ht="21" customHeight="1">
      <c r="A11" s="332">
        <f t="shared" si="0"/>
        <v>5</v>
      </c>
      <c r="B11" s="337" t="s">
        <v>29</v>
      </c>
      <c r="C11" s="107">
        <v>272</v>
      </c>
      <c r="D11" s="99">
        <v>6272</v>
      </c>
      <c r="E11" s="94">
        <v>2169</v>
      </c>
      <c r="F11" s="99">
        <v>10349</v>
      </c>
      <c r="G11" s="50">
        <v>15541</v>
      </c>
    </row>
    <row r="12" spans="1:8" ht="21" customHeight="1">
      <c r="A12" s="332">
        <f t="shared" si="0"/>
        <v>6</v>
      </c>
      <c r="B12" s="337" t="s">
        <v>48</v>
      </c>
      <c r="C12" s="107">
        <v>364</v>
      </c>
      <c r="D12" s="99">
        <v>8370</v>
      </c>
      <c r="E12" s="94">
        <v>4105</v>
      </c>
      <c r="F12" s="99">
        <v>13936</v>
      </c>
      <c r="G12" s="50">
        <v>19776</v>
      </c>
    </row>
    <row r="13" spans="1:8" ht="21" customHeight="1">
      <c r="A13" s="332">
        <f t="shared" si="0"/>
        <v>7</v>
      </c>
      <c r="B13" s="337" t="s">
        <v>54</v>
      </c>
      <c r="C13" s="107">
        <v>110</v>
      </c>
      <c r="D13" s="99">
        <v>3640</v>
      </c>
      <c r="E13" s="94">
        <v>1532</v>
      </c>
      <c r="F13" s="99">
        <v>9612</v>
      </c>
      <c r="G13" s="50">
        <v>10126</v>
      </c>
    </row>
    <row r="14" spans="1:8" ht="21" customHeight="1">
      <c r="A14" s="332">
        <f t="shared" si="0"/>
        <v>8</v>
      </c>
      <c r="B14" s="337" t="s">
        <v>33</v>
      </c>
      <c r="C14" s="107">
        <v>327</v>
      </c>
      <c r="D14" s="99">
        <v>6053</v>
      </c>
      <c r="E14" s="94">
        <v>3490</v>
      </c>
      <c r="F14" s="99">
        <v>23496</v>
      </c>
      <c r="G14" s="50">
        <v>24834</v>
      </c>
    </row>
    <row r="15" spans="1:8" ht="21" customHeight="1">
      <c r="A15" s="332">
        <f t="shared" si="0"/>
        <v>9</v>
      </c>
      <c r="B15" s="337" t="s">
        <v>34</v>
      </c>
      <c r="C15" s="107">
        <v>309</v>
      </c>
      <c r="D15" s="99">
        <v>8192</v>
      </c>
      <c r="E15" s="94">
        <v>4104</v>
      </c>
      <c r="F15" s="99">
        <v>13532</v>
      </c>
      <c r="G15" s="50">
        <v>35033</v>
      </c>
    </row>
    <row r="16" spans="1:8" ht="21" customHeight="1">
      <c r="A16" s="332">
        <f t="shared" si="0"/>
        <v>10</v>
      </c>
      <c r="B16" s="337" t="s">
        <v>55</v>
      </c>
      <c r="C16" s="107">
        <v>183</v>
      </c>
      <c r="D16" s="99">
        <v>2779</v>
      </c>
      <c r="E16" s="94">
        <v>4528</v>
      </c>
      <c r="F16" s="99">
        <v>22399</v>
      </c>
      <c r="G16" s="50">
        <v>43646</v>
      </c>
    </row>
    <row r="17" spans="1:9" ht="21" customHeight="1">
      <c r="A17" s="332">
        <f t="shared" si="0"/>
        <v>11</v>
      </c>
      <c r="B17" s="337" t="s">
        <v>56</v>
      </c>
      <c r="C17" s="107">
        <v>114</v>
      </c>
      <c r="D17" s="99">
        <v>2349</v>
      </c>
      <c r="E17" s="94">
        <v>1756</v>
      </c>
      <c r="F17" s="99">
        <v>14774</v>
      </c>
      <c r="G17" s="50">
        <v>32070</v>
      </c>
    </row>
    <row r="18" spans="1:9" ht="21" customHeight="1">
      <c r="A18" s="332">
        <f t="shared" si="0"/>
        <v>12</v>
      </c>
      <c r="B18" s="337" t="s">
        <v>45</v>
      </c>
      <c r="C18" s="107">
        <v>170</v>
      </c>
      <c r="D18" s="99">
        <v>2992</v>
      </c>
      <c r="E18" s="94">
        <v>3056</v>
      </c>
      <c r="F18" s="99">
        <v>11021</v>
      </c>
      <c r="G18" s="50">
        <v>30933</v>
      </c>
    </row>
    <row r="19" spans="1:9" ht="21" customHeight="1">
      <c r="A19" s="332">
        <f t="shared" si="0"/>
        <v>13</v>
      </c>
      <c r="B19" s="337" t="s">
        <v>46</v>
      </c>
      <c r="C19" s="107">
        <v>628</v>
      </c>
      <c r="D19" s="99">
        <v>3591</v>
      </c>
      <c r="E19" s="94">
        <v>1036</v>
      </c>
      <c r="F19" s="99">
        <v>11254</v>
      </c>
      <c r="G19" s="50">
        <v>24156</v>
      </c>
    </row>
    <row r="20" spans="1:9" ht="21" customHeight="1">
      <c r="A20" s="332">
        <f t="shared" si="0"/>
        <v>14</v>
      </c>
      <c r="B20" s="337" t="s">
        <v>47</v>
      </c>
      <c r="C20" s="107">
        <v>866</v>
      </c>
      <c r="D20" s="99">
        <v>2791</v>
      </c>
      <c r="E20" s="94">
        <v>1396</v>
      </c>
      <c r="F20" s="99">
        <v>7342</v>
      </c>
      <c r="G20" s="50">
        <v>26245</v>
      </c>
    </row>
    <row r="21" spans="1:9" ht="21" customHeight="1">
      <c r="A21" s="332">
        <f t="shared" si="0"/>
        <v>15</v>
      </c>
      <c r="B21" s="337" t="s">
        <v>36</v>
      </c>
      <c r="C21" s="107">
        <v>663</v>
      </c>
      <c r="D21" s="99">
        <v>11052</v>
      </c>
      <c r="E21" s="94">
        <v>3279</v>
      </c>
      <c r="F21" s="99">
        <v>17970</v>
      </c>
      <c r="G21" s="50">
        <v>36249</v>
      </c>
    </row>
    <row r="22" spans="1:9" ht="21" customHeight="1">
      <c r="A22" s="332">
        <f t="shared" si="0"/>
        <v>16</v>
      </c>
      <c r="B22" s="337" t="s">
        <v>37</v>
      </c>
      <c r="C22" s="107">
        <v>156</v>
      </c>
      <c r="D22" s="99">
        <v>3659</v>
      </c>
      <c r="E22" s="94">
        <v>1604</v>
      </c>
      <c r="F22" s="99">
        <v>10635</v>
      </c>
      <c r="G22" s="50">
        <v>9242</v>
      </c>
    </row>
    <row r="23" spans="1:9" ht="21" customHeight="1">
      <c r="A23" s="332">
        <f t="shared" si="0"/>
        <v>17</v>
      </c>
      <c r="B23" s="337" t="s">
        <v>38</v>
      </c>
      <c r="C23" s="107">
        <v>891</v>
      </c>
      <c r="D23" s="99">
        <v>5321</v>
      </c>
      <c r="E23" s="94">
        <v>1821</v>
      </c>
      <c r="F23" s="99">
        <v>13328</v>
      </c>
      <c r="G23" s="50">
        <v>25529</v>
      </c>
    </row>
    <row r="24" spans="1:9" ht="21" customHeight="1">
      <c r="A24" s="332">
        <f t="shared" si="0"/>
        <v>18</v>
      </c>
      <c r="B24" s="337" t="s">
        <v>40</v>
      </c>
      <c r="C24" s="107">
        <v>1799</v>
      </c>
      <c r="D24" s="99">
        <v>3575</v>
      </c>
      <c r="E24" s="94">
        <v>959</v>
      </c>
      <c r="F24" s="99">
        <v>8947</v>
      </c>
      <c r="G24" s="50">
        <v>11881</v>
      </c>
    </row>
    <row r="25" spans="1:9" ht="21" customHeight="1">
      <c r="A25" s="332">
        <f t="shared" si="0"/>
        <v>19</v>
      </c>
      <c r="B25" s="337" t="s">
        <v>52</v>
      </c>
      <c r="C25" s="107">
        <v>3210</v>
      </c>
      <c r="D25" s="99">
        <v>3497</v>
      </c>
      <c r="E25" s="94">
        <v>775</v>
      </c>
      <c r="F25" s="99">
        <v>6157</v>
      </c>
      <c r="G25" s="50">
        <v>12361</v>
      </c>
    </row>
    <row r="26" spans="1:9" ht="21" customHeight="1">
      <c r="A26" s="336">
        <f t="shared" si="0"/>
        <v>20</v>
      </c>
      <c r="B26" s="401" t="s">
        <v>39</v>
      </c>
      <c r="C26" s="22">
        <v>875</v>
      </c>
      <c r="D26" s="89">
        <v>4896</v>
      </c>
      <c r="E26" s="43">
        <v>649</v>
      </c>
      <c r="F26" s="89">
        <v>7203</v>
      </c>
      <c r="G26" s="48">
        <v>9837</v>
      </c>
    </row>
    <row r="27" spans="1:9" ht="12.75" customHeight="1">
      <c r="A27" s="1339" t="s">
        <v>279</v>
      </c>
      <c r="B27" s="1678" t="s">
        <v>276</v>
      </c>
      <c r="C27" s="1678"/>
      <c r="D27" s="1678"/>
      <c r="E27" s="562" t="s">
        <v>776</v>
      </c>
      <c r="F27" s="1886" t="s">
        <v>897</v>
      </c>
      <c r="G27" s="1886"/>
      <c r="H27" s="6"/>
    </row>
    <row r="28" spans="1:9" ht="12.75" customHeight="1">
      <c r="A28" s="560"/>
      <c r="B28" s="1712"/>
      <c r="C28" s="1712"/>
      <c r="D28" s="1712"/>
      <c r="E28" s="565" t="s">
        <v>782</v>
      </c>
      <c r="F28" s="1887" t="s">
        <v>31</v>
      </c>
      <c r="G28" s="1887"/>
      <c r="H28" s="6"/>
    </row>
    <row r="29" spans="1:9" ht="12.75" customHeight="1">
      <c r="A29" s="560"/>
      <c r="B29" s="1712" t="s">
        <v>277</v>
      </c>
      <c r="C29" s="1712"/>
      <c r="D29" s="1712"/>
      <c r="E29" s="565" t="s">
        <v>381</v>
      </c>
      <c r="F29" s="1657" t="s">
        <v>1190</v>
      </c>
      <c r="G29" s="1657"/>
      <c r="H29" s="6"/>
      <c r="I29" s="40"/>
    </row>
    <row r="30" spans="1:9" ht="12.75" customHeight="1">
      <c r="A30" s="560"/>
      <c r="B30" s="1712"/>
      <c r="C30" s="1712"/>
      <c r="D30" s="1712"/>
      <c r="E30" s="562" t="s">
        <v>382</v>
      </c>
      <c r="F30" s="1657" t="s">
        <v>475</v>
      </c>
      <c r="G30" s="1657"/>
      <c r="H30" s="6"/>
    </row>
    <row r="31" spans="1:9" ht="12.75" customHeight="1">
      <c r="A31" s="560"/>
      <c r="B31" s="540"/>
      <c r="C31" s="1336"/>
      <c r="D31" s="560"/>
      <c r="E31" s="540"/>
      <c r="F31" s="540"/>
      <c r="G31" s="560"/>
    </row>
    <row r="32" spans="1:9" ht="12.75" customHeight="1">
      <c r="A32" s="560" t="s">
        <v>278</v>
      </c>
      <c r="B32" s="1336"/>
      <c r="C32" s="1336"/>
      <c r="D32" s="560"/>
      <c r="E32" s="560"/>
      <c r="F32" s="560"/>
      <c r="G32" s="560"/>
    </row>
    <row r="33" spans="1:7" ht="12.75" customHeight="1">
      <c r="B33" s="572"/>
      <c r="C33" s="572"/>
      <c r="D33" s="430"/>
      <c r="E33" s="316"/>
      <c r="F33" s="316"/>
      <c r="G33" s="316"/>
    </row>
    <row r="34" spans="1:7">
      <c r="A34" s="572"/>
      <c r="B34" s="572"/>
      <c r="C34" s="572"/>
      <c r="D34" s="316"/>
      <c r="E34" s="316"/>
      <c r="F34" s="316"/>
      <c r="G34" s="316"/>
    </row>
    <row r="35" spans="1:7">
      <c r="A35" s="316"/>
      <c r="B35" s="316"/>
      <c r="C35" s="316"/>
      <c r="D35" s="316"/>
      <c r="E35" s="316"/>
      <c r="F35" s="316"/>
      <c r="G35" s="316"/>
    </row>
  </sheetData>
  <mergeCells count="10">
    <mergeCell ref="F30:G30"/>
    <mergeCell ref="A1:G1"/>
    <mergeCell ref="A2:G2"/>
    <mergeCell ref="F29:G29"/>
    <mergeCell ref="F27:G27"/>
    <mergeCell ref="F28:G28"/>
    <mergeCell ref="B27:D28"/>
    <mergeCell ref="B29:D30"/>
    <mergeCell ref="B4:B5"/>
    <mergeCell ref="C4:C5"/>
  </mergeCells>
  <phoneticPr fontId="0" type="noConversion"/>
  <printOptions horizontalCentered="1"/>
  <pageMargins left="0.1" right="0.1" top="0.83" bottom="0.1" header="0.5" footer="0.1"/>
  <pageSetup paperSize="9" orientation="portrait" blackAndWhite="1" r:id="rId1"/>
  <headerFooter alignWithMargins="0"/>
</worksheet>
</file>

<file path=xl/worksheets/sheet79.xml><?xml version="1.0" encoding="utf-8"?>
<worksheet xmlns="http://schemas.openxmlformats.org/spreadsheetml/2006/main" xmlns:r="http://schemas.openxmlformats.org/officeDocument/2006/relationships">
  <dimension ref="A1:AY30"/>
  <sheetViews>
    <sheetView workbookViewId="0">
      <selection activeCell="Q15" sqref="Q15"/>
    </sheetView>
  </sheetViews>
  <sheetFormatPr defaultRowHeight="12"/>
  <cols>
    <col min="1" max="1" width="4" style="540" customWidth="1"/>
    <col min="2" max="2" width="15" style="540" customWidth="1"/>
    <col min="3" max="3" width="6.7109375" style="540" customWidth="1"/>
    <col min="4" max="4" width="7.42578125" style="540" customWidth="1"/>
    <col min="5" max="5" width="7.7109375" style="540" customWidth="1"/>
    <col min="6" max="6" width="8.28515625" style="540" customWidth="1"/>
    <col min="7" max="7" width="8.42578125" style="540" customWidth="1"/>
    <col min="8" max="8" width="8.7109375" style="540" customWidth="1"/>
    <col min="9" max="9" width="8" style="540" customWidth="1"/>
    <col min="10" max="10" width="8.28515625" style="540" customWidth="1"/>
    <col min="11" max="11" width="9.140625" style="540"/>
    <col min="12" max="12" width="6.5703125" style="540" customWidth="1"/>
    <col min="13" max="13" width="8.5703125" style="540" customWidth="1"/>
    <col min="14" max="14" width="8" style="540" customWidth="1"/>
    <col min="15" max="15" width="5.28515625" style="540" customWidth="1"/>
    <col min="16" max="16" width="6.42578125" style="540" customWidth="1"/>
    <col min="17" max="17" width="8.7109375" style="540" customWidth="1"/>
    <col min="18" max="18" width="3.42578125" style="540" customWidth="1"/>
    <col min="19" max="19" width="3.7109375" style="540" customWidth="1"/>
    <col min="20" max="20" width="15" style="540" customWidth="1"/>
    <col min="21" max="21" width="7.5703125" style="540" customWidth="1"/>
    <col min="22" max="22" width="8.140625" style="540" customWidth="1"/>
    <col min="23" max="23" width="9.42578125" style="540" customWidth="1"/>
    <col min="24" max="24" width="6.28515625" style="540" customWidth="1"/>
    <col min="25" max="25" width="7.28515625" style="540" customWidth="1"/>
    <col min="26" max="26" width="7.85546875" style="540" customWidth="1"/>
    <col min="27" max="27" width="7" style="540" customWidth="1"/>
    <col min="28" max="28" width="7.85546875" style="540" customWidth="1"/>
    <col min="29" max="29" width="8.5703125" style="540" customWidth="1"/>
    <col min="30" max="30" width="7.140625" style="540" customWidth="1"/>
    <col min="31" max="31" width="6" style="540" customWidth="1"/>
    <col min="32" max="32" width="8.28515625" style="540" customWidth="1"/>
    <col min="33" max="33" width="6.42578125" style="540" customWidth="1"/>
    <col min="34" max="34" width="7.7109375" style="540" customWidth="1"/>
    <col min="35" max="35" width="8.7109375" style="540" customWidth="1"/>
    <col min="36" max="36" width="3.42578125" style="540" customWidth="1"/>
    <col min="37" max="37" width="4.5703125" style="540" customWidth="1"/>
    <col min="38" max="38" width="15.28515625" style="540" customWidth="1"/>
    <col min="39" max="39" width="8" style="540" customWidth="1"/>
    <col min="40" max="44" width="9.140625" style="540"/>
    <col min="45" max="45" width="7.5703125" style="540" customWidth="1"/>
    <col min="46" max="47" width="10.28515625" style="540" customWidth="1"/>
    <col min="48" max="48" width="6.85546875" style="540" customWidth="1"/>
    <col min="49" max="49" width="8" style="540" customWidth="1"/>
    <col min="50" max="50" width="10" style="540" customWidth="1"/>
    <col min="51" max="16384" width="9.140625" style="540"/>
  </cols>
  <sheetData>
    <row r="1" spans="1:51" ht="12.75" customHeight="1">
      <c r="A1" s="1891" t="s">
        <v>627</v>
      </c>
      <c r="B1" s="1891"/>
      <c r="C1" s="1891"/>
      <c r="D1" s="1891"/>
      <c r="E1" s="1891"/>
      <c r="F1" s="1891"/>
      <c r="G1" s="1891"/>
      <c r="H1" s="1891"/>
      <c r="I1" s="1891"/>
      <c r="J1" s="1891"/>
      <c r="K1" s="1891"/>
      <c r="L1" s="1891"/>
      <c r="M1" s="1891"/>
      <c r="N1" s="1891"/>
      <c r="O1" s="1891"/>
      <c r="P1" s="1891"/>
      <c r="Q1" s="1891"/>
      <c r="R1" s="635"/>
      <c r="U1" s="634"/>
      <c r="V1" s="634"/>
      <c r="W1" s="634"/>
      <c r="AJ1" s="635"/>
    </row>
    <row r="2" spans="1:51" s="637" customFormat="1" ht="25.5" customHeight="1">
      <c r="A2" s="1839" t="str">
        <f>CONCATENATE("Area, Production and Yield rates of Major Crops in the Blocks of ", District!$A$1," for the year " &amp; District!F3)</f>
        <v>Area, Production and Yield rates of Major Crops in the Blocks of Purulia for the year 2013-14</v>
      </c>
      <c r="B2" s="1676"/>
      <c r="C2" s="1839"/>
      <c r="D2" s="1839"/>
      <c r="E2" s="1839"/>
      <c r="F2" s="1839"/>
      <c r="G2" s="1839"/>
      <c r="H2" s="1839"/>
      <c r="I2" s="1839"/>
      <c r="J2" s="1839"/>
      <c r="K2" s="1839"/>
      <c r="L2" s="1839"/>
      <c r="M2" s="1839"/>
      <c r="N2" s="1839"/>
      <c r="O2" s="1839"/>
      <c r="P2" s="1839"/>
      <c r="Q2" s="1839"/>
      <c r="R2" s="636"/>
      <c r="S2" s="1892" t="s">
        <v>709</v>
      </c>
      <c r="T2" s="1892"/>
      <c r="U2" s="1892"/>
      <c r="V2" s="1892"/>
      <c r="W2" s="1892"/>
      <c r="X2" s="1892"/>
      <c r="Y2" s="1892"/>
      <c r="Z2" s="1892"/>
      <c r="AA2" s="1892"/>
      <c r="AB2" s="1892"/>
      <c r="AC2" s="1892"/>
      <c r="AD2" s="1892"/>
      <c r="AE2" s="1892"/>
      <c r="AF2" s="1892"/>
      <c r="AG2" s="1893"/>
      <c r="AH2" s="1893"/>
      <c r="AI2" s="1893"/>
      <c r="AJ2" s="636"/>
      <c r="AK2" s="1892" t="s">
        <v>710</v>
      </c>
      <c r="AL2" s="1892"/>
      <c r="AM2" s="1892"/>
      <c r="AN2" s="1892"/>
      <c r="AO2" s="1892"/>
      <c r="AP2" s="1892"/>
      <c r="AQ2" s="1892"/>
      <c r="AR2" s="1892"/>
      <c r="AS2" s="1892"/>
      <c r="AT2" s="1892"/>
      <c r="AU2" s="1892"/>
      <c r="AV2" s="1892"/>
      <c r="AW2" s="1892"/>
      <c r="AX2" s="1892"/>
    </row>
    <row r="3" spans="1:51" s="637" customFormat="1" ht="15.75" customHeight="1">
      <c r="A3" s="1490" t="s">
        <v>711</v>
      </c>
      <c r="B3" s="1894" t="s">
        <v>293</v>
      </c>
      <c r="C3" s="1889" t="s">
        <v>1445</v>
      </c>
      <c r="D3" s="1889"/>
      <c r="E3" s="1890"/>
      <c r="F3" s="1888" t="s">
        <v>1446</v>
      </c>
      <c r="G3" s="1889"/>
      <c r="H3" s="1890"/>
      <c r="I3" s="1888" t="s">
        <v>1447</v>
      </c>
      <c r="J3" s="1889"/>
      <c r="K3" s="1890"/>
      <c r="L3" s="1888" t="s">
        <v>1448</v>
      </c>
      <c r="M3" s="1889"/>
      <c r="N3" s="1890"/>
      <c r="O3" s="1888" t="s">
        <v>1450</v>
      </c>
      <c r="P3" s="1889"/>
      <c r="Q3" s="1890"/>
      <c r="R3" s="638"/>
      <c r="S3" s="1408" t="s">
        <v>711</v>
      </c>
      <c r="T3" s="1894" t="s">
        <v>293</v>
      </c>
      <c r="U3" s="1888" t="s">
        <v>1459</v>
      </c>
      <c r="V3" s="1889"/>
      <c r="W3" s="1890"/>
      <c r="X3" s="1888" t="s">
        <v>712</v>
      </c>
      <c r="Y3" s="1889"/>
      <c r="Z3" s="1890"/>
      <c r="AA3" s="1888" t="s">
        <v>343</v>
      </c>
      <c r="AB3" s="1889"/>
      <c r="AC3" s="1890"/>
      <c r="AD3" s="1888" t="s">
        <v>316</v>
      </c>
      <c r="AE3" s="1889"/>
      <c r="AF3" s="1890"/>
      <c r="AG3" s="1888" t="s">
        <v>1048</v>
      </c>
      <c r="AH3" s="1889"/>
      <c r="AI3" s="1890"/>
      <c r="AJ3" s="691"/>
      <c r="AK3" s="1897" t="s">
        <v>711</v>
      </c>
      <c r="AL3" s="1894" t="s">
        <v>293</v>
      </c>
      <c r="AM3" s="1888" t="s">
        <v>344</v>
      </c>
      <c r="AN3" s="1889"/>
      <c r="AO3" s="1889"/>
      <c r="AP3" s="1888" t="s">
        <v>1270</v>
      </c>
      <c r="AQ3" s="1889"/>
      <c r="AR3" s="1890"/>
      <c r="AS3" s="1888" t="s">
        <v>1462</v>
      </c>
      <c r="AT3" s="1889"/>
      <c r="AU3" s="1890"/>
      <c r="AV3" s="1888" t="s">
        <v>1461</v>
      </c>
      <c r="AW3" s="1889"/>
      <c r="AX3" s="1890"/>
    </row>
    <row r="4" spans="1:51" s="637" customFormat="1" ht="15.75" customHeight="1">
      <c r="A4" s="1493"/>
      <c r="B4" s="1895"/>
      <c r="C4" s="1183" t="s">
        <v>964</v>
      </c>
      <c r="D4" s="1183" t="s">
        <v>349</v>
      </c>
      <c r="E4" s="1184" t="s">
        <v>350</v>
      </c>
      <c r="F4" s="1185" t="s">
        <v>964</v>
      </c>
      <c r="G4" s="1183" t="s">
        <v>349</v>
      </c>
      <c r="H4" s="1184" t="s">
        <v>350</v>
      </c>
      <c r="I4" s="1185" t="s">
        <v>964</v>
      </c>
      <c r="J4" s="1183" t="s">
        <v>349</v>
      </c>
      <c r="K4" s="1184" t="s">
        <v>350</v>
      </c>
      <c r="L4" s="1185" t="s">
        <v>964</v>
      </c>
      <c r="M4" s="1183" t="s">
        <v>349</v>
      </c>
      <c r="N4" s="1184" t="s">
        <v>350</v>
      </c>
      <c r="O4" s="1185" t="s">
        <v>964</v>
      </c>
      <c r="P4" s="1183" t="s">
        <v>349</v>
      </c>
      <c r="Q4" s="1184" t="s">
        <v>350</v>
      </c>
      <c r="R4" s="639"/>
      <c r="S4" s="1899"/>
      <c r="T4" s="1895"/>
      <c r="U4" s="1185" t="s">
        <v>964</v>
      </c>
      <c r="V4" s="1183" t="s">
        <v>351</v>
      </c>
      <c r="W4" s="1183" t="s">
        <v>352</v>
      </c>
      <c r="X4" s="1185" t="s">
        <v>964</v>
      </c>
      <c r="Y4" s="1183" t="s">
        <v>349</v>
      </c>
      <c r="Z4" s="1184" t="s">
        <v>350</v>
      </c>
      <c r="AA4" s="1185" t="s">
        <v>964</v>
      </c>
      <c r="AB4" s="1183" t="s">
        <v>349</v>
      </c>
      <c r="AC4" s="1184" t="s">
        <v>350</v>
      </c>
      <c r="AD4" s="1185" t="s">
        <v>964</v>
      </c>
      <c r="AE4" s="1183" t="s">
        <v>349</v>
      </c>
      <c r="AF4" s="1183" t="s">
        <v>350</v>
      </c>
      <c r="AG4" s="1185" t="s">
        <v>964</v>
      </c>
      <c r="AH4" s="1183" t="s">
        <v>349</v>
      </c>
      <c r="AI4" s="1186" t="s">
        <v>350</v>
      </c>
      <c r="AJ4" s="640"/>
      <c r="AK4" s="1898"/>
      <c r="AL4" s="1896"/>
      <c r="AM4" s="1185" t="s">
        <v>964</v>
      </c>
      <c r="AN4" s="1183" t="s">
        <v>349</v>
      </c>
      <c r="AO4" s="1183" t="s">
        <v>350</v>
      </c>
      <c r="AP4" s="1183" t="s">
        <v>964</v>
      </c>
      <c r="AQ4" s="1183" t="s">
        <v>349</v>
      </c>
      <c r="AR4" s="1184" t="s">
        <v>350</v>
      </c>
      <c r="AS4" s="1185" t="s">
        <v>964</v>
      </c>
      <c r="AT4" s="1183" t="s">
        <v>349</v>
      </c>
      <c r="AU4" s="1184" t="s">
        <v>350</v>
      </c>
      <c r="AV4" s="1185" t="s">
        <v>964</v>
      </c>
      <c r="AW4" s="1183" t="s">
        <v>349</v>
      </c>
      <c r="AX4" s="1186" t="s">
        <v>350</v>
      </c>
    </row>
    <row r="5" spans="1:51" s="637" customFormat="1" ht="15.75" customHeight="1">
      <c r="A5" s="641" t="s">
        <v>1008</v>
      </c>
      <c r="B5" s="642" t="s">
        <v>1009</v>
      </c>
      <c r="C5" s="287" t="s">
        <v>1010</v>
      </c>
      <c r="D5" s="289" t="s">
        <v>1011</v>
      </c>
      <c r="E5" s="289" t="s">
        <v>1015</v>
      </c>
      <c r="F5" s="287" t="s">
        <v>1016</v>
      </c>
      <c r="G5" s="289" t="s">
        <v>1017</v>
      </c>
      <c r="H5" s="289" t="s">
        <v>1039</v>
      </c>
      <c r="I5" s="287" t="s">
        <v>1040</v>
      </c>
      <c r="J5" s="289" t="s">
        <v>1041</v>
      </c>
      <c r="K5" s="289" t="s">
        <v>1042</v>
      </c>
      <c r="L5" s="287" t="s">
        <v>1076</v>
      </c>
      <c r="M5" s="289" t="s">
        <v>1077</v>
      </c>
      <c r="N5" s="289" t="s">
        <v>1078</v>
      </c>
      <c r="O5" s="287" t="s">
        <v>1079</v>
      </c>
      <c r="P5" s="289" t="s">
        <v>1080</v>
      </c>
      <c r="Q5" s="289" t="s">
        <v>1081</v>
      </c>
      <c r="R5" s="643"/>
      <c r="S5" s="641" t="s">
        <v>1008</v>
      </c>
      <c r="T5" s="1187" t="s">
        <v>1009</v>
      </c>
      <c r="U5" s="1188" t="s">
        <v>1083</v>
      </c>
      <c r="V5" s="1187" t="s">
        <v>1082</v>
      </c>
      <c r="W5" s="1187" t="s">
        <v>1356</v>
      </c>
      <c r="X5" s="1188" t="s">
        <v>1358</v>
      </c>
      <c r="Y5" s="1187" t="s">
        <v>1359</v>
      </c>
      <c r="Z5" s="1187" t="s">
        <v>245</v>
      </c>
      <c r="AA5" s="1188" t="s">
        <v>248</v>
      </c>
      <c r="AB5" s="1187" t="s">
        <v>249</v>
      </c>
      <c r="AC5" s="1187" t="s">
        <v>250</v>
      </c>
      <c r="AD5" s="1188" t="s">
        <v>251</v>
      </c>
      <c r="AE5" s="1187" t="s">
        <v>252</v>
      </c>
      <c r="AF5" s="1189" t="s">
        <v>253</v>
      </c>
      <c r="AG5" s="1188" t="s">
        <v>254</v>
      </c>
      <c r="AH5" s="1187" t="s">
        <v>255</v>
      </c>
      <c r="AI5" s="1187" t="s">
        <v>256</v>
      </c>
      <c r="AJ5" s="644"/>
      <c r="AK5" s="1190" t="s">
        <v>1008</v>
      </c>
      <c r="AL5" s="1191" t="s">
        <v>1009</v>
      </c>
      <c r="AM5" s="1188" t="s">
        <v>257</v>
      </c>
      <c r="AN5" s="1187" t="s">
        <v>258</v>
      </c>
      <c r="AO5" s="1187" t="s">
        <v>259</v>
      </c>
      <c r="AP5" s="1187" t="s">
        <v>260</v>
      </c>
      <c r="AQ5" s="1187" t="s">
        <v>265</v>
      </c>
      <c r="AR5" s="1187" t="s">
        <v>264</v>
      </c>
      <c r="AS5" s="1188" t="s">
        <v>266</v>
      </c>
      <c r="AT5" s="1187" t="s">
        <v>267</v>
      </c>
      <c r="AU5" s="1187" t="s">
        <v>268</v>
      </c>
      <c r="AV5" s="1188" t="s">
        <v>269</v>
      </c>
      <c r="AW5" s="1187" t="s">
        <v>270</v>
      </c>
      <c r="AX5" s="1187" t="s">
        <v>271</v>
      </c>
    </row>
    <row r="6" spans="1:51" s="637" customFormat="1" ht="19.5" customHeight="1">
      <c r="A6" s="150">
        <v>1</v>
      </c>
      <c r="B6" s="527" t="s">
        <v>26</v>
      </c>
      <c r="C6" s="1303" t="s">
        <v>57</v>
      </c>
      <c r="D6" s="1303" t="s">
        <v>57</v>
      </c>
      <c r="E6" s="1303" t="s">
        <v>57</v>
      </c>
      <c r="F6" s="491">
        <v>39094</v>
      </c>
      <c r="G6" s="497">
        <v>104.423</v>
      </c>
      <c r="H6" s="615">
        <v>2671</v>
      </c>
      <c r="I6" s="434">
        <v>17</v>
      </c>
      <c r="J6" s="1182">
        <v>4.4999999999999998E-2</v>
      </c>
      <c r="K6" s="434">
        <v>2676</v>
      </c>
      <c r="L6" s="434">
        <v>114</v>
      </c>
      <c r="M6" s="1182">
        <v>0.27</v>
      </c>
      <c r="N6" s="616">
        <v>2367</v>
      </c>
      <c r="O6" s="50">
        <v>122</v>
      </c>
      <c r="P6" s="162">
        <v>0.22600000000000001</v>
      </c>
      <c r="Q6" s="191">
        <v>1851.83</v>
      </c>
      <c r="R6" s="645"/>
      <c r="S6" s="150">
        <v>1</v>
      </c>
      <c r="T6" s="1340" t="s">
        <v>26</v>
      </c>
      <c r="U6" s="1299" t="s">
        <v>57</v>
      </c>
      <c r="V6" s="1299" t="s">
        <v>57</v>
      </c>
      <c r="W6" s="1299" t="s">
        <v>57</v>
      </c>
      <c r="X6" s="487"/>
      <c r="Y6" s="487"/>
      <c r="Z6" s="487"/>
      <c r="AA6" s="50">
        <v>686</v>
      </c>
      <c r="AB6" s="162">
        <v>0.19700000000000001</v>
      </c>
      <c r="AC6" s="191">
        <v>287.58</v>
      </c>
      <c r="AD6" s="1294" t="s">
        <v>57</v>
      </c>
      <c r="AE6" s="1294" t="s">
        <v>57</v>
      </c>
      <c r="AF6" s="1294" t="s">
        <v>57</v>
      </c>
      <c r="AG6" s="631">
        <v>108</v>
      </c>
      <c r="AH6" s="626">
        <v>0.13600000000000001</v>
      </c>
      <c r="AI6" s="631">
        <v>1256</v>
      </c>
      <c r="AJ6" s="646"/>
      <c r="AK6" s="150">
        <v>1</v>
      </c>
      <c r="AL6" s="680" t="s">
        <v>26</v>
      </c>
      <c r="AM6" s="191">
        <v>108</v>
      </c>
      <c r="AN6" s="162">
        <v>7.6999999999999999E-2</v>
      </c>
      <c r="AO6" s="631">
        <v>715</v>
      </c>
      <c r="AP6" s="1291" t="s">
        <v>57</v>
      </c>
      <c r="AQ6" s="700" t="s">
        <v>57</v>
      </c>
      <c r="AR6" s="1291" t="s">
        <v>57</v>
      </c>
      <c r="AS6" s="616">
        <v>107</v>
      </c>
      <c r="AT6" s="628">
        <v>3175</v>
      </c>
      <c r="AU6" s="616">
        <v>29672</v>
      </c>
      <c r="AV6" s="191">
        <v>150</v>
      </c>
      <c r="AW6" s="496">
        <v>7.4669999999999996</v>
      </c>
      <c r="AX6" s="1196">
        <v>49783</v>
      </c>
    </row>
    <row r="7" spans="1:51" s="637" customFormat="1" ht="19.5" customHeight="1">
      <c r="A7" s="87">
        <v>2</v>
      </c>
      <c r="B7" s="527" t="s">
        <v>27</v>
      </c>
      <c r="C7" s="1303" t="s">
        <v>57</v>
      </c>
      <c r="D7" s="1303" t="s">
        <v>57</v>
      </c>
      <c r="E7" s="1303" t="s">
        <v>57</v>
      </c>
      <c r="F7" s="126">
        <v>35241</v>
      </c>
      <c r="G7" s="497">
        <v>88.37</v>
      </c>
      <c r="H7" s="615">
        <v>2508</v>
      </c>
      <c r="I7" s="1303" t="s">
        <v>57</v>
      </c>
      <c r="J7" s="1303" t="s">
        <v>57</v>
      </c>
      <c r="K7" s="1303" t="s">
        <v>57</v>
      </c>
      <c r="L7" s="615">
        <v>72</v>
      </c>
      <c r="M7" s="497">
        <v>0.17</v>
      </c>
      <c r="N7" s="615">
        <v>2367</v>
      </c>
      <c r="O7" s="50">
        <v>268</v>
      </c>
      <c r="P7" s="162">
        <v>0.58299999999999996</v>
      </c>
      <c r="Q7" s="191">
        <v>2174.44</v>
      </c>
      <c r="R7" s="647"/>
      <c r="S7" s="87">
        <v>2</v>
      </c>
      <c r="T7" s="527" t="s">
        <v>27</v>
      </c>
      <c r="U7" s="1299" t="s">
        <v>57</v>
      </c>
      <c r="V7" s="1299" t="s">
        <v>57</v>
      </c>
      <c r="W7" s="1299" t="s">
        <v>57</v>
      </c>
      <c r="X7" s="487"/>
      <c r="Y7" s="487"/>
      <c r="Z7" s="487"/>
      <c r="AA7" s="124">
        <v>578</v>
      </c>
      <c r="AB7" s="124">
        <v>0.20799999999999999</v>
      </c>
      <c r="AC7" s="133">
        <v>360.39</v>
      </c>
      <c r="AD7" s="133">
        <v>10</v>
      </c>
      <c r="AE7" s="487">
        <v>6.0000000000000001E-3</v>
      </c>
      <c r="AF7" s="133">
        <v>642</v>
      </c>
      <c r="AG7" s="1294" t="s">
        <v>57</v>
      </c>
      <c r="AH7" s="1294" t="s">
        <v>57</v>
      </c>
      <c r="AI7" s="1294" t="s">
        <v>57</v>
      </c>
      <c r="AJ7" s="648"/>
      <c r="AK7" s="87">
        <v>2</v>
      </c>
      <c r="AL7" s="680" t="s">
        <v>27</v>
      </c>
      <c r="AM7" s="434">
        <v>604</v>
      </c>
      <c r="AN7" s="617">
        <v>1.115</v>
      </c>
      <c r="AO7" s="615">
        <v>1846</v>
      </c>
      <c r="AP7" s="1291" t="s">
        <v>57</v>
      </c>
      <c r="AQ7" s="700" t="s">
        <v>57</v>
      </c>
      <c r="AR7" s="1291" t="s">
        <v>57</v>
      </c>
      <c r="AS7" s="1291" t="s">
        <v>57</v>
      </c>
      <c r="AT7" s="700" t="s">
        <v>57</v>
      </c>
      <c r="AU7" s="1291" t="s">
        <v>57</v>
      </c>
      <c r="AV7" s="1291" t="s">
        <v>57</v>
      </c>
      <c r="AW7" s="700" t="s">
        <v>57</v>
      </c>
      <c r="AX7" s="1291" t="s">
        <v>57</v>
      </c>
    </row>
    <row r="8" spans="1:51" s="637" customFormat="1" ht="19.5" customHeight="1">
      <c r="A8" s="87">
        <v>3</v>
      </c>
      <c r="B8" s="527" t="s">
        <v>53</v>
      </c>
      <c r="C8" s="1303" t="s">
        <v>57</v>
      </c>
      <c r="D8" s="1303" t="s">
        <v>57</v>
      </c>
      <c r="E8" s="1303" t="s">
        <v>57</v>
      </c>
      <c r="F8" s="126">
        <v>30034</v>
      </c>
      <c r="G8" s="497">
        <v>74.400999999999996</v>
      </c>
      <c r="H8" s="615">
        <v>2477</v>
      </c>
      <c r="I8" s="434">
        <v>113</v>
      </c>
      <c r="J8" s="1182">
        <v>0.33400000000000002</v>
      </c>
      <c r="K8" s="434">
        <v>2952</v>
      </c>
      <c r="L8" s="191">
        <v>125</v>
      </c>
      <c r="M8" s="162">
        <v>0.29899999999999999</v>
      </c>
      <c r="N8" s="191">
        <v>2389</v>
      </c>
      <c r="O8" s="50">
        <v>133</v>
      </c>
      <c r="P8" s="162">
        <v>0.373</v>
      </c>
      <c r="Q8" s="191">
        <v>2804.57</v>
      </c>
      <c r="R8" s="647"/>
      <c r="S8" s="87">
        <v>3</v>
      </c>
      <c r="T8" s="527" t="s">
        <v>53</v>
      </c>
      <c r="U8" s="1299" t="s">
        <v>57</v>
      </c>
      <c r="V8" s="1299" t="s">
        <v>57</v>
      </c>
      <c r="W8" s="1299" t="s">
        <v>57</v>
      </c>
      <c r="X8" s="487"/>
      <c r="Y8" s="487"/>
      <c r="Z8" s="487"/>
      <c r="AA8" s="124">
        <v>120</v>
      </c>
      <c r="AB8" s="124">
        <v>2.4E-2</v>
      </c>
      <c r="AC8" s="133">
        <v>198.62</v>
      </c>
      <c r="AD8" s="1294" t="s">
        <v>57</v>
      </c>
      <c r="AE8" s="1294" t="s">
        <v>57</v>
      </c>
      <c r="AF8" s="1294" t="s">
        <v>57</v>
      </c>
      <c r="AG8" s="1294" t="s">
        <v>57</v>
      </c>
      <c r="AH8" s="1294" t="s">
        <v>57</v>
      </c>
      <c r="AI8" s="1294" t="s">
        <v>57</v>
      </c>
      <c r="AJ8" s="648"/>
      <c r="AK8" s="87">
        <v>3</v>
      </c>
      <c r="AL8" s="680" t="s">
        <v>53</v>
      </c>
      <c r="AM8" s="191">
        <v>40</v>
      </c>
      <c r="AN8" s="162">
        <v>0.03</v>
      </c>
      <c r="AO8" s="631">
        <v>762</v>
      </c>
      <c r="AP8" s="434">
        <v>102</v>
      </c>
      <c r="AQ8" s="617">
        <v>5.1999999999999998E-2</v>
      </c>
      <c r="AR8" s="434">
        <v>505</v>
      </c>
      <c r="AS8" s="615">
        <v>75</v>
      </c>
      <c r="AT8" s="628">
        <v>1475</v>
      </c>
      <c r="AU8" s="615">
        <v>19672</v>
      </c>
      <c r="AV8" s="1291" t="s">
        <v>57</v>
      </c>
      <c r="AW8" s="700" t="s">
        <v>57</v>
      </c>
      <c r="AX8" s="1291" t="s">
        <v>57</v>
      </c>
    </row>
    <row r="9" spans="1:51" s="637" customFormat="1" ht="19.5" customHeight="1">
      <c r="A9" s="87">
        <v>4</v>
      </c>
      <c r="B9" s="527" t="s">
        <v>28</v>
      </c>
      <c r="C9" s="50">
        <v>78</v>
      </c>
      <c r="D9" s="50">
        <v>0.109</v>
      </c>
      <c r="E9" s="192">
        <v>1396</v>
      </c>
      <c r="F9" s="126">
        <v>27788</v>
      </c>
      <c r="G9" s="497">
        <v>64.087000000000003</v>
      </c>
      <c r="H9" s="615">
        <v>2306</v>
      </c>
      <c r="I9" s="50">
        <v>71</v>
      </c>
      <c r="J9" s="1197">
        <v>0.20399999999999999</v>
      </c>
      <c r="K9" s="627">
        <v>2869</v>
      </c>
      <c r="L9" s="191">
        <v>25</v>
      </c>
      <c r="M9" s="162">
        <v>4.4999999999999998E-2</v>
      </c>
      <c r="N9" s="191">
        <v>1800</v>
      </c>
      <c r="O9" s="50">
        <v>1347</v>
      </c>
      <c r="P9" s="162">
        <v>2.105</v>
      </c>
      <c r="Q9" s="191">
        <v>1562.82</v>
      </c>
      <c r="R9" s="647"/>
      <c r="S9" s="87">
        <v>4</v>
      </c>
      <c r="T9" s="527" t="s">
        <v>28</v>
      </c>
      <c r="U9" s="1299" t="s">
        <v>57</v>
      </c>
      <c r="V9" s="1299" t="s">
        <v>57</v>
      </c>
      <c r="W9" s="1299" t="s">
        <v>57</v>
      </c>
      <c r="X9" s="487"/>
      <c r="Y9" s="487"/>
      <c r="Z9" s="487"/>
      <c r="AA9" s="50">
        <v>598</v>
      </c>
      <c r="AB9" s="162">
        <v>0.13400000000000001</v>
      </c>
      <c r="AC9" s="191">
        <v>223.89</v>
      </c>
      <c r="AD9" s="1294" t="s">
        <v>57</v>
      </c>
      <c r="AE9" s="1294" t="s">
        <v>57</v>
      </c>
      <c r="AF9" s="1294" t="s">
        <v>57</v>
      </c>
      <c r="AG9" s="1294" t="s">
        <v>57</v>
      </c>
      <c r="AH9" s="1294" t="s">
        <v>57</v>
      </c>
      <c r="AI9" s="1294" t="s">
        <v>57</v>
      </c>
      <c r="AJ9" s="648"/>
      <c r="AK9" s="87">
        <v>4</v>
      </c>
      <c r="AL9" s="680" t="s">
        <v>28</v>
      </c>
      <c r="AM9" s="191">
        <v>22</v>
      </c>
      <c r="AN9" s="162">
        <v>1.2999999999999999E-2</v>
      </c>
      <c r="AO9" s="631">
        <v>569</v>
      </c>
      <c r="AP9" s="1291" t="s">
        <v>57</v>
      </c>
      <c r="AQ9" s="700" t="s">
        <v>57</v>
      </c>
      <c r="AR9" s="1291" t="s">
        <v>57</v>
      </c>
      <c r="AS9" s="615">
        <v>59</v>
      </c>
      <c r="AT9" s="628">
        <v>1155</v>
      </c>
      <c r="AU9" s="615">
        <v>19572</v>
      </c>
      <c r="AV9" s="1291" t="s">
        <v>57</v>
      </c>
      <c r="AW9" s="700" t="s">
        <v>57</v>
      </c>
      <c r="AX9" s="1291" t="s">
        <v>57</v>
      </c>
    </row>
    <row r="10" spans="1:51" s="637" customFormat="1" ht="19.5" customHeight="1">
      <c r="A10" s="87">
        <v>5</v>
      </c>
      <c r="B10" s="527" t="s">
        <v>72</v>
      </c>
      <c r="C10" s="1303" t="s">
        <v>57</v>
      </c>
      <c r="D10" s="1303" t="s">
        <v>57</v>
      </c>
      <c r="E10" s="1303" t="s">
        <v>57</v>
      </c>
      <c r="F10" s="126">
        <v>10593</v>
      </c>
      <c r="G10" s="497">
        <v>23.024999999999999</v>
      </c>
      <c r="H10" s="615">
        <v>2173.65</v>
      </c>
      <c r="I10" s="1303" t="s">
        <v>57</v>
      </c>
      <c r="J10" s="1303" t="s">
        <v>57</v>
      </c>
      <c r="K10" s="1303" t="s">
        <v>57</v>
      </c>
      <c r="L10" s="1303" t="s">
        <v>57</v>
      </c>
      <c r="M10" s="1303" t="s">
        <v>57</v>
      </c>
      <c r="N10" s="1291" t="s">
        <v>57</v>
      </c>
      <c r="O10" s="50">
        <v>274</v>
      </c>
      <c r="P10" s="162">
        <v>0.70599999999999996</v>
      </c>
      <c r="Q10" s="191">
        <v>2575.7600000000002</v>
      </c>
      <c r="R10" s="649"/>
      <c r="S10" s="87">
        <v>5</v>
      </c>
      <c r="T10" s="527" t="s">
        <v>72</v>
      </c>
      <c r="U10" s="1299" t="s">
        <v>57</v>
      </c>
      <c r="V10" s="1299" t="s">
        <v>57</v>
      </c>
      <c r="W10" s="1299" t="s">
        <v>57</v>
      </c>
      <c r="X10" s="487"/>
      <c r="Y10" s="487"/>
      <c r="Z10" s="487"/>
      <c r="AA10" s="50">
        <v>696</v>
      </c>
      <c r="AB10" s="162">
        <v>0.23</v>
      </c>
      <c r="AC10" s="191">
        <v>330.62</v>
      </c>
      <c r="AD10" s="1294" t="s">
        <v>57</v>
      </c>
      <c r="AE10" s="1294" t="s">
        <v>57</v>
      </c>
      <c r="AF10" s="1294" t="s">
        <v>57</v>
      </c>
      <c r="AG10" s="1294" t="s">
        <v>57</v>
      </c>
      <c r="AH10" s="1294" t="s">
        <v>57</v>
      </c>
      <c r="AI10" s="1294" t="s">
        <v>57</v>
      </c>
      <c r="AJ10" s="650"/>
      <c r="AK10" s="87">
        <v>5</v>
      </c>
      <c r="AL10" s="680" t="s">
        <v>72</v>
      </c>
      <c r="AM10" s="434">
        <v>35</v>
      </c>
      <c r="AN10" s="617">
        <v>2.7E-2</v>
      </c>
      <c r="AO10" s="615">
        <v>775</v>
      </c>
      <c r="AP10" s="434">
        <v>82</v>
      </c>
      <c r="AQ10" s="617">
        <v>4.1000000000000002E-2</v>
      </c>
      <c r="AR10" s="434">
        <v>505</v>
      </c>
      <c r="AS10" s="615">
        <v>27</v>
      </c>
      <c r="AT10" s="615">
        <v>798</v>
      </c>
      <c r="AU10" s="615">
        <v>29543</v>
      </c>
      <c r="AV10" s="1291" t="s">
        <v>57</v>
      </c>
      <c r="AW10" s="700" t="s">
        <v>57</v>
      </c>
      <c r="AX10" s="1291" t="s">
        <v>57</v>
      </c>
    </row>
    <row r="11" spans="1:51" s="637" customFormat="1" ht="19.5" customHeight="1">
      <c r="A11" s="87">
        <v>6</v>
      </c>
      <c r="B11" s="527" t="s">
        <v>48</v>
      </c>
      <c r="C11" s="1303" t="s">
        <v>57</v>
      </c>
      <c r="D11" s="1303" t="s">
        <v>57</v>
      </c>
      <c r="E11" s="1303" t="s">
        <v>57</v>
      </c>
      <c r="F11" s="126">
        <v>19014</v>
      </c>
      <c r="G11" s="497">
        <v>42.521000000000001</v>
      </c>
      <c r="H11" s="615">
        <v>2236</v>
      </c>
      <c r="I11" s="434">
        <v>256</v>
      </c>
      <c r="J11" s="1182">
        <v>0.55500000000000005</v>
      </c>
      <c r="K11" s="434">
        <v>2169</v>
      </c>
      <c r="L11" s="1303" t="s">
        <v>57</v>
      </c>
      <c r="M11" s="1303" t="s">
        <v>57</v>
      </c>
      <c r="N11" s="1291" t="s">
        <v>57</v>
      </c>
      <c r="O11" s="1294" t="s">
        <v>57</v>
      </c>
      <c r="P11" s="1294" t="s">
        <v>57</v>
      </c>
      <c r="Q11" s="1294" t="s">
        <v>57</v>
      </c>
      <c r="R11" s="647"/>
      <c r="S11" s="87">
        <v>6</v>
      </c>
      <c r="T11" s="527" t="s">
        <v>48</v>
      </c>
      <c r="U11" s="1299" t="s">
        <v>57</v>
      </c>
      <c r="V11" s="1299" t="s">
        <v>57</v>
      </c>
      <c r="W11" s="1299" t="s">
        <v>57</v>
      </c>
      <c r="X11" s="487"/>
      <c r="Y11" s="487"/>
      <c r="Z11" s="487"/>
      <c r="AA11" s="1295" t="s">
        <v>57</v>
      </c>
      <c r="AB11" s="1296" t="s">
        <v>57</v>
      </c>
      <c r="AC11" s="1295" t="s">
        <v>57</v>
      </c>
      <c r="AD11" s="1192">
        <v>4</v>
      </c>
      <c r="AE11" s="626">
        <v>1E-3</v>
      </c>
      <c r="AF11" s="1192">
        <v>229</v>
      </c>
      <c r="AG11" s="133">
        <v>4</v>
      </c>
      <c r="AH11" s="487">
        <v>5.0000000000000001E-3</v>
      </c>
      <c r="AI11" s="133">
        <v>1256</v>
      </c>
      <c r="AJ11" s="648"/>
      <c r="AK11" s="87">
        <v>6</v>
      </c>
      <c r="AL11" s="680" t="s">
        <v>48</v>
      </c>
      <c r="AM11" s="434">
        <v>30</v>
      </c>
      <c r="AN11" s="617">
        <v>1.7000000000000001E-2</v>
      </c>
      <c r="AO11" s="434">
        <v>583</v>
      </c>
      <c r="AP11" s="1291" t="s">
        <v>57</v>
      </c>
      <c r="AQ11" s="700" t="s">
        <v>57</v>
      </c>
      <c r="AR11" s="1291" t="s">
        <v>57</v>
      </c>
      <c r="AS11" s="1291" t="s">
        <v>57</v>
      </c>
      <c r="AT11" s="1291" t="s">
        <v>57</v>
      </c>
      <c r="AU11" s="1291" t="s">
        <v>57</v>
      </c>
      <c r="AV11" s="1291" t="s">
        <v>57</v>
      </c>
      <c r="AW11" s="700" t="s">
        <v>57</v>
      </c>
      <c r="AX11" s="1291" t="s">
        <v>57</v>
      </c>
    </row>
    <row r="12" spans="1:51" s="637" customFormat="1" ht="19.5" customHeight="1">
      <c r="A12" s="87">
        <v>7</v>
      </c>
      <c r="B12" s="527" t="s">
        <v>54</v>
      </c>
      <c r="C12" s="1303" t="s">
        <v>57</v>
      </c>
      <c r="D12" s="1303" t="s">
        <v>57</v>
      </c>
      <c r="E12" s="1303" t="s">
        <v>57</v>
      </c>
      <c r="F12" s="126">
        <v>34155</v>
      </c>
      <c r="G12" s="497">
        <v>85.194000000000003</v>
      </c>
      <c r="H12" s="615">
        <v>2494</v>
      </c>
      <c r="I12" s="1303" t="s">
        <v>57</v>
      </c>
      <c r="J12" s="1303" t="s">
        <v>57</v>
      </c>
      <c r="K12" s="1303" t="s">
        <v>57</v>
      </c>
      <c r="L12" s="615">
        <v>216</v>
      </c>
      <c r="M12" s="497">
        <v>0.51100000000000001</v>
      </c>
      <c r="N12" s="615">
        <v>2367</v>
      </c>
      <c r="O12" s="50">
        <v>73</v>
      </c>
      <c r="P12" s="162">
        <v>0.158</v>
      </c>
      <c r="Q12" s="191">
        <v>2163.3200000000002</v>
      </c>
      <c r="R12" s="645"/>
      <c r="S12" s="87">
        <v>7</v>
      </c>
      <c r="T12" s="527" t="s">
        <v>54</v>
      </c>
      <c r="U12" s="1299" t="s">
        <v>57</v>
      </c>
      <c r="V12" s="1299" t="s">
        <v>57</v>
      </c>
      <c r="W12" s="1299" t="s">
        <v>57</v>
      </c>
      <c r="X12" s="487"/>
      <c r="Y12" s="487"/>
      <c r="Z12" s="487"/>
      <c r="AA12" s="50">
        <v>103</v>
      </c>
      <c r="AB12" s="162">
        <v>1.6E-2</v>
      </c>
      <c r="AC12" s="191">
        <v>151.05000000000001</v>
      </c>
      <c r="AD12" s="133">
        <v>47</v>
      </c>
      <c r="AE12" s="487">
        <v>3.9E-2</v>
      </c>
      <c r="AF12" s="133">
        <v>839</v>
      </c>
      <c r="AG12" s="133">
        <v>4</v>
      </c>
      <c r="AH12" s="487">
        <v>5.0000000000000001E-3</v>
      </c>
      <c r="AI12" s="133">
        <v>1256</v>
      </c>
      <c r="AJ12" s="646"/>
      <c r="AK12" s="87">
        <v>7</v>
      </c>
      <c r="AL12" s="680" t="s">
        <v>54</v>
      </c>
      <c r="AM12" s="615">
        <v>50</v>
      </c>
      <c r="AN12" s="497">
        <v>3.7999999999999999E-2</v>
      </c>
      <c r="AO12" s="615">
        <v>762</v>
      </c>
      <c r="AP12" s="1291" t="s">
        <v>57</v>
      </c>
      <c r="AQ12" s="700" t="s">
        <v>57</v>
      </c>
      <c r="AR12" s="1291" t="s">
        <v>57</v>
      </c>
      <c r="AS12" s="615">
        <v>42</v>
      </c>
      <c r="AT12" s="615">
        <v>1149</v>
      </c>
      <c r="AU12" s="615">
        <v>27365</v>
      </c>
      <c r="AV12" s="1291" t="s">
        <v>57</v>
      </c>
      <c r="AW12" s="700" t="s">
        <v>57</v>
      </c>
      <c r="AX12" s="1291" t="s">
        <v>57</v>
      </c>
    </row>
    <row r="13" spans="1:51" s="637" customFormat="1" ht="19.5" customHeight="1">
      <c r="A13" s="87">
        <v>8</v>
      </c>
      <c r="B13" s="527" t="s">
        <v>33</v>
      </c>
      <c r="C13" s="1303" t="s">
        <v>57</v>
      </c>
      <c r="D13" s="1303" t="s">
        <v>57</v>
      </c>
      <c r="E13" s="1303" t="s">
        <v>57</v>
      </c>
      <c r="F13" s="126">
        <v>1739</v>
      </c>
      <c r="G13" s="497">
        <v>3.5329999999999999</v>
      </c>
      <c r="H13" s="615">
        <v>2031.5</v>
      </c>
      <c r="I13" s="434">
        <v>16</v>
      </c>
      <c r="J13" s="1182">
        <v>2.9000000000000001E-2</v>
      </c>
      <c r="K13" s="434">
        <v>1819</v>
      </c>
      <c r="L13" s="191">
        <v>9</v>
      </c>
      <c r="M13" s="162">
        <v>1.7999999999999999E-2</v>
      </c>
      <c r="N13" s="191">
        <v>1989</v>
      </c>
      <c r="O13" s="50">
        <v>1636</v>
      </c>
      <c r="P13" s="162">
        <v>2.286</v>
      </c>
      <c r="Q13" s="191">
        <v>1397.16</v>
      </c>
      <c r="R13" s="647"/>
      <c r="S13" s="87">
        <v>8</v>
      </c>
      <c r="T13" s="527" t="s">
        <v>33</v>
      </c>
      <c r="U13" s="1299" t="s">
        <v>57</v>
      </c>
      <c r="V13" s="1299" t="s">
        <v>57</v>
      </c>
      <c r="W13" s="1299" t="s">
        <v>57</v>
      </c>
      <c r="X13" s="487"/>
      <c r="Y13" s="487"/>
      <c r="Z13" s="487"/>
      <c r="AA13" s="1294" t="s">
        <v>57</v>
      </c>
      <c r="AB13" s="1294" t="s">
        <v>57</v>
      </c>
      <c r="AC13" s="1294" t="s">
        <v>57</v>
      </c>
      <c r="AD13" s="133">
        <v>4</v>
      </c>
      <c r="AE13" s="487">
        <v>1E-3</v>
      </c>
      <c r="AF13" s="133">
        <v>266</v>
      </c>
      <c r="AG13" s="1294" t="s">
        <v>57</v>
      </c>
      <c r="AH13" s="1294" t="s">
        <v>57</v>
      </c>
      <c r="AI13" s="1294" t="s">
        <v>57</v>
      </c>
      <c r="AJ13" s="648"/>
      <c r="AK13" s="87">
        <v>8</v>
      </c>
      <c r="AL13" s="680" t="s">
        <v>33</v>
      </c>
      <c r="AM13" s="191">
        <v>563</v>
      </c>
      <c r="AN13" s="162">
        <v>0.622</v>
      </c>
      <c r="AO13" s="631">
        <v>1104</v>
      </c>
      <c r="AP13" s="1291" t="s">
        <v>57</v>
      </c>
      <c r="AQ13" s="700" t="s">
        <v>57</v>
      </c>
      <c r="AR13" s="1291" t="s">
        <v>57</v>
      </c>
      <c r="AS13" s="615">
        <v>372</v>
      </c>
      <c r="AT13" s="628">
        <v>10574</v>
      </c>
      <c r="AU13" s="615">
        <v>28424</v>
      </c>
      <c r="AV13" s="1291" t="s">
        <v>57</v>
      </c>
      <c r="AW13" s="700" t="s">
        <v>57</v>
      </c>
      <c r="AX13" s="1291" t="s">
        <v>57</v>
      </c>
      <c r="AY13" s="651"/>
    </row>
    <row r="14" spans="1:51" s="652" customFormat="1" ht="19.5" customHeight="1">
      <c r="A14" s="87">
        <v>9</v>
      </c>
      <c r="B14" s="527" t="s">
        <v>34</v>
      </c>
      <c r="C14" s="1303" t="s">
        <v>57</v>
      </c>
      <c r="D14" s="1303" t="s">
        <v>57</v>
      </c>
      <c r="E14" s="1303" t="s">
        <v>57</v>
      </c>
      <c r="F14" s="126">
        <v>2233</v>
      </c>
      <c r="G14" s="487">
        <v>3.673</v>
      </c>
      <c r="H14" s="628">
        <v>1645</v>
      </c>
      <c r="I14" s="434">
        <v>5</v>
      </c>
      <c r="J14" s="1182">
        <v>1.2999999999999999E-2</v>
      </c>
      <c r="K14" s="434">
        <v>2651</v>
      </c>
      <c r="L14" s="434">
        <v>16</v>
      </c>
      <c r="M14" s="617">
        <v>3.2000000000000001E-2</v>
      </c>
      <c r="N14" s="615">
        <v>1981</v>
      </c>
      <c r="O14" s="1293" t="s">
        <v>57</v>
      </c>
      <c r="P14" s="1293" t="s">
        <v>57</v>
      </c>
      <c r="Q14" s="1293" t="s">
        <v>57</v>
      </c>
      <c r="R14" s="647"/>
      <c r="S14" s="87">
        <v>9</v>
      </c>
      <c r="T14" s="527" t="s">
        <v>34</v>
      </c>
      <c r="U14" s="1299" t="s">
        <v>57</v>
      </c>
      <c r="V14" s="1299" t="s">
        <v>57</v>
      </c>
      <c r="W14" s="1299" t="s">
        <v>57</v>
      </c>
      <c r="X14" s="487"/>
      <c r="Y14" s="487"/>
      <c r="Z14" s="487"/>
      <c r="AA14" s="50">
        <v>8380</v>
      </c>
      <c r="AB14" s="162">
        <v>1.593</v>
      </c>
      <c r="AC14" s="191">
        <v>190.11</v>
      </c>
      <c r="AD14" s="1294" t="s">
        <v>57</v>
      </c>
      <c r="AE14" s="1294" t="s">
        <v>57</v>
      </c>
      <c r="AF14" s="1294" t="s">
        <v>57</v>
      </c>
      <c r="AG14" s="1294" t="s">
        <v>57</v>
      </c>
      <c r="AH14" s="1294" t="s">
        <v>57</v>
      </c>
      <c r="AI14" s="1294" t="s">
        <v>57</v>
      </c>
      <c r="AJ14" s="648"/>
      <c r="AK14" s="87">
        <v>9</v>
      </c>
      <c r="AL14" s="680" t="s">
        <v>34</v>
      </c>
      <c r="AM14" s="434">
        <v>188</v>
      </c>
      <c r="AN14" s="617">
        <v>0.14000000000000001</v>
      </c>
      <c r="AO14" s="434">
        <v>745</v>
      </c>
      <c r="AP14" s="1291" t="s">
        <v>57</v>
      </c>
      <c r="AQ14" s="700" t="s">
        <v>57</v>
      </c>
      <c r="AR14" s="1291" t="s">
        <v>57</v>
      </c>
      <c r="AS14" s="126">
        <v>29</v>
      </c>
      <c r="AT14" s="615">
        <v>864</v>
      </c>
      <c r="AU14" s="126">
        <v>29802</v>
      </c>
      <c r="AV14" s="1291" t="s">
        <v>57</v>
      </c>
      <c r="AW14" s="700" t="s">
        <v>57</v>
      </c>
      <c r="AX14" s="1291" t="s">
        <v>57</v>
      </c>
    </row>
    <row r="15" spans="1:51" s="637" customFormat="1" ht="19.5" customHeight="1">
      <c r="A15" s="87">
        <v>10</v>
      </c>
      <c r="B15" s="527" t="s">
        <v>55</v>
      </c>
      <c r="C15" s="1303" t="s">
        <v>57</v>
      </c>
      <c r="D15" s="1303" t="s">
        <v>57</v>
      </c>
      <c r="E15" s="1303" t="s">
        <v>57</v>
      </c>
      <c r="F15" s="126">
        <v>1740</v>
      </c>
      <c r="G15" s="497">
        <v>3.5419999999999998</v>
      </c>
      <c r="H15" s="615">
        <v>2035.43</v>
      </c>
      <c r="I15" s="1303" t="s">
        <v>57</v>
      </c>
      <c r="J15" s="1303" t="s">
        <v>57</v>
      </c>
      <c r="K15" s="1303" t="s">
        <v>57</v>
      </c>
      <c r="L15" s="191">
        <v>137</v>
      </c>
      <c r="M15" s="162">
        <v>0.26800000000000002</v>
      </c>
      <c r="N15" s="191">
        <v>1956</v>
      </c>
      <c r="O15" s="50">
        <v>194</v>
      </c>
      <c r="P15" s="162">
        <v>0.34599999999999997</v>
      </c>
      <c r="Q15" s="191">
        <v>1783.35</v>
      </c>
      <c r="R15" s="645"/>
      <c r="S15" s="87">
        <v>10</v>
      </c>
      <c r="T15" s="527" t="s">
        <v>55</v>
      </c>
      <c r="U15" s="1299" t="s">
        <v>57</v>
      </c>
      <c r="V15" s="1299" t="s">
        <v>57</v>
      </c>
      <c r="W15" s="1299" t="s">
        <v>57</v>
      </c>
      <c r="X15" s="487"/>
      <c r="Y15" s="487"/>
      <c r="Z15" s="487"/>
      <c r="AA15" s="1294" t="s">
        <v>57</v>
      </c>
      <c r="AB15" s="1294" t="s">
        <v>57</v>
      </c>
      <c r="AC15" s="1294" t="s">
        <v>57</v>
      </c>
      <c r="AD15" s="1294" t="s">
        <v>57</v>
      </c>
      <c r="AE15" s="1294" t="s">
        <v>57</v>
      </c>
      <c r="AF15" s="1294" t="s">
        <v>57</v>
      </c>
      <c r="AG15" s="1294" t="s">
        <v>57</v>
      </c>
      <c r="AH15" s="1294" t="s">
        <v>57</v>
      </c>
      <c r="AI15" s="1294" t="s">
        <v>57</v>
      </c>
      <c r="AJ15" s="646"/>
      <c r="AK15" s="87">
        <v>10</v>
      </c>
      <c r="AL15" s="680" t="s">
        <v>55</v>
      </c>
      <c r="AM15" s="191">
        <v>135</v>
      </c>
      <c r="AN15" s="162">
        <v>8.4000000000000005E-2</v>
      </c>
      <c r="AO15" s="631">
        <v>622</v>
      </c>
      <c r="AP15" s="434">
        <v>87</v>
      </c>
      <c r="AQ15" s="617">
        <v>3.7999999999999999E-2</v>
      </c>
      <c r="AR15" s="434">
        <v>434</v>
      </c>
      <c r="AS15" s="1290">
        <v>217</v>
      </c>
      <c r="AT15" s="615">
        <v>6111</v>
      </c>
      <c r="AU15" s="1290">
        <v>28161</v>
      </c>
      <c r="AV15" s="1291" t="s">
        <v>57</v>
      </c>
      <c r="AW15" s="700" t="s">
        <v>57</v>
      </c>
      <c r="AX15" s="1291" t="s">
        <v>57</v>
      </c>
    </row>
    <row r="16" spans="1:51" s="637" customFormat="1" ht="19.5" customHeight="1">
      <c r="A16" s="87">
        <v>11</v>
      </c>
      <c r="B16" s="527" t="s">
        <v>56</v>
      </c>
      <c r="C16" s="1303" t="s">
        <v>57</v>
      </c>
      <c r="D16" s="1303" t="s">
        <v>57</v>
      </c>
      <c r="E16" s="1303" t="s">
        <v>57</v>
      </c>
      <c r="F16" s="126">
        <v>14351</v>
      </c>
      <c r="G16" s="497">
        <v>34.381</v>
      </c>
      <c r="H16" s="615">
        <v>2395.71</v>
      </c>
      <c r="I16" s="1303" t="s">
        <v>57</v>
      </c>
      <c r="J16" s="1303" t="s">
        <v>57</v>
      </c>
      <c r="K16" s="1303" t="s">
        <v>57</v>
      </c>
      <c r="L16" s="191">
        <v>170</v>
      </c>
      <c r="M16" s="162">
        <v>0.44800000000000001</v>
      </c>
      <c r="N16" s="191">
        <v>2634</v>
      </c>
      <c r="O16" s="50">
        <v>1656</v>
      </c>
      <c r="P16" s="162">
        <v>3.101</v>
      </c>
      <c r="Q16" s="191">
        <v>1872.64</v>
      </c>
      <c r="R16" s="653"/>
      <c r="S16" s="87">
        <v>11</v>
      </c>
      <c r="T16" s="527" t="s">
        <v>56</v>
      </c>
      <c r="U16" s="1299" t="s">
        <v>57</v>
      </c>
      <c r="V16" s="1299" t="s">
        <v>57</v>
      </c>
      <c r="W16" s="1299" t="s">
        <v>57</v>
      </c>
      <c r="X16" s="487"/>
      <c r="Y16" s="487"/>
      <c r="Z16" s="487"/>
      <c r="AA16" s="1192">
        <v>41</v>
      </c>
      <c r="AB16" s="626">
        <v>1.2E-2</v>
      </c>
      <c r="AC16" s="1192">
        <v>294.68</v>
      </c>
      <c r="AD16" s="1192">
        <v>66</v>
      </c>
      <c r="AE16" s="626">
        <v>7.1999999999999995E-2</v>
      </c>
      <c r="AF16" s="1192">
        <v>1088</v>
      </c>
      <c r="AG16" s="191">
        <v>30</v>
      </c>
      <c r="AH16" s="162">
        <v>3.7999999999999999E-2</v>
      </c>
      <c r="AI16" s="631">
        <v>1256</v>
      </c>
      <c r="AJ16" s="654"/>
      <c r="AK16" s="87">
        <v>11</v>
      </c>
      <c r="AL16" s="680" t="s">
        <v>56</v>
      </c>
      <c r="AM16" s="191">
        <v>600</v>
      </c>
      <c r="AN16" s="162">
        <v>0.34499999999999997</v>
      </c>
      <c r="AO16" s="631">
        <v>575</v>
      </c>
      <c r="AP16" s="1291" t="s">
        <v>57</v>
      </c>
      <c r="AQ16" s="700" t="s">
        <v>57</v>
      </c>
      <c r="AR16" s="1291" t="s">
        <v>57</v>
      </c>
      <c r="AS16" s="615">
        <v>220</v>
      </c>
      <c r="AT16" s="628">
        <v>2911</v>
      </c>
      <c r="AU16" s="615">
        <v>13230</v>
      </c>
      <c r="AV16" s="1291" t="s">
        <v>57</v>
      </c>
      <c r="AW16" s="700" t="s">
        <v>57</v>
      </c>
      <c r="AX16" s="1291" t="s">
        <v>57</v>
      </c>
    </row>
    <row r="17" spans="1:50" s="637" customFormat="1" ht="19.5" customHeight="1">
      <c r="A17" s="87">
        <v>12</v>
      </c>
      <c r="B17" s="527" t="s">
        <v>45</v>
      </c>
      <c r="C17" s="124">
        <v>14</v>
      </c>
      <c r="D17" s="124">
        <v>0.02</v>
      </c>
      <c r="E17" s="124">
        <v>1396</v>
      </c>
      <c r="F17" s="126">
        <v>1490</v>
      </c>
      <c r="G17" s="497">
        <v>3.1030000000000002</v>
      </c>
      <c r="H17" s="615">
        <v>2083</v>
      </c>
      <c r="I17" s="1303" t="s">
        <v>57</v>
      </c>
      <c r="J17" s="1303" t="s">
        <v>57</v>
      </c>
      <c r="K17" s="1303" t="s">
        <v>57</v>
      </c>
      <c r="L17" s="191">
        <v>20</v>
      </c>
      <c r="M17" s="162">
        <v>4.3999999999999997E-2</v>
      </c>
      <c r="N17" s="191">
        <v>2208</v>
      </c>
      <c r="O17" s="50">
        <v>241</v>
      </c>
      <c r="P17" s="162">
        <v>0.443</v>
      </c>
      <c r="Q17" s="191">
        <v>1839.03</v>
      </c>
      <c r="R17" s="653"/>
      <c r="S17" s="87">
        <v>12</v>
      </c>
      <c r="T17" s="527" t="s">
        <v>45</v>
      </c>
      <c r="U17" s="615">
        <v>11</v>
      </c>
      <c r="V17" s="497">
        <v>0.215</v>
      </c>
      <c r="W17" s="132">
        <v>19.55</v>
      </c>
      <c r="X17" s="487"/>
      <c r="Y17" s="487"/>
      <c r="Z17" s="487"/>
      <c r="AA17" s="50">
        <v>452</v>
      </c>
      <c r="AB17" s="162">
        <v>0.17699999999999999</v>
      </c>
      <c r="AC17" s="191">
        <v>390.94</v>
      </c>
      <c r="AD17" s="1192">
        <v>5</v>
      </c>
      <c r="AE17" s="626">
        <v>4.0000000000000001E-3</v>
      </c>
      <c r="AF17" s="1192">
        <v>799</v>
      </c>
      <c r="AG17" s="631">
        <v>14</v>
      </c>
      <c r="AH17" s="626">
        <v>1.7999999999999999E-2</v>
      </c>
      <c r="AI17" s="631">
        <v>1256</v>
      </c>
      <c r="AJ17" s="654"/>
      <c r="AK17" s="87">
        <v>12</v>
      </c>
      <c r="AL17" s="680" t="s">
        <v>45</v>
      </c>
      <c r="AM17" s="191">
        <v>164</v>
      </c>
      <c r="AN17" s="162">
        <v>0.152</v>
      </c>
      <c r="AO17" s="631">
        <v>924</v>
      </c>
      <c r="AP17" s="615">
        <v>139</v>
      </c>
      <c r="AQ17" s="497">
        <v>8.1000000000000003E-2</v>
      </c>
      <c r="AR17" s="615">
        <v>579</v>
      </c>
      <c r="AS17" s="615">
        <v>119</v>
      </c>
      <c r="AT17" s="628">
        <v>3551</v>
      </c>
      <c r="AU17" s="615">
        <v>29838</v>
      </c>
      <c r="AV17" s="434">
        <v>4</v>
      </c>
      <c r="AW17" s="617">
        <v>0.13600000000000001</v>
      </c>
      <c r="AX17" s="615">
        <v>33930</v>
      </c>
    </row>
    <row r="18" spans="1:50" s="637" customFormat="1" ht="19.5" customHeight="1">
      <c r="A18" s="87">
        <v>13</v>
      </c>
      <c r="B18" s="527" t="s">
        <v>46</v>
      </c>
      <c r="C18" s="1303" t="s">
        <v>57</v>
      </c>
      <c r="D18" s="1304" t="s">
        <v>57</v>
      </c>
      <c r="E18" s="1303" t="s">
        <v>57</v>
      </c>
      <c r="F18" s="126">
        <v>34693</v>
      </c>
      <c r="G18" s="487">
        <v>90.165000000000006</v>
      </c>
      <c r="H18" s="133">
        <v>2598.94</v>
      </c>
      <c r="I18" s="1303" t="s">
        <v>57</v>
      </c>
      <c r="J18" s="1303" t="s">
        <v>57</v>
      </c>
      <c r="K18" s="1303" t="s">
        <v>57</v>
      </c>
      <c r="L18" s="191">
        <v>9</v>
      </c>
      <c r="M18" s="162">
        <v>0.02</v>
      </c>
      <c r="N18" s="191">
        <v>2208.29</v>
      </c>
      <c r="O18" s="50">
        <v>240</v>
      </c>
      <c r="P18" s="162">
        <v>0.33100000000000002</v>
      </c>
      <c r="Q18" s="191">
        <v>1380.75</v>
      </c>
      <c r="R18" s="653"/>
      <c r="S18" s="87">
        <v>13</v>
      </c>
      <c r="T18" s="527" t="s">
        <v>46</v>
      </c>
      <c r="U18" s="1299" t="s">
        <v>57</v>
      </c>
      <c r="V18" s="1299" t="s">
        <v>57</v>
      </c>
      <c r="W18" s="1299" t="s">
        <v>57</v>
      </c>
      <c r="X18" s="1192"/>
      <c r="Y18" s="626"/>
      <c r="Z18" s="1192"/>
      <c r="AA18" s="50">
        <v>616</v>
      </c>
      <c r="AB18" s="162">
        <v>0.11899999999999999</v>
      </c>
      <c r="AC18" s="191">
        <v>193.26</v>
      </c>
      <c r="AD18" s="1192">
        <v>10</v>
      </c>
      <c r="AE18" s="626">
        <v>1E-3</v>
      </c>
      <c r="AF18" s="1192">
        <v>89</v>
      </c>
      <c r="AG18" s="133">
        <v>31</v>
      </c>
      <c r="AH18" s="487">
        <v>3.9E-2</v>
      </c>
      <c r="AI18" s="133">
        <v>1256</v>
      </c>
      <c r="AJ18" s="654"/>
      <c r="AK18" s="87">
        <v>13</v>
      </c>
      <c r="AL18" s="680" t="s">
        <v>46</v>
      </c>
      <c r="AM18" s="191">
        <v>306</v>
      </c>
      <c r="AN18" s="162">
        <v>0.19800000000000001</v>
      </c>
      <c r="AO18" s="631">
        <v>648</v>
      </c>
      <c r="AP18" s="1291" t="s">
        <v>57</v>
      </c>
      <c r="AQ18" s="700" t="s">
        <v>57</v>
      </c>
      <c r="AR18" s="1291" t="s">
        <v>57</v>
      </c>
      <c r="AS18" s="615">
        <v>298</v>
      </c>
      <c r="AT18" s="628">
        <v>6813</v>
      </c>
      <c r="AU18" s="615">
        <v>22863</v>
      </c>
      <c r="AV18" s="434">
        <v>7</v>
      </c>
      <c r="AW18" s="617">
        <v>0.34499999999999997</v>
      </c>
      <c r="AX18" s="615">
        <v>49233</v>
      </c>
    </row>
    <row r="19" spans="1:50" s="637" customFormat="1" ht="19.5" customHeight="1">
      <c r="A19" s="87">
        <v>14</v>
      </c>
      <c r="B19" s="527" t="s">
        <v>47</v>
      </c>
      <c r="C19" s="1303" t="s">
        <v>57</v>
      </c>
      <c r="D19" s="1303" t="s">
        <v>57</v>
      </c>
      <c r="E19" s="1303" t="s">
        <v>57</v>
      </c>
      <c r="F19" s="126">
        <v>1795</v>
      </c>
      <c r="G19" s="487">
        <v>2.6680000000000001</v>
      </c>
      <c r="H19" s="133">
        <v>1486</v>
      </c>
      <c r="I19" s="1303" t="s">
        <v>57</v>
      </c>
      <c r="J19" s="1303" t="s">
        <v>57</v>
      </c>
      <c r="K19" s="1303" t="s">
        <v>57</v>
      </c>
      <c r="L19" s="191">
        <v>90</v>
      </c>
      <c r="M19" s="162">
        <v>0.186</v>
      </c>
      <c r="N19" s="191">
        <v>2063</v>
      </c>
      <c r="O19" s="1301" t="s">
        <v>57</v>
      </c>
      <c r="P19" s="668" t="s">
        <v>57</v>
      </c>
      <c r="Q19" s="1237" t="s">
        <v>57</v>
      </c>
      <c r="R19" s="653"/>
      <c r="S19" s="87">
        <v>14</v>
      </c>
      <c r="T19" s="527" t="s">
        <v>47</v>
      </c>
      <c r="U19" s="1299" t="s">
        <v>57</v>
      </c>
      <c r="V19" s="1299" t="s">
        <v>57</v>
      </c>
      <c r="W19" s="1299" t="s">
        <v>57</v>
      </c>
      <c r="X19" s="487"/>
      <c r="Y19" s="487"/>
      <c r="Z19" s="487"/>
      <c r="AA19" s="50">
        <v>663</v>
      </c>
      <c r="AB19" s="162">
        <v>0.14299999999999999</v>
      </c>
      <c r="AC19" s="191">
        <v>215</v>
      </c>
      <c r="AD19" s="1294" t="s">
        <v>57</v>
      </c>
      <c r="AE19" s="1294" t="s">
        <v>57</v>
      </c>
      <c r="AF19" s="1294" t="s">
        <v>57</v>
      </c>
      <c r="AG19" s="1294" t="s">
        <v>57</v>
      </c>
      <c r="AH19" s="1294" t="s">
        <v>57</v>
      </c>
      <c r="AI19" s="1294" t="s">
        <v>57</v>
      </c>
      <c r="AJ19" s="654"/>
      <c r="AK19" s="87">
        <v>14</v>
      </c>
      <c r="AL19" s="680" t="s">
        <v>47</v>
      </c>
      <c r="AM19" s="191">
        <v>103</v>
      </c>
      <c r="AN19" s="162">
        <v>8.5999999999999993E-2</v>
      </c>
      <c r="AO19" s="631">
        <v>836</v>
      </c>
      <c r="AP19" s="1291" t="s">
        <v>57</v>
      </c>
      <c r="AQ19" s="700" t="s">
        <v>57</v>
      </c>
      <c r="AR19" s="1291" t="s">
        <v>57</v>
      </c>
      <c r="AS19" s="615">
        <v>59</v>
      </c>
      <c r="AT19" s="628">
        <v>1544</v>
      </c>
      <c r="AU19" s="615">
        <v>26167</v>
      </c>
      <c r="AV19" s="1291" t="s">
        <v>57</v>
      </c>
      <c r="AW19" s="700" t="s">
        <v>57</v>
      </c>
      <c r="AX19" s="1291" t="s">
        <v>57</v>
      </c>
    </row>
    <row r="20" spans="1:50" s="637" customFormat="1" ht="19.5" customHeight="1">
      <c r="A20" s="87">
        <v>15</v>
      </c>
      <c r="B20" s="527" t="s">
        <v>36</v>
      </c>
      <c r="C20" s="1303" t="s">
        <v>57</v>
      </c>
      <c r="D20" s="1303" t="s">
        <v>57</v>
      </c>
      <c r="E20" s="1303" t="s">
        <v>57</v>
      </c>
      <c r="F20" s="126">
        <v>22061</v>
      </c>
      <c r="G20" s="497">
        <v>48.384999999999998</v>
      </c>
      <c r="H20" s="615">
        <v>2193</v>
      </c>
      <c r="I20" s="434">
        <v>12</v>
      </c>
      <c r="J20" s="1182">
        <v>2.5000000000000001E-2</v>
      </c>
      <c r="K20" s="434">
        <v>2125</v>
      </c>
      <c r="L20" s="615">
        <v>17</v>
      </c>
      <c r="M20" s="617">
        <v>2.5000000000000001E-2</v>
      </c>
      <c r="N20" s="615">
        <v>1496</v>
      </c>
      <c r="O20" s="50">
        <v>4</v>
      </c>
      <c r="P20" s="162">
        <v>5.0000000000000001E-3</v>
      </c>
      <c r="Q20" s="191">
        <v>1374</v>
      </c>
      <c r="R20" s="645"/>
      <c r="S20" s="87">
        <v>15</v>
      </c>
      <c r="T20" s="527" t="s">
        <v>36</v>
      </c>
      <c r="U20" s="1299" t="s">
        <v>57</v>
      </c>
      <c r="V20" s="1299" t="s">
        <v>57</v>
      </c>
      <c r="W20" s="1299" t="s">
        <v>57</v>
      </c>
      <c r="X20" s="487"/>
      <c r="Y20" s="487"/>
      <c r="Z20" s="487"/>
      <c r="AA20" s="1301" t="s">
        <v>57</v>
      </c>
      <c r="AB20" s="668" t="s">
        <v>57</v>
      </c>
      <c r="AC20" s="1237" t="s">
        <v>57</v>
      </c>
      <c r="AD20" s="1294" t="s">
        <v>57</v>
      </c>
      <c r="AE20" s="1294" t="s">
        <v>57</v>
      </c>
      <c r="AF20" s="1294" t="s">
        <v>57</v>
      </c>
      <c r="AG20" s="1294" t="s">
        <v>57</v>
      </c>
      <c r="AH20" s="1294" t="s">
        <v>57</v>
      </c>
      <c r="AI20" s="1294" t="s">
        <v>57</v>
      </c>
      <c r="AJ20" s="646"/>
      <c r="AK20" s="87">
        <v>15</v>
      </c>
      <c r="AL20" s="680" t="s">
        <v>36</v>
      </c>
      <c r="AM20" s="191">
        <v>68</v>
      </c>
      <c r="AN20" s="162">
        <v>5.1999999999999998E-2</v>
      </c>
      <c r="AO20" s="631">
        <v>772</v>
      </c>
      <c r="AP20" s="434">
        <v>107</v>
      </c>
      <c r="AQ20" s="617">
        <v>5.3999999999999999E-2</v>
      </c>
      <c r="AR20" s="434">
        <v>505</v>
      </c>
      <c r="AS20" s="615">
        <v>22</v>
      </c>
      <c r="AT20" s="615">
        <v>773</v>
      </c>
      <c r="AU20" s="615">
        <v>35121</v>
      </c>
      <c r="AV20" s="1291" t="s">
        <v>57</v>
      </c>
      <c r="AW20" s="700" t="s">
        <v>57</v>
      </c>
      <c r="AX20" s="1291" t="s">
        <v>57</v>
      </c>
    </row>
    <row r="21" spans="1:50" s="637" customFormat="1" ht="19.5" customHeight="1">
      <c r="A21" s="87">
        <v>16</v>
      </c>
      <c r="B21" s="527" t="s">
        <v>37</v>
      </c>
      <c r="C21" s="1303" t="s">
        <v>57</v>
      </c>
      <c r="D21" s="1303" t="s">
        <v>57</v>
      </c>
      <c r="E21" s="1303" t="s">
        <v>57</v>
      </c>
      <c r="F21" s="126">
        <v>1771</v>
      </c>
      <c r="G21" s="497">
        <v>3.218</v>
      </c>
      <c r="H21" s="615">
        <v>1817</v>
      </c>
      <c r="I21" s="1303" t="s">
        <v>57</v>
      </c>
      <c r="J21" s="1303" t="s">
        <v>57</v>
      </c>
      <c r="K21" s="1303" t="s">
        <v>57</v>
      </c>
      <c r="L21" s="434">
        <v>1</v>
      </c>
      <c r="M21" s="1182">
        <v>1E-3</v>
      </c>
      <c r="N21" s="615">
        <v>914</v>
      </c>
      <c r="O21" s="1291" t="s">
        <v>57</v>
      </c>
      <c r="P21" s="1291" t="s">
        <v>57</v>
      </c>
      <c r="Q21" s="1291" t="s">
        <v>57</v>
      </c>
      <c r="R21" s="645"/>
      <c r="S21" s="87">
        <v>16</v>
      </c>
      <c r="T21" s="527" t="s">
        <v>37</v>
      </c>
      <c r="U21" s="1299" t="s">
        <v>57</v>
      </c>
      <c r="V21" s="1299" t="s">
        <v>57</v>
      </c>
      <c r="W21" s="1299" t="s">
        <v>57</v>
      </c>
      <c r="X21" s="487"/>
      <c r="Y21" s="487"/>
      <c r="Z21" s="487"/>
      <c r="AA21" s="1294" t="s">
        <v>57</v>
      </c>
      <c r="AB21" s="1294" t="s">
        <v>57</v>
      </c>
      <c r="AC21" s="1294" t="s">
        <v>57</v>
      </c>
      <c r="AD21" s="1294" t="s">
        <v>57</v>
      </c>
      <c r="AE21" s="1294" t="s">
        <v>57</v>
      </c>
      <c r="AF21" s="1294" t="s">
        <v>57</v>
      </c>
      <c r="AG21" s="133">
        <v>8</v>
      </c>
      <c r="AH21" s="487">
        <v>0.01</v>
      </c>
      <c r="AI21" s="133">
        <v>1256</v>
      </c>
      <c r="AJ21" s="648"/>
      <c r="AK21" s="87">
        <v>16</v>
      </c>
      <c r="AL21" s="680" t="s">
        <v>37</v>
      </c>
      <c r="AM21" s="434">
        <v>20</v>
      </c>
      <c r="AN21" s="617">
        <v>5.0000000000000001E-3</v>
      </c>
      <c r="AO21" s="434">
        <v>256</v>
      </c>
      <c r="AP21" s="1291" t="s">
        <v>57</v>
      </c>
      <c r="AQ21" s="700" t="s">
        <v>57</v>
      </c>
      <c r="AR21" s="1291" t="s">
        <v>57</v>
      </c>
      <c r="AS21" s="1291" t="s">
        <v>57</v>
      </c>
      <c r="AT21" s="1291" t="s">
        <v>57</v>
      </c>
      <c r="AU21" s="1291" t="s">
        <v>57</v>
      </c>
      <c r="AV21" s="1291" t="s">
        <v>57</v>
      </c>
      <c r="AW21" s="700" t="s">
        <v>57</v>
      </c>
      <c r="AX21" s="1291" t="s">
        <v>57</v>
      </c>
    </row>
    <row r="22" spans="1:50" s="637" customFormat="1" ht="19.5" customHeight="1">
      <c r="A22" s="87">
        <v>17</v>
      </c>
      <c r="B22" s="527" t="s">
        <v>38</v>
      </c>
      <c r="C22" s="1303" t="s">
        <v>57</v>
      </c>
      <c r="D22" s="1303" t="s">
        <v>57</v>
      </c>
      <c r="E22" s="1303" t="s">
        <v>57</v>
      </c>
      <c r="F22" s="126">
        <v>14499</v>
      </c>
      <c r="G22" s="497">
        <v>33.07</v>
      </c>
      <c r="H22" s="615">
        <v>2281</v>
      </c>
      <c r="I22" s="1303" t="s">
        <v>57</v>
      </c>
      <c r="J22" s="1303" t="s">
        <v>57</v>
      </c>
      <c r="K22" s="1303" t="s">
        <v>57</v>
      </c>
      <c r="L22" s="434">
        <v>48</v>
      </c>
      <c r="M22" s="1182">
        <v>0.11899999999999999</v>
      </c>
      <c r="N22" s="615">
        <v>2476</v>
      </c>
      <c r="O22" s="1291" t="s">
        <v>57</v>
      </c>
      <c r="P22" s="1291" t="s">
        <v>57</v>
      </c>
      <c r="Q22" s="1291" t="s">
        <v>57</v>
      </c>
      <c r="R22" s="653"/>
      <c r="S22" s="87">
        <v>17</v>
      </c>
      <c r="T22" s="527" t="s">
        <v>38</v>
      </c>
      <c r="U22" s="1299" t="s">
        <v>57</v>
      </c>
      <c r="V22" s="1299" t="s">
        <v>57</v>
      </c>
      <c r="W22" s="1299" t="s">
        <v>57</v>
      </c>
      <c r="X22" s="487"/>
      <c r="Y22" s="487"/>
      <c r="Z22" s="487"/>
      <c r="AA22" s="1292" t="s">
        <v>57</v>
      </c>
      <c r="AB22" s="1299" t="s">
        <v>57</v>
      </c>
      <c r="AC22" s="1291" t="s">
        <v>57</v>
      </c>
      <c r="AD22" s="1294" t="s">
        <v>57</v>
      </c>
      <c r="AE22" s="1294" t="s">
        <v>57</v>
      </c>
      <c r="AF22" s="1294" t="s">
        <v>57</v>
      </c>
      <c r="AG22" s="1294" t="s">
        <v>57</v>
      </c>
      <c r="AH22" s="1294" t="s">
        <v>57</v>
      </c>
      <c r="AI22" s="1294" t="s">
        <v>57</v>
      </c>
      <c r="AJ22" s="654"/>
      <c r="AK22" s="87">
        <v>17</v>
      </c>
      <c r="AL22" s="680" t="s">
        <v>38</v>
      </c>
      <c r="AM22" s="434">
        <v>54</v>
      </c>
      <c r="AN22" s="617">
        <v>4.5999999999999999E-2</v>
      </c>
      <c r="AO22" s="615">
        <v>852</v>
      </c>
      <c r="AP22" s="1291" t="s">
        <v>57</v>
      </c>
      <c r="AQ22" s="700" t="s">
        <v>57</v>
      </c>
      <c r="AR22" s="1291" t="s">
        <v>57</v>
      </c>
      <c r="AS22" s="615">
        <v>50</v>
      </c>
      <c r="AT22" s="628">
        <v>1349</v>
      </c>
      <c r="AU22" s="615">
        <v>26978</v>
      </c>
      <c r="AV22" s="1291" t="s">
        <v>57</v>
      </c>
      <c r="AW22" s="700" t="s">
        <v>57</v>
      </c>
      <c r="AX22" s="1291" t="s">
        <v>57</v>
      </c>
    </row>
    <row r="23" spans="1:50" s="637" customFormat="1" ht="19.5" customHeight="1">
      <c r="A23" s="87">
        <v>18</v>
      </c>
      <c r="B23" s="527" t="s">
        <v>40</v>
      </c>
      <c r="C23" s="1303" t="s">
        <v>57</v>
      </c>
      <c r="D23" s="1303" t="s">
        <v>57</v>
      </c>
      <c r="E23" s="1303" t="s">
        <v>57</v>
      </c>
      <c r="F23" s="126">
        <v>1540</v>
      </c>
      <c r="G23" s="497">
        <v>3.1579999999999999</v>
      </c>
      <c r="H23" s="615">
        <v>2051</v>
      </c>
      <c r="I23" s="1303" t="s">
        <v>57</v>
      </c>
      <c r="J23" s="1303" t="s">
        <v>57</v>
      </c>
      <c r="K23" s="1303" t="s">
        <v>57</v>
      </c>
      <c r="L23" s="191">
        <v>5</v>
      </c>
      <c r="M23" s="162">
        <v>1.2999999999999999E-2</v>
      </c>
      <c r="N23" s="191">
        <v>2500</v>
      </c>
      <c r="O23" s="1300" t="s">
        <v>57</v>
      </c>
      <c r="P23" s="1300" t="s">
        <v>57</v>
      </c>
      <c r="Q23" s="1300" t="s">
        <v>57</v>
      </c>
      <c r="R23" s="653"/>
      <c r="S23" s="87">
        <v>18</v>
      </c>
      <c r="T23" s="527" t="s">
        <v>40</v>
      </c>
      <c r="U23" s="1299" t="s">
        <v>57</v>
      </c>
      <c r="V23" s="1299" t="s">
        <v>57</v>
      </c>
      <c r="W23" s="1299" t="s">
        <v>57</v>
      </c>
      <c r="X23" s="487"/>
      <c r="Y23" s="487"/>
      <c r="Z23" s="487"/>
      <c r="AA23" s="124">
        <v>29</v>
      </c>
      <c r="AB23" s="124">
        <v>1.4E-2</v>
      </c>
      <c r="AC23" s="133">
        <v>477.03</v>
      </c>
      <c r="AD23" s="1294" t="s">
        <v>57</v>
      </c>
      <c r="AE23" s="1294" t="s">
        <v>57</v>
      </c>
      <c r="AF23" s="1294" t="s">
        <v>57</v>
      </c>
      <c r="AG23" s="1294" t="s">
        <v>57</v>
      </c>
      <c r="AH23" s="1294" t="s">
        <v>57</v>
      </c>
      <c r="AI23" s="1294" t="s">
        <v>57</v>
      </c>
      <c r="AJ23" s="654"/>
      <c r="AK23" s="87">
        <v>18</v>
      </c>
      <c r="AL23" s="680" t="s">
        <v>40</v>
      </c>
      <c r="AM23" s="434">
        <v>51</v>
      </c>
      <c r="AN23" s="617">
        <v>7.8E-2</v>
      </c>
      <c r="AO23" s="434">
        <v>1525</v>
      </c>
      <c r="AP23" s="434">
        <v>85</v>
      </c>
      <c r="AQ23" s="617">
        <v>4.2999999999999997E-2</v>
      </c>
      <c r="AR23" s="434">
        <v>505</v>
      </c>
      <c r="AS23" s="1291" t="s">
        <v>57</v>
      </c>
      <c r="AT23" s="700" t="s">
        <v>57</v>
      </c>
      <c r="AU23" s="1291" t="s">
        <v>57</v>
      </c>
      <c r="AV23" s="1291" t="s">
        <v>57</v>
      </c>
      <c r="AW23" s="700" t="s">
        <v>57</v>
      </c>
      <c r="AX23" s="1291" t="s">
        <v>57</v>
      </c>
    </row>
    <row r="24" spans="1:50" s="637" customFormat="1" ht="19.5" customHeight="1">
      <c r="A24" s="87">
        <v>19</v>
      </c>
      <c r="B24" s="527" t="s">
        <v>52</v>
      </c>
      <c r="C24" s="1303" t="s">
        <v>57</v>
      </c>
      <c r="D24" s="1303" t="s">
        <v>57</v>
      </c>
      <c r="E24" s="1303" t="s">
        <v>57</v>
      </c>
      <c r="F24" s="126">
        <v>6901</v>
      </c>
      <c r="G24" s="497">
        <v>16.218</v>
      </c>
      <c r="H24" s="615">
        <v>2350</v>
      </c>
      <c r="I24" s="434">
        <v>26</v>
      </c>
      <c r="J24" s="1182">
        <v>6.8000000000000005E-2</v>
      </c>
      <c r="K24" s="434">
        <v>2608</v>
      </c>
      <c r="L24" s="191">
        <v>1</v>
      </c>
      <c r="M24" s="162">
        <v>2E-3</v>
      </c>
      <c r="N24" s="191">
        <v>2007</v>
      </c>
      <c r="O24" s="124">
        <v>1</v>
      </c>
      <c r="P24" s="124">
        <v>2E-3</v>
      </c>
      <c r="Q24" s="124">
        <v>1569</v>
      </c>
      <c r="R24" s="653"/>
      <c r="S24" s="87">
        <v>19</v>
      </c>
      <c r="T24" s="527" t="s">
        <v>52</v>
      </c>
      <c r="U24" s="1299" t="s">
        <v>57</v>
      </c>
      <c r="V24" s="1299" t="s">
        <v>57</v>
      </c>
      <c r="W24" s="1299" t="s">
        <v>57</v>
      </c>
      <c r="X24" s="487"/>
      <c r="Y24" s="487"/>
      <c r="Z24" s="487"/>
      <c r="AA24" s="50">
        <v>22</v>
      </c>
      <c r="AB24" s="162">
        <v>0.01</v>
      </c>
      <c r="AC24" s="191">
        <v>466.67</v>
      </c>
      <c r="AD24" s="1294" t="s">
        <v>57</v>
      </c>
      <c r="AE24" s="1294" t="s">
        <v>57</v>
      </c>
      <c r="AF24" s="1294" t="s">
        <v>57</v>
      </c>
      <c r="AG24" s="1294" t="s">
        <v>57</v>
      </c>
      <c r="AH24" s="1294" t="s">
        <v>57</v>
      </c>
      <c r="AI24" s="1294" t="s">
        <v>57</v>
      </c>
      <c r="AJ24" s="654"/>
      <c r="AK24" s="87">
        <v>19</v>
      </c>
      <c r="AL24" s="680" t="s">
        <v>52</v>
      </c>
      <c r="AM24" s="615">
        <v>2</v>
      </c>
      <c r="AN24" s="497">
        <v>1E-3</v>
      </c>
      <c r="AO24" s="615">
        <v>704</v>
      </c>
      <c r="AP24" s="434">
        <v>95</v>
      </c>
      <c r="AQ24" s="617">
        <v>4.8000000000000001E-2</v>
      </c>
      <c r="AR24" s="434">
        <v>505</v>
      </c>
      <c r="AS24" s="1291" t="s">
        <v>57</v>
      </c>
      <c r="AT24" s="1291" t="s">
        <v>57</v>
      </c>
      <c r="AU24" s="1291" t="s">
        <v>57</v>
      </c>
      <c r="AV24" s="1291" t="s">
        <v>57</v>
      </c>
      <c r="AW24" s="700" t="s">
        <v>57</v>
      </c>
      <c r="AX24" s="1291" t="s">
        <v>57</v>
      </c>
    </row>
    <row r="25" spans="1:50" s="637" customFormat="1" ht="19.5" customHeight="1">
      <c r="A25" s="88">
        <v>20</v>
      </c>
      <c r="B25" s="528" t="s">
        <v>39</v>
      </c>
      <c r="C25" s="1305" t="s">
        <v>57</v>
      </c>
      <c r="D25" s="1305" t="s">
        <v>57</v>
      </c>
      <c r="E25" s="1298" t="s">
        <v>57</v>
      </c>
      <c r="F25" s="128">
        <v>1542</v>
      </c>
      <c r="G25" s="619">
        <v>3.0009999999999999</v>
      </c>
      <c r="H25" s="618">
        <v>1946</v>
      </c>
      <c r="I25" s="1305" t="s">
        <v>57</v>
      </c>
      <c r="J25" s="1305" t="s">
        <v>57</v>
      </c>
      <c r="K25" s="1298" t="s">
        <v>57</v>
      </c>
      <c r="L25" s="435">
        <v>112</v>
      </c>
      <c r="M25" s="1306">
        <v>0.20499999999999999</v>
      </c>
      <c r="N25" s="618">
        <v>1833</v>
      </c>
      <c r="O25" s="598" t="s">
        <v>57</v>
      </c>
      <c r="P25" s="598" t="s">
        <v>57</v>
      </c>
      <c r="Q25" s="598" t="s">
        <v>57</v>
      </c>
      <c r="R25" s="1302" t="s">
        <v>1630</v>
      </c>
      <c r="S25" s="88">
        <v>20</v>
      </c>
      <c r="T25" s="528" t="s">
        <v>39</v>
      </c>
      <c r="U25" s="1297" t="s">
        <v>57</v>
      </c>
      <c r="V25" s="1297" t="s">
        <v>57</v>
      </c>
      <c r="W25" s="1297" t="s">
        <v>57</v>
      </c>
      <c r="X25" s="1193"/>
      <c r="Y25" s="1193"/>
      <c r="Z25" s="1193"/>
      <c r="AA25" s="1297" t="s">
        <v>57</v>
      </c>
      <c r="AB25" s="1297" t="s">
        <v>57</v>
      </c>
      <c r="AC25" s="1298" t="s">
        <v>57</v>
      </c>
      <c r="AD25" s="1297" t="s">
        <v>57</v>
      </c>
      <c r="AE25" s="1308" t="s">
        <v>57</v>
      </c>
      <c r="AF25" s="1308" t="s">
        <v>57</v>
      </c>
      <c r="AG25" s="1297" t="s">
        <v>57</v>
      </c>
      <c r="AH25" s="1308" t="s">
        <v>57</v>
      </c>
      <c r="AI25" s="1308" t="s">
        <v>57</v>
      </c>
      <c r="AJ25" s="654"/>
      <c r="AK25" s="88">
        <v>20</v>
      </c>
      <c r="AL25" s="681" t="s">
        <v>39</v>
      </c>
      <c r="AM25" s="435">
        <v>44</v>
      </c>
      <c r="AN25" s="1306">
        <v>2.5000000000000001E-2</v>
      </c>
      <c r="AO25" s="435">
        <v>572</v>
      </c>
      <c r="AP25" s="1298" t="s">
        <v>57</v>
      </c>
      <c r="AQ25" s="1307" t="s">
        <v>57</v>
      </c>
      <c r="AR25" s="1298" t="s">
        <v>57</v>
      </c>
      <c r="AS25" s="618">
        <v>30</v>
      </c>
      <c r="AT25" s="618">
        <v>1461</v>
      </c>
      <c r="AU25" s="618">
        <v>48690</v>
      </c>
      <c r="AV25" s="1298" t="s">
        <v>57</v>
      </c>
      <c r="AW25" s="1307" t="s">
        <v>57</v>
      </c>
      <c r="AX25" s="1298" t="s">
        <v>57</v>
      </c>
    </row>
    <row r="26" spans="1:50" ht="12.75">
      <c r="A26" s="637"/>
      <c r="B26" s="637"/>
      <c r="C26" s="637"/>
      <c r="D26" s="655"/>
      <c r="E26" s="655"/>
      <c r="F26" s="637"/>
      <c r="G26" s="637"/>
      <c r="H26" s="637"/>
      <c r="I26" s="637"/>
      <c r="J26" s="637"/>
      <c r="K26" s="637"/>
      <c r="L26" s="210"/>
      <c r="M26" s="210"/>
      <c r="N26" s="210"/>
      <c r="O26" s="210"/>
      <c r="P26" s="210"/>
      <c r="Q26" s="545" t="s">
        <v>1246</v>
      </c>
      <c r="R26" s="206"/>
      <c r="S26" s="210"/>
      <c r="T26" s="656"/>
      <c r="U26" s="637"/>
      <c r="V26" s="637"/>
      <c r="X26" s="210"/>
      <c r="Y26" s="210"/>
      <c r="Z26" s="210"/>
      <c r="AA26" s="210"/>
      <c r="AB26" s="210"/>
      <c r="AD26" s="637"/>
      <c r="AE26" s="637"/>
      <c r="AF26" s="657"/>
      <c r="AG26" s="658"/>
      <c r="AH26" s="658"/>
      <c r="AI26" s="545" t="s">
        <v>1246</v>
      </c>
      <c r="AJ26" s="637"/>
      <c r="AK26" s="637" t="s">
        <v>514</v>
      </c>
      <c r="AL26" s="637"/>
      <c r="AM26" s="637"/>
      <c r="AP26" s="637"/>
      <c r="AR26" s="637"/>
      <c r="AS26" s="210"/>
      <c r="AT26" s="539" t="s">
        <v>1546</v>
      </c>
      <c r="AU26" s="1194" t="s">
        <v>713</v>
      </c>
      <c r="AX26" s="1194"/>
    </row>
    <row r="27" spans="1:50">
      <c r="A27" s="637"/>
      <c r="B27" s="637"/>
      <c r="C27" s="637"/>
      <c r="D27" s="655"/>
      <c r="E27" s="637"/>
      <c r="F27" s="637"/>
      <c r="G27" s="637"/>
      <c r="H27" s="637"/>
      <c r="I27" s="637"/>
      <c r="J27" s="637"/>
      <c r="K27" s="637"/>
      <c r="L27" s="637"/>
      <c r="M27" s="637"/>
      <c r="N27" s="637"/>
      <c r="O27" s="637"/>
      <c r="P27" s="637"/>
      <c r="Q27" s="637"/>
      <c r="R27" s="637"/>
      <c r="S27" s="637"/>
      <c r="T27" s="655"/>
      <c r="U27" s="637"/>
      <c r="V27" s="637"/>
      <c r="W27" s="637"/>
      <c r="X27" s="637"/>
      <c r="Y27" s="637"/>
      <c r="Z27" s="637"/>
      <c r="AA27" s="637"/>
      <c r="AB27" s="637"/>
      <c r="AC27" s="637"/>
      <c r="AD27" s="637"/>
      <c r="AE27" s="637"/>
      <c r="AF27" s="637"/>
      <c r="AG27" s="659"/>
      <c r="AH27" s="659"/>
      <c r="AI27" s="659"/>
      <c r="AJ27" s="637"/>
      <c r="AK27" s="637" t="s">
        <v>714</v>
      </c>
      <c r="AL27" s="637"/>
      <c r="AM27" s="637"/>
      <c r="AO27" s="637"/>
      <c r="AP27" s="637"/>
      <c r="AQ27" s="637"/>
      <c r="AR27" s="637"/>
      <c r="AS27" s="637"/>
      <c r="AT27" s="637"/>
      <c r="AU27" s="1195" t="s">
        <v>715</v>
      </c>
      <c r="AX27" s="1195"/>
    </row>
    <row r="28" spans="1:50">
      <c r="B28" s="557"/>
      <c r="D28" s="557"/>
      <c r="E28" s="557"/>
      <c r="T28" s="557"/>
      <c r="AK28" s="540" t="s">
        <v>1475</v>
      </c>
    </row>
    <row r="29" spans="1:50">
      <c r="B29" s="557"/>
      <c r="C29" s="557"/>
      <c r="D29" s="557"/>
      <c r="E29" s="557"/>
      <c r="T29" s="557"/>
    </row>
    <row r="30" spans="1:50">
      <c r="AG30" s="540" t="s">
        <v>355</v>
      </c>
    </row>
  </sheetData>
  <mergeCells count="24">
    <mergeCell ref="AA3:AC3"/>
    <mergeCell ref="AP3:AR3"/>
    <mergeCell ref="B3:B4"/>
    <mergeCell ref="AG3:AI3"/>
    <mergeCell ref="AK3:AK4"/>
    <mergeCell ref="S3:S4"/>
    <mergeCell ref="O3:Q3"/>
    <mergeCell ref="L3:N3"/>
    <mergeCell ref="AV3:AX3"/>
    <mergeCell ref="A1:Q1"/>
    <mergeCell ref="A2:Q2"/>
    <mergeCell ref="S2:AI2"/>
    <mergeCell ref="A3:A4"/>
    <mergeCell ref="C3:E3"/>
    <mergeCell ref="AM3:AO3"/>
    <mergeCell ref="T3:T4"/>
    <mergeCell ref="X3:Z3"/>
    <mergeCell ref="AK2:AX2"/>
    <mergeCell ref="AS3:AU3"/>
    <mergeCell ref="AL3:AL4"/>
    <mergeCell ref="AD3:AF3"/>
    <mergeCell ref="F3:H3"/>
    <mergeCell ref="I3:K3"/>
    <mergeCell ref="U3:W3"/>
  </mergeCells>
  <phoneticPr fontId="0" type="noConversion"/>
  <printOptions horizontalCentered="1" verticalCentered="1"/>
  <pageMargins left="0.1" right="0.1" top="0.31" bottom="0.1" header="0.25" footer="0.1"/>
  <pageSetup paperSize="9" orientation="landscape" blackAndWhite="1" r:id="rId1"/>
  <headerFooter alignWithMargins="0"/>
  <colBreaks count="2" manualBreakCount="2">
    <brk id="17" max="1048575" man="1"/>
    <brk id="35" max="1048575" man="1"/>
  </colBreaks>
</worksheet>
</file>

<file path=xl/worksheets/sheet8.xml><?xml version="1.0" encoding="utf-8"?>
<worksheet xmlns="http://schemas.openxmlformats.org/spreadsheetml/2006/main" xmlns:r="http://schemas.openxmlformats.org/officeDocument/2006/relationships">
  <dimension ref="A1:S43"/>
  <sheetViews>
    <sheetView topLeftCell="A16" workbookViewId="0">
      <selection activeCell="V31" sqref="V31"/>
    </sheetView>
  </sheetViews>
  <sheetFormatPr defaultRowHeight="12.75"/>
  <cols>
    <col min="1" max="1" width="14.7109375" style="7" customWidth="1"/>
    <col min="2" max="2" width="20.28515625" style="7" customWidth="1"/>
    <col min="3" max="3" width="14.85546875" style="7" customWidth="1"/>
    <col min="4" max="4" width="7.28515625" style="7" customWidth="1"/>
    <col min="5" max="5" width="5.28515625" style="7" customWidth="1"/>
    <col min="6" max="6" width="6.42578125" style="7" customWidth="1"/>
    <col min="7" max="7" width="5.7109375" style="7" customWidth="1"/>
    <col min="8" max="8" width="7.5703125" style="7" customWidth="1"/>
    <col min="9" max="9" width="7.7109375" style="7" customWidth="1"/>
    <col min="10" max="10" width="6.140625" style="7" customWidth="1"/>
    <col min="11" max="11" width="7.7109375" style="7" customWidth="1"/>
    <col min="12" max="12" width="4.5703125" style="7" customWidth="1"/>
    <col min="13" max="13" width="5.140625" style="7" customWidth="1"/>
    <col min="14" max="14" width="4.28515625" style="7" customWidth="1"/>
    <col min="15" max="15" width="5.140625" style="7" customWidth="1"/>
    <col min="16" max="16" width="7.28515625" style="7" customWidth="1"/>
    <col min="17" max="17" width="6.28515625" style="7" customWidth="1"/>
    <col min="18" max="18" width="10.85546875" style="7" customWidth="1"/>
    <col min="19" max="16384" width="9.140625" style="7"/>
  </cols>
  <sheetData>
    <row r="1" spans="1:18" ht="12" customHeight="1">
      <c r="A1" s="1399" t="s">
        <v>925</v>
      </c>
      <c r="B1" s="1399"/>
      <c r="C1" s="1399"/>
      <c r="D1" s="1399"/>
      <c r="E1" s="1399"/>
      <c r="F1" s="1399"/>
      <c r="G1" s="1399"/>
      <c r="H1" s="1399"/>
      <c r="I1" s="1399"/>
      <c r="J1" s="1399"/>
      <c r="K1" s="1399"/>
      <c r="L1" s="1399"/>
      <c r="M1" s="1399"/>
      <c r="N1" s="1399"/>
      <c r="O1" s="1399"/>
      <c r="P1" s="1399"/>
      <c r="Q1" s="1399"/>
      <c r="R1" s="1399"/>
    </row>
    <row r="2" spans="1:18" ht="14.25" customHeight="1">
      <c r="A2" s="1394" t="str">
        <f>"Administrative Units in the district of Purulia for the year " &amp; District!F5</f>
        <v>Administrative Units in the district of Purulia for the year 2014</v>
      </c>
      <c r="B2" s="1394"/>
      <c r="C2" s="1394"/>
      <c r="D2" s="1394"/>
      <c r="E2" s="1394"/>
      <c r="F2" s="1394"/>
      <c r="G2" s="1394"/>
      <c r="H2" s="1394"/>
      <c r="I2" s="1394"/>
      <c r="J2" s="1394"/>
      <c r="K2" s="1394"/>
      <c r="L2" s="1394"/>
      <c r="M2" s="1394"/>
      <c r="N2" s="1394"/>
      <c r="O2" s="1394"/>
      <c r="P2" s="1394"/>
      <c r="Q2" s="1394"/>
      <c r="R2" s="1394"/>
    </row>
    <row r="3" spans="1:18">
      <c r="B3" s="8"/>
      <c r="C3" s="8"/>
      <c r="D3" s="8"/>
      <c r="E3" s="8"/>
      <c r="G3" s="1435"/>
      <c r="H3" s="1435"/>
      <c r="I3" s="1435"/>
      <c r="J3" s="1435"/>
      <c r="K3" s="9"/>
      <c r="L3" s="9"/>
      <c r="R3" s="756" t="s">
        <v>1058</v>
      </c>
    </row>
    <row r="4" spans="1:18" s="10" customFormat="1" ht="14.25" customHeight="1">
      <c r="A4" s="1436" t="s">
        <v>1046</v>
      </c>
      <c r="B4" s="1439" t="s">
        <v>956</v>
      </c>
      <c r="C4" s="1430" t="s">
        <v>1212</v>
      </c>
      <c r="D4" s="1442" t="s">
        <v>737</v>
      </c>
      <c r="E4" s="1443"/>
      <c r="F4" s="1444"/>
      <c r="G4" s="1445" t="s">
        <v>855</v>
      </c>
      <c r="H4" s="1447" t="s">
        <v>957</v>
      </c>
      <c r="I4" s="1430" t="s">
        <v>1238</v>
      </c>
      <c r="J4" s="1442" t="s">
        <v>738</v>
      </c>
      <c r="K4" s="1443"/>
      <c r="L4" s="1443"/>
      <c r="M4" s="1443"/>
      <c r="N4" s="1443"/>
      <c r="O4" s="1443"/>
      <c r="P4" s="1443"/>
      <c r="Q4" s="1443"/>
      <c r="R4" s="1444"/>
    </row>
    <row r="5" spans="1:18" s="10" customFormat="1" ht="18.75" customHeight="1">
      <c r="A5" s="1437"/>
      <c r="B5" s="1416"/>
      <c r="C5" s="1441"/>
      <c r="D5" s="1416" t="s">
        <v>1047</v>
      </c>
      <c r="E5" s="1418" t="s">
        <v>1048</v>
      </c>
      <c r="F5" s="1450" t="s">
        <v>962</v>
      </c>
      <c r="G5" s="1446"/>
      <c r="H5" s="1448"/>
      <c r="I5" s="1441"/>
      <c r="J5" s="1452" t="s">
        <v>958</v>
      </c>
      <c r="K5" s="1453"/>
      <c r="L5" s="1428" t="s">
        <v>959</v>
      </c>
      <c r="M5" s="1429"/>
      <c r="N5" s="1428" t="s">
        <v>1061</v>
      </c>
      <c r="O5" s="1429"/>
      <c r="P5" s="1430" t="s">
        <v>263</v>
      </c>
      <c r="Q5" s="1432" t="s">
        <v>262</v>
      </c>
      <c r="R5" s="1430" t="s">
        <v>1035</v>
      </c>
    </row>
    <row r="6" spans="1:18" s="10" customFormat="1" ht="18.75" customHeight="1">
      <c r="A6" s="1438"/>
      <c r="B6" s="1440"/>
      <c r="C6" s="1431"/>
      <c r="D6" s="1440"/>
      <c r="E6" s="1449"/>
      <c r="F6" s="1451"/>
      <c r="G6" s="522" t="s">
        <v>261</v>
      </c>
      <c r="H6" s="758" t="s">
        <v>1403</v>
      </c>
      <c r="I6" s="758" t="s">
        <v>1403</v>
      </c>
      <c r="J6" s="1274" t="s">
        <v>1059</v>
      </c>
      <c r="K6" s="1271" t="s">
        <v>1060</v>
      </c>
      <c r="L6" s="1274" t="s">
        <v>1059</v>
      </c>
      <c r="M6" s="1271" t="s">
        <v>1060</v>
      </c>
      <c r="N6" s="1274" t="s">
        <v>1059</v>
      </c>
      <c r="O6" s="1271" t="s">
        <v>1060</v>
      </c>
      <c r="P6" s="1431"/>
      <c r="Q6" s="1433"/>
      <c r="R6" s="1434"/>
    </row>
    <row r="7" spans="1:18">
      <c r="A7" s="760" t="s">
        <v>1008</v>
      </c>
      <c r="B7" s="761" t="s">
        <v>1009</v>
      </c>
      <c r="C7" s="760" t="s">
        <v>1010</v>
      </c>
      <c r="D7" s="761" t="s">
        <v>1011</v>
      </c>
      <c r="E7" s="762" t="s">
        <v>1015</v>
      </c>
      <c r="F7" s="763" t="s">
        <v>1016</v>
      </c>
      <c r="G7" s="760" t="s">
        <v>1017</v>
      </c>
      <c r="H7" s="760" t="s">
        <v>1039</v>
      </c>
      <c r="I7" s="760" t="s">
        <v>1040</v>
      </c>
      <c r="J7" s="761" t="s">
        <v>1041</v>
      </c>
      <c r="K7" s="763" t="s">
        <v>1042</v>
      </c>
      <c r="L7" s="761" t="s">
        <v>1076</v>
      </c>
      <c r="M7" s="763" t="s">
        <v>1077</v>
      </c>
      <c r="N7" s="761" t="s">
        <v>1078</v>
      </c>
      <c r="O7" s="763" t="s">
        <v>1079</v>
      </c>
      <c r="P7" s="760" t="s">
        <v>1080</v>
      </c>
      <c r="Q7" s="762" t="s">
        <v>1081</v>
      </c>
      <c r="R7" s="760" t="s">
        <v>1083</v>
      </c>
    </row>
    <row r="8" spans="1:18" ht="13.5" customHeight="1">
      <c r="A8" s="1423" t="s">
        <v>1373</v>
      </c>
      <c r="B8" s="524">
        <v>7</v>
      </c>
      <c r="C8" s="764" t="s">
        <v>1213</v>
      </c>
      <c r="D8" s="294">
        <f t="shared" ref="D8:I8" si="0">SUM(D9:D16)</f>
        <v>7</v>
      </c>
      <c r="E8" s="1267">
        <f t="shared" si="0"/>
        <v>59</v>
      </c>
      <c r="F8" s="1267">
        <f t="shared" si="0"/>
        <v>693</v>
      </c>
      <c r="G8" s="294">
        <f t="shared" si="0"/>
        <v>930</v>
      </c>
      <c r="H8" s="294">
        <f t="shared" si="0"/>
        <v>882</v>
      </c>
      <c r="I8" s="294">
        <f t="shared" si="0"/>
        <v>198703</v>
      </c>
      <c r="J8" s="294" t="s">
        <v>57</v>
      </c>
      <c r="K8" s="765" t="s">
        <v>57</v>
      </c>
      <c r="L8" s="1267">
        <f>SUM(L9:L16)</f>
        <v>1</v>
      </c>
      <c r="M8" s="1267">
        <f>SUM(M9:M16)</f>
        <v>12</v>
      </c>
      <c r="N8" s="294" t="s">
        <v>57</v>
      </c>
      <c r="O8" s="765" t="s">
        <v>57</v>
      </c>
      <c r="P8" s="1267">
        <f>SUM(P9:P16)</f>
        <v>6</v>
      </c>
      <c r="Q8" s="294" t="s">
        <v>57</v>
      </c>
      <c r="R8" s="164">
        <f>SUM(R9:R16)</f>
        <v>7</v>
      </c>
    </row>
    <row r="9" spans="1:18" ht="13.5" customHeight="1">
      <c r="A9" s="1424"/>
      <c r="B9" s="448" t="s">
        <v>26</v>
      </c>
      <c r="C9" s="591" t="s">
        <v>26</v>
      </c>
      <c r="D9" s="1263">
        <v>1</v>
      </c>
      <c r="E9" s="1279">
        <v>8</v>
      </c>
      <c r="F9" s="1264">
        <v>101</v>
      </c>
      <c r="G9" s="1320">
        <v>96</v>
      </c>
      <c r="H9" s="522">
        <v>95</v>
      </c>
      <c r="I9" s="1269">
        <v>28868</v>
      </c>
      <c r="J9" s="1263" t="s">
        <v>57</v>
      </c>
      <c r="K9" s="1264" t="s">
        <v>57</v>
      </c>
      <c r="L9" s="1263" t="s">
        <v>57</v>
      </c>
      <c r="M9" s="1264" t="s">
        <v>57</v>
      </c>
      <c r="N9" s="1263" t="s">
        <v>57</v>
      </c>
      <c r="O9" s="1264" t="s">
        <v>57</v>
      </c>
      <c r="P9" s="1269" t="s">
        <v>57</v>
      </c>
      <c r="Q9" s="1279" t="s">
        <v>57</v>
      </c>
      <c r="R9" s="1269" t="str">
        <f>IF(SUM(J9,L9,N9,P9,Q9)=0,"-",SUM(J9,L9,N9,P9,Q9))</f>
        <v>-</v>
      </c>
    </row>
    <row r="10" spans="1:18" ht="13.5" customHeight="1">
      <c r="A10" s="766"/>
      <c r="B10" s="448" t="s">
        <v>27</v>
      </c>
      <c r="C10" s="591" t="s">
        <v>27</v>
      </c>
      <c r="D10" s="1263">
        <v>1</v>
      </c>
      <c r="E10" s="1279">
        <v>8</v>
      </c>
      <c r="F10" s="1264">
        <v>92</v>
      </c>
      <c r="G10" s="1320">
        <v>142</v>
      </c>
      <c r="H10" s="522">
        <v>138</v>
      </c>
      <c r="I10" s="1269">
        <v>27508</v>
      </c>
      <c r="J10" s="1263" t="s">
        <v>57</v>
      </c>
      <c r="K10" s="1264" t="s">
        <v>57</v>
      </c>
      <c r="L10" s="1263" t="s">
        <v>57</v>
      </c>
      <c r="M10" s="1264" t="s">
        <v>57</v>
      </c>
      <c r="N10" s="1263" t="s">
        <v>57</v>
      </c>
      <c r="O10" s="1264" t="s">
        <v>57</v>
      </c>
      <c r="P10" s="1269" t="s">
        <v>57</v>
      </c>
      <c r="Q10" s="1279" t="s">
        <v>57</v>
      </c>
      <c r="R10" s="1269" t="str">
        <f>IF(SUM(J10,L10,N10,P10,Q10)=0,"-",SUM(J10,L10,N10,P10,Q10))</f>
        <v>-</v>
      </c>
    </row>
    <row r="11" spans="1:18" ht="13.5" customHeight="1">
      <c r="A11" s="766"/>
      <c r="B11" s="448" t="s">
        <v>53</v>
      </c>
      <c r="C11" s="591" t="s">
        <v>53</v>
      </c>
      <c r="D11" s="1263">
        <v>1</v>
      </c>
      <c r="E11" s="1279">
        <v>7</v>
      </c>
      <c r="F11" s="1264">
        <v>92</v>
      </c>
      <c r="G11" s="1320">
        <v>90</v>
      </c>
      <c r="H11" s="1269">
        <v>89</v>
      </c>
      <c r="I11" s="1269">
        <v>26255</v>
      </c>
      <c r="J11" s="1263" t="s">
        <v>57</v>
      </c>
      <c r="K11" s="1264" t="s">
        <v>57</v>
      </c>
      <c r="L11" s="1263" t="s">
        <v>57</v>
      </c>
      <c r="M11" s="1264" t="s">
        <v>57</v>
      </c>
      <c r="N11" s="1263" t="s">
        <v>57</v>
      </c>
      <c r="O11" s="1264" t="s">
        <v>57</v>
      </c>
      <c r="P11" s="1269">
        <v>1</v>
      </c>
      <c r="Q11" s="1279" t="s">
        <v>57</v>
      </c>
      <c r="R11" s="1269">
        <f t="shared" ref="R11:R26" si="1">IF(SUM(J11,L11,N11,P11,Q11)=0,"-",SUM(J11,L11,N11,P11,Q11))</f>
        <v>1</v>
      </c>
    </row>
    <row r="12" spans="1:18" ht="13.5" customHeight="1">
      <c r="A12" s="766"/>
      <c r="B12" s="448" t="s">
        <v>28</v>
      </c>
      <c r="C12" s="600" t="s">
        <v>28</v>
      </c>
      <c r="D12" s="1263">
        <v>1</v>
      </c>
      <c r="E12" s="1279">
        <v>10</v>
      </c>
      <c r="F12" s="1264">
        <v>122</v>
      </c>
      <c r="G12" s="1320">
        <v>215</v>
      </c>
      <c r="H12" s="1269">
        <v>202</v>
      </c>
      <c r="I12" s="1269">
        <v>32467</v>
      </c>
      <c r="J12" s="1263" t="s">
        <v>57</v>
      </c>
      <c r="K12" s="1264" t="s">
        <v>57</v>
      </c>
      <c r="L12" s="1263" t="s">
        <v>57</v>
      </c>
      <c r="M12" s="1264" t="s">
        <v>57</v>
      </c>
      <c r="N12" s="1263" t="s">
        <v>57</v>
      </c>
      <c r="O12" s="1264" t="s">
        <v>57</v>
      </c>
      <c r="P12" s="1269">
        <v>1</v>
      </c>
      <c r="Q12" s="1279" t="s">
        <v>57</v>
      </c>
      <c r="R12" s="1269">
        <f t="shared" si="1"/>
        <v>1</v>
      </c>
    </row>
    <row r="13" spans="1:18" ht="13.5" customHeight="1">
      <c r="A13" s="766"/>
      <c r="B13" s="1278" t="s">
        <v>29</v>
      </c>
      <c r="C13" s="600" t="s">
        <v>29</v>
      </c>
      <c r="D13" s="1263">
        <v>1</v>
      </c>
      <c r="E13" s="1279">
        <v>7</v>
      </c>
      <c r="F13" s="1264">
        <v>90</v>
      </c>
      <c r="G13" s="1320">
        <v>113</v>
      </c>
      <c r="H13" s="1269">
        <v>109</v>
      </c>
      <c r="I13" s="1269">
        <v>24257</v>
      </c>
      <c r="J13" s="1263" t="s">
        <v>57</v>
      </c>
      <c r="K13" s="1264" t="s">
        <v>57</v>
      </c>
      <c r="L13" s="1263" t="s">
        <v>57</v>
      </c>
      <c r="M13" s="1264" t="s">
        <v>57</v>
      </c>
      <c r="N13" s="1263" t="s">
        <v>57</v>
      </c>
      <c r="O13" s="1264" t="s">
        <v>57</v>
      </c>
      <c r="P13" s="1269">
        <v>1</v>
      </c>
      <c r="Q13" s="1279" t="s">
        <v>57</v>
      </c>
      <c r="R13" s="1269">
        <f t="shared" si="1"/>
        <v>1</v>
      </c>
    </row>
    <row r="14" spans="1:18" ht="13.5" customHeight="1">
      <c r="A14" s="766"/>
      <c r="B14" s="1425" t="s">
        <v>32</v>
      </c>
      <c r="C14" s="600" t="s">
        <v>48</v>
      </c>
      <c r="D14" s="1263">
        <v>1</v>
      </c>
      <c r="E14" s="1279">
        <v>10</v>
      </c>
      <c r="F14" s="1264">
        <v>97</v>
      </c>
      <c r="G14" s="1320">
        <v>143</v>
      </c>
      <c r="H14" s="1269">
        <v>131</v>
      </c>
      <c r="I14" s="1269">
        <v>27709</v>
      </c>
      <c r="J14" s="1263" t="s">
        <v>57</v>
      </c>
      <c r="K14" s="1264" t="s">
        <v>57</v>
      </c>
      <c r="L14" s="1263" t="s">
        <v>57</v>
      </c>
      <c r="M14" s="1264" t="s">
        <v>57</v>
      </c>
      <c r="N14" s="1263" t="s">
        <v>57</v>
      </c>
      <c r="O14" s="1264" t="s">
        <v>57</v>
      </c>
      <c r="P14" s="1269">
        <v>1</v>
      </c>
      <c r="Q14" s="1279" t="s">
        <v>57</v>
      </c>
      <c r="R14" s="1269">
        <f t="shared" si="1"/>
        <v>1</v>
      </c>
    </row>
    <row r="15" spans="1:18" ht="13.5" customHeight="1">
      <c r="A15" s="766"/>
      <c r="B15" s="1421"/>
      <c r="C15" s="591" t="s">
        <v>49</v>
      </c>
      <c r="D15" s="1263" t="s">
        <v>57</v>
      </c>
      <c r="E15" s="1279" t="s">
        <v>57</v>
      </c>
      <c r="F15" s="1264" t="s">
        <v>57</v>
      </c>
      <c r="G15" s="1320" t="s">
        <v>57</v>
      </c>
      <c r="H15" s="1283" t="s">
        <v>57</v>
      </c>
      <c r="I15" s="1269">
        <v>3676</v>
      </c>
      <c r="J15" s="1263" t="s">
        <v>57</v>
      </c>
      <c r="K15" s="1264" t="s">
        <v>57</v>
      </c>
      <c r="L15" s="1263">
        <v>1</v>
      </c>
      <c r="M15" s="1264">
        <v>12</v>
      </c>
      <c r="N15" s="1263" t="s">
        <v>57</v>
      </c>
      <c r="O15" s="1264" t="s">
        <v>57</v>
      </c>
      <c r="P15" s="1269" t="s">
        <v>57</v>
      </c>
      <c r="Q15" s="1279" t="s">
        <v>57</v>
      </c>
      <c r="R15" s="1269">
        <f>IF(SUM(J15,L15,N15,P15,Q15)=0,"-",SUM(J15,L15,N15,P15,Q15))</f>
        <v>1</v>
      </c>
    </row>
    <row r="16" spans="1:18" ht="13.5" customHeight="1">
      <c r="A16" s="766"/>
      <c r="B16" s="1278" t="s">
        <v>1627</v>
      </c>
      <c r="C16" s="600" t="s">
        <v>54</v>
      </c>
      <c r="D16" s="1263">
        <v>1</v>
      </c>
      <c r="E16" s="1279">
        <v>9</v>
      </c>
      <c r="F16" s="1264">
        <v>99</v>
      </c>
      <c r="G16" s="1320">
        <v>131</v>
      </c>
      <c r="H16" s="1269">
        <v>118</v>
      </c>
      <c r="I16" s="1269">
        <v>27963</v>
      </c>
      <c r="J16" s="1263" t="s">
        <v>57</v>
      </c>
      <c r="K16" s="1264" t="s">
        <v>57</v>
      </c>
      <c r="L16" s="1263" t="s">
        <v>57</v>
      </c>
      <c r="M16" s="1264" t="s">
        <v>57</v>
      </c>
      <c r="N16" s="1263" t="s">
        <v>57</v>
      </c>
      <c r="O16" s="1264" t="s">
        <v>57</v>
      </c>
      <c r="P16" s="1269">
        <v>2</v>
      </c>
      <c r="Q16" s="1279" t="s">
        <v>57</v>
      </c>
      <c r="R16" s="1269">
        <f>IF(SUM(J16,L16,N16,P16,Q16)=0,"-",SUM(J16,L16,N16,P16,Q16))</f>
        <v>2</v>
      </c>
    </row>
    <row r="17" spans="1:19" ht="13.5" customHeight="1">
      <c r="A17" s="1419" t="s">
        <v>1369</v>
      </c>
      <c r="B17" s="164">
        <v>8</v>
      </c>
      <c r="C17" s="767" t="s">
        <v>1213</v>
      </c>
      <c r="D17" s="294">
        <f t="shared" ref="D17:I17" si="2">SUM(D18:D26)</f>
        <v>7</v>
      </c>
      <c r="E17" s="1267">
        <f t="shared" si="2"/>
        <v>62</v>
      </c>
      <c r="F17" s="1267">
        <f t="shared" si="2"/>
        <v>677</v>
      </c>
      <c r="G17" s="294">
        <f t="shared" si="2"/>
        <v>971</v>
      </c>
      <c r="H17" s="294">
        <f t="shared" si="2"/>
        <v>890</v>
      </c>
      <c r="I17" s="294">
        <f t="shared" si="2"/>
        <v>209758</v>
      </c>
      <c r="J17" s="294" t="s">
        <v>57</v>
      </c>
      <c r="K17" s="1267" t="s">
        <v>57</v>
      </c>
      <c r="L17" s="294">
        <f>SUM(L18:L26)</f>
        <v>1</v>
      </c>
      <c r="M17" s="1267">
        <f>SUM(M18:M26)</f>
        <v>22</v>
      </c>
      <c r="N17" s="294" t="s">
        <v>57</v>
      </c>
      <c r="O17" s="1280" t="s">
        <v>57</v>
      </c>
      <c r="P17" s="1267">
        <f>SUM(P18:P26)</f>
        <v>5</v>
      </c>
      <c r="Q17" s="294" t="s">
        <v>57</v>
      </c>
      <c r="R17" s="164">
        <f>SUM(R18:R26)</f>
        <v>6</v>
      </c>
    </row>
    <row r="18" spans="1:19" ht="13.5" customHeight="1">
      <c r="A18" s="1420"/>
      <c r="B18" s="768" t="s">
        <v>33</v>
      </c>
      <c r="C18" s="769" t="s">
        <v>33</v>
      </c>
      <c r="D18" s="1274">
        <v>1</v>
      </c>
      <c r="E18" s="1273">
        <v>8</v>
      </c>
      <c r="F18" s="1271">
        <v>69</v>
      </c>
      <c r="G18" s="1321">
        <v>135</v>
      </c>
      <c r="H18" s="1272">
        <v>131</v>
      </c>
      <c r="I18" s="1272">
        <v>20325</v>
      </c>
      <c r="J18" s="1274" t="s">
        <v>57</v>
      </c>
      <c r="K18" s="1271" t="s">
        <v>57</v>
      </c>
      <c r="L18" s="1274" t="s">
        <v>57</v>
      </c>
      <c r="M18" s="1271" t="s">
        <v>57</v>
      </c>
      <c r="N18" s="1274" t="s">
        <v>57</v>
      </c>
      <c r="O18" s="1271" t="s">
        <v>57</v>
      </c>
      <c r="P18" s="1272">
        <v>1</v>
      </c>
      <c r="Q18" s="1273" t="s">
        <v>57</v>
      </c>
      <c r="R18" s="1272">
        <f t="shared" si="1"/>
        <v>1</v>
      </c>
    </row>
    <row r="19" spans="1:19" ht="13.5" customHeight="1">
      <c r="A19" s="768"/>
      <c r="B19" s="768" t="s">
        <v>34</v>
      </c>
      <c r="C19" s="769" t="s">
        <v>34</v>
      </c>
      <c r="D19" s="1274">
        <v>1</v>
      </c>
      <c r="E19" s="1273">
        <v>10</v>
      </c>
      <c r="F19" s="1271">
        <v>107</v>
      </c>
      <c r="G19" s="1321">
        <v>116</v>
      </c>
      <c r="H19" s="1272">
        <v>111</v>
      </c>
      <c r="I19" s="1272">
        <v>28368</v>
      </c>
      <c r="J19" s="1274" t="s">
        <v>57</v>
      </c>
      <c r="K19" s="1271" t="s">
        <v>57</v>
      </c>
      <c r="L19" s="1274" t="s">
        <v>57</v>
      </c>
      <c r="M19" s="1271" t="s">
        <v>57</v>
      </c>
      <c r="N19" s="1274" t="s">
        <v>57</v>
      </c>
      <c r="O19" s="1271" t="s">
        <v>57</v>
      </c>
      <c r="P19" s="1272" t="s">
        <v>57</v>
      </c>
      <c r="Q19" s="1273" t="s">
        <v>57</v>
      </c>
      <c r="R19" s="1272" t="str">
        <f t="shared" si="1"/>
        <v>-</v>
      </c>
    </row>
    <row r="20" spans="1:19" ht="27" customHeight="1">
      <c r="A20" s="768"/>
      <c r="B20" s="1277" t="s">
        <v>1626</v>
      </c>
      <c r="C20" s="1275" t="s">
        <v>42</v>
      </c>
      <c r="D20" s="1274">
        <v>1</v>
      </c>
      <c r="E20" s="1273">
        <v>10</v>
      </c>
      <c r="F20" s="1271">
        <v>114</v>
      </c>
      <c r="G20" s="1321">
        <v>244</v>
      </c>
      <c r="H20" s="1272">
        <v>219</v>
      </c>
      <c r="I20" s="1272">
        <v>31939</v>
      </c>
      <c r="J20" s="1274" t="s">
        <v>57</v>
      </c>
      <c r="K20" s="1271" t="s">
        <v>57</v>
      </c>
      <c r="L20" s="1274" t="s">
        <v>57</v>
      </c>
      <c r="M20" s="1271" t="s">
        <v>57</v>
      </c>
      <c r="N20" s="1274" t="s">
        <v>57</v>
      </c>
      <c r="O20" s="1271" t="s">
        <v>57</v>
      </c>
      <c r="P20" s="1272">
        <v>1</v>
      </c>
      <c r="Q20" s="1273" t="s">
        <v>57</v>
      </c>
      <c r="R20" s="1272">
        <f t="shared" si="1"/>
        <v>1</v>
      </c>
      <c r="S20" s="770"/>
    </row>
    <row r="21" spans="1:19" ht="13.5" customHeight="1">
      <c r="A21" s="768"/>
      <c r="B21" s="768" t="s">
        <v>1447</v>
      </c>
      <c r="C21" s="769" t="s">
        <v>43</v>
      </c>
      <c r="D21" s="1274">
        <v>1</v>
      </c>
      <c r="E21" s="1273">
        <v>7</v>
      </c>
      <c r="F21" s="1271">
        <v>75</v>
      </c>
      <c r="G21" s="1321">
        <v>136</v>
      </c>
      <c r="H21" s="1272">
        <v>124</v>
      </c>
      <c r="I21" s="1272">
        <v>20133</v>
      </c>
      <c r="J21" s="1274" t="s">
        <v>57</v>
      </c>
      <c r="K21" s="1271" t="s">
        <v>57</v>
      </c>
      <c r="L21" s="1274" t="s">
        <v>57</v>
      </c>
      <c r="M21" s="1271" t="s">
        <v>57</v>
      </c>
      <c r="N21" s="1274" t="s">
        <v>57</v>
      </c>
      <c r="O21" s="1271" t="s">
        <v>57</v>
      </c>
      <c r="P21" s="1272" t="s">
        <v>57</v>
      </c>
      <c r="Q21" s="1273" t="s">
        <v>57</v>
      </c>
      <c r="R21" s="1272" t="str">
        <f>IF(SUM(J21,L21,N21,P21,Q21)=0,"-",SUM(J21,L21,N21,P21,Q21))</f>
        <v>-</v>
      </c>
    </row>
    <row r="22" spans="1:19" ht="13.5" customHeight="1">
      <c r="A22" s="768"/>
      <c r="B22" s="1270" t="s">
        <v>1241</v>
      </c>
      <c r="C22" s="1275" t="s">
        <v>45</v>
      </c>
      <c r="D22" s="1274">
        <v>1</v>
      </c>
      <c r="E22" s="1273">
        <v>10</v>
      </c>
      <c r="F22" s="1271">
        <v>97</v>
      </c>
      <c r="G22" s="1321">
        <v>109</v>
      </c>
      <c r="H22" s="1272">
        <v>99</v>
      </c>
      <c r="I22" s="1272">
        <v>25262</v>
      </c>
      <c r="J22" s="1274" t="s">
        <v>57</v>
      </c>
      <c r="K22" s="1271" t="s">
        <v>57</v>
      </c>
      <c r="L22" s="1274" t="s">
        <v>57</v>
      </c>
      <c r="M22" s="1271" t="s">
        <v>57</v>
      </c>
      <c r="N22" s="1274" t="s">
        <v>57</v>
      </c>
      <c r="O22" s="1271" t="s">
        <v>57</v>
      </c>
      <c r="P22" s="1272" t="s">
        <v>57</v>
      </c>
      <c r="Q22" s="1272" t="s">
        <v>57</v>
      </c>
      <c r="R22" s="1272" t="str">
        <f>IF(SUM(J22,L22,N22,P22,Q22)=0,"-",SUM(J22,L22,N22,P22,Q22))</f>
        <v>-</v>
      </c>
    </row>
    <row r="23" spans="1:19" ht="11.25" customHeight="1">
      <c r="A23" s="768"/>
      <c r="B23" s="768" t="s">
        <v>44</v>
      </c>
      <c r="C23" s="769" t="s">
        <v>58</v>
      </c>
      <c r="D23" s="1274" t="s">
        <v>57</v>
      </c>
      <c r="E23" s="1273" t="s">
        <v>57</v>
      </c>
      <c r="F23" s="1271" t="s">
        <v>57</v>
      </c>
      <c r="G23" s="1321" t="s">
        <v>57</v>
      </c>
      <c r="H23" s="1272" t="s">
        <v>57</v>
      </c>
      <c r="I23" s="1272">
        <v>23754</v>
      </c>
      <c r="J23" s="1274" t="s">
        <v>57</v>
      </c>
      <c r="K23" s="1271" t="s">
        <v>57</v>
      </c>
      <c r="L23" s="1274">
        <v>1</v>
      </c>
      <c r="M23" s="1271">
        <v>22</v>
      </c>
      <c r="N23" s="1274" t="s">
        <v>57</v>
      </c>
      <c r="O23" s="1271" t="s">
        <v>57</v>
      </c>
      <c r="P23" s="1272" t="s">
        <v>57</v>
      </c>
      <c r="Q23" s="1273" t="s">
        <v>57</v>
      </c>
      <c r="R23" s="1272">
        <f t="shared" si="1"/>
        <v>1</v>
      </c>
    </row>
    <row r="24" spans="1:19" ht="13.5" customHeight="1">
      <c r="A24" s="768"/>
      <c r="B24" s="1425" t="s">
        <v>1629</v>
      </c>
      <c r="C24" s="1427" t="s">
        <v>46</v>
      </c>
      <c r="D24" s="1416">
        <v>1</v>
      </c>
      <c r="E24" s="1418">
        <v>8</v>
      </c>
      <c r="F24" s="1415">
        <v>101</v>
      </c>
      <c r="G24" s="1417">
        <v>115</v>
      </c>
      <c r="H24" s="1417">
        <v>105</v>
      </c>
      <c r="I24" s="1417">
        <v>28228</v>
      </c>
      <c r="J24" s="1416" t="s">
        <v>57</v>
      </c>
      <c r="K24" s="1415" t="s">
        <v>57</v>
      </c>
      <c r="L24" s="1416" t="s">
        <v>57</v>
      </c>
      <c r="M24" s="1415" t="s">
        <v>57</v>
      </c>
      <c r="N24" s="1416" t="s">
        <v>57</v>
      </c>
      <c r="O24" s="1415" t="s">
        <v>57</v>
      </c>
      <c r="P24" s="1417">
        <v>1</v>
      </c>
      <c r="Q24" s="1418" t="s">
        <v>57</v>
      </c>
      <c r="R24" s="1417">
        <f>IF(SUM(J24,L25,N24,P24,Q24)=0,"-",SUM(J24,L25,N24,P24,Q24))</f>
        <v>1</v>
      </c>
    </row>
    <row r="25" spans="1:19" ht="24.75" customHeight="1">
      <c r="A25" s="768"/>
      <c r="B25" s="1426"/>
      <c r="C25" s="1427"/>
      <c r="D25" s="1416"/>
      <c r="E25" s="1418"/>
      <c r="F25" s="1415"/>
      <c r="G25" s="1417"/>
      <c r="H25" s="1417"/>
      <c r="I25" s="1417"/>
      <c r="J25" s="1416"/>
      <c r="K25" s="1415"/>
      <c r="L25" s="1416"/>
      <c r="M25" s="1415"/>
      <c r="N25" s="1416"/>
      <c r="O25" s="1415"/>
      <c r="P25" s="1417"/>
      <c r="Q25" s="1418"/>
      <c r="R25" s="1417"/>
    </row>
    <row r="26" spans="1:19" ht="38.25" customHeight="1">
      <c r="A26" s="768"/>
      <c r="B26" s="1281" t="s">
        <v>1628</v>
      </c>
      <c r="C26" s="769" t="s">
        <v>47</v>
      </c>
      <c r="D26" s="1274">
        <v>1</v>
      </c>
      <c r="E26" s="1273">
        <v>9</v>
      </c>
      <c r="F26" s="1271">
        <v>114</v>
      </c>
      <c r="G26" s="1321">
        <v>116</v>
      </c>
      <c r="H26" s="1272">
        <v>101</v>
      </c>
      <c r="I26" s="1272">
        <v>31749</v>
      </c>
      <c r="J26" s="1274" t="s">
        <v>57</v>
      </c>
      <c r="K26" s="1271" t="s">
        <v>57</v>
      </c>
      <c r="L26" s="1274" t="s">
        <v>57</v>
      </c>
      <c r="M26" s="1271" t="s">
        <v>57</v>
      </c>
      <c r="N26" s="1274" t="s">
        <v>57</v>
      </c>
      <c r="O26" s="1271" t="s">
        <v>57</v>
      </c>
      <c r="P26" s="1272">
        <v>2</v>
      </c>
      <c r="Q26" s="1273" t="s">
        <v>57</v>
      </c>
      <c r="R26" s="1272">
        <f t="shared" si="1"/>
        <v>2</v>
      </c>
    </row>
    <row r="27" spans="1:19" ht="13.5" customHeight="1">
      <c r="A27" s="1419" t="s">
        <v>1368</v>
      </c>
      <c r="B27" s="164">
        <v>7</v>
      </c>
      <c r="C27" s="764" t="s">
        <v>1216</v>
      </c>
      <c r="D27" s="294">
        <f>SUM(D28:D34)</f>
        <v>6</v>
      </c>
      <c r="E27" s="1267">
        <f t="shared" ref="E27:R27" si="3">SUM(E28:E34)</f>
        <v>49</v>
      </c>
      <c r="F27" s="1267">
        <f t="shared" si="3"/>
        <v>572</v>
      </c>
      <c r="G27" s="294">
        <f t="shared" si="3"/>
        <v>782</v>
      </c>
      <c r="H27" s="294">
        <f t="shared" si="3"/>
        <v>687</v>
      </c>
      <c r="I27" s="294">
        <f t="shared" si="3"/>
        <v>159363</v>
      </c>
      <c r="J27" s="294" t="s">
        <v>57</v>
      </c>
      <c r="K27" s="1280" t="s">
        <v>57</v>
      </c>
      <c r="L27" s="1267">
        <f t="shared" si="3"/>
        <v>1</v>
      </c>
      <c r="M27" s="1280">
        <f t="shared" si="3"/>
        <v>13</v>
      </c>
      <c r="N27" s="1267" t="s">
        <v>57</v>
      </c>
      <c r="O27" s="1280" t="s">
        <v>57</v>
      </c>
      <c r="P27" s="1267">
        <f>SUM(P28:P34)</f>
        <v>14</v>
      </c>
      <c r="Q27" s="294" t="s">
        <v>57</v>
      </c>
      <c r="R27" s="164">
        <f t="shared" si="3"/>
        <v>15</v>
      </c>
    </row>
    <row r="28" spans="1:19" ht="13.5" customHeight="1">
      <c r="A28" s="1420"/>
      <c r="B28" s="448" t="s">
        <v>1624</v>
      </c>
      <c r="C28" s="769" t="s">
        <v>36</v>
      </c>
      <c r="D28" s="1274">
        <v>1</v>
      </c>
      <c r="E28" s="1273">
        <v>13</v>
      </c>
      <c r="F28" s="1271">
        <v>137</v>
      </c>
      <c r="G28" s="1321">
        <v>211</v>
      </c>
      <c r="H28" s="1272">
        <v>198</v>
      </c>
      <c r="I28" s="1272">
        <v>40630</v>
      </c>
      <c r="J28" s="1274" t="s">
        <v>57</v>
      </c>
      <c r="K28" s="1271" t="s">
        <v>57</v>
      </c>
      <c r="L28" s="1274" t="s">
        <v>57</v>
      </c>
      <c r="M28" s="1271" t="s">
        <v>57</v>
      </c>
      <c r="N28" s="1274" t="s">
        <v>57</v>
      </c>
      <c r="O28" s="1271" t="s">
        <v>57</v>
      </c>
      <c r="P28" s="1272">
        <v>3</v>
      </c>
      <c r="Q28" s="1273" t="s">
        <v>57</v>
      </c>
      <c r="R28" s="1272">
        <f t="shared" ref="R28:R34" si="4">IF(SUM(J28,L28,N28,P28,Q28)=0,"-",SUM(J28,L28,N28,P28,Q28))</f>
        <v>3</v>
      </c>
    </row>
    <row r="29" spans="1:19" ht="13.5" customHeight="1">
      <c r="A29" s="768"/>
      <c r="B29" s="768" t="s">
        <v>37</v>
      </c>
      <c r="C29" s="769" t="s">
        <v>37</v>
      </c>
      <c r="D29" s="1274">
        <v>1</v>
      </c>
      <c r="E29" s="1273">
        <v>7</v>
      </c>
      <c r="F29" s="1271">
        <v>73</v>
      </c>
      <c r="G29" s="1321">
        <v>124</v>
      </c>
      <c r="H29" s="1272">
        <v>110</v>
      </c>
      <c r="I29" s="1272">
        <v>18728</v>
      </c>
      <c r="J29" s="1274" t="s">
        <v>57</v>
      </c>
      <c r="K29" s="1271" t="s">
        <v>57</v>
      </c>
      <c r="L29" s="1274" t="s">
        <v>57</v>
      </c>
      <c r="M29" s="1271" t="s">
        <v>57</v>
      </c>
      <c r="N29" s="1274" t="s">
        <v>57</v>
      </c>
      <c r="O29" s="1271" t="s">
        <v>57</v>
      </c>
      <c r="P29" s="1272">
        <v>3</v>
      </c>
      <c r="Q29" s="1273" t="s">
        <v>57</v>
      </c>
      <c r="R29" s="1272">
        <f t="shared" si="4"/>
        <v>3</v>
      </c>
    </row>
    <row r="30" spans="1:19" ht="25.5" customHeight="1">
      <c r="A30" s="768"/>
      <c r="B30" s="1276" t="s">
        <v>376</v>
      </c>
      <c r="C30" s="769" t="s">
        <v>38</v>
      </c>
      <c r="D30" s="1274">
        <v>1</v>
      </c>
      <c r="E30" s="1273">
        <v>10</v>
      </c>
      <c r="F30" s="1271">
        <v>136</v>
      </c>
      <c r="G30" s="1321">
        <v>135</v>
      </c>
      <c r="H30" s="1272">
        <v>118</v>
      </c>
      <c r="I30" s="1272">
        <v>36548</v>
      </c>
      <c r="J30" s="1274" t="s">
        <v>57</v>
      </c>
      <c r="K30" s="1271" t="s">
        <v>57</v>
      </c>
      <c r="L30" s="1274" t="s">
        <v>57</v>
      </c>
      <c r="M30" s="1271" t="s">
        <v>57</v>
      </c>
      <c r="N30" s="1274" t="s">
        <v>57</v>
      </c>
      <c r="O30" s="1271" t="s">
        <v>57</v>
      </c>
      <c r="P30" s="1272">
        <v>5</v>
      </c>
      <c r="Q30" s="1273" t="s">
        <v>57</v>
      </c>
      <c r="R30" s="1272">
        <f t="shared" si="4"/>
        <v>5</v>
      </c>
    </row>
    <row r="31" spans="1:19" ht="13.5" customHeight="1">
      <c r="A31" s="768"/>
      <c r="B31" s="1421" t="s">
        <v>1623</v>
      </c>
      <c r="C31" s="769" t="s">
        <v>40</v>
      </c>
      <c r="D31" s="1274">
        <v>1</v>
      </c>
      <c r="E31" s="1273">
        <v>7</v>
      </c>
      <c r="F31" s="1271">
        <v>89</v>
      </c>
      <c r="G31" s="1321">
        <v>102</v>
      </c>
      <c r="H31" s="1272">
        <v>79</v>
      </c>
      <c r="I31" s="1272">
        <v>22702</v>
      </c>
      <c r="J31" s="1274" t="s">
        <v>57</v>
      </c>
      <c r="K31" s="1271" t="s">
        <v>57</v>
      </c>
      <c r="L31" s="1274" t="s">
        <v>57</v>
      </c>
      <c r="M31" s="1271" t="s">
        <v>57</v>
      </c>
      <c r="N31" s="1274" t="s">
        <v>57</v>
      </c>
      <c r="O31" s="1271" t="s">
        <v>57</v>
      </c>
      <c r="P31" s="1272">
        <v>1</v>
      </c>
      <c r="Q31" s="1273" t="s">
        <v>57</v>
      </c>
      <c r="R31" s="1272">
        <f t="shared" si="4"/>
        <v>1</v>
      </c>
    </row>
    <row r="32" spans="1:19" ht="13.5" customHeight="1">
      <c r="A32" s="768"/>
      <c r="B32" s="1422"/>
      <c r="C32" s="769" t="s">
        <v>41</v>
      </c>
      <c r="D32" s="1274" t="s">
        <v>57</v>
      </c>
      <c r="E32" s="1273" t="s">
        <v>57</v>
      </c>
      <c r="F32" s="1271" t="s">
        <v>57</v>
      </c>
      <c r="G32" s="1321" t="s">
        <v>57</v>
      </c>
      <c r="H32" s="1272" t="s">
        <v>57</v>
      </c>
      <c r="I32" s="1272">
        <v>4792</v>
      </c>
      <c r="J32" s="1274" t="s">
        <v>57</v>
      </c>
      <c r="K32" s="1271" t="s">
        <v>57</v>
      </c>
      <c r="L32" s="1274">
        <v>1</v>
      </c>
      <c r="M32" s="1271">
        <v>13</v>
      </c>
      <c r="N32" s="1274" t="s">
        <v>57</v>
      </c>
      <c r="O32" s="1271" t="s">
        <v>57</v>
      </c>
      <c r="P32" s="1272" t="s">
        <v>57</v>
      </c>
      <c r="Q32" s="1273" t="s">
        <v>57</v>
      </c>
      <c r="R32" s="1272">
        <f t="shared" si="4"/>
        <v>1</v>
      </c>
    </row>
    <row r="33" spans="1:18">
      <c r="A33" s="768"/>
      <c r="B33" s="1281" t="s">
        <v>1625</v>
      </c>
      <c r="C33" s="769" t="s">
        <v>52</v>
      </c>
      <c r="D33" s="1274">
        <v>1</v>
      </c>
      <c r="E33" s="1273">
        <v>6</v>
      </c>
      <c r="F33" s="1271">
        <v>80</v>
      </c>
      <c r="G33" s="1321">
        <v>106</v>
      </c>
      <c r="H33" s="1272">
        <v>90</v>
      </c>
      <c r="I33" s="1272">
        <v>20847</v>
      </c>
      <c r="J33" s="1274" t="s">
        <v>57</v>
      </c>
      <c r="K33" s="1271" t="s">
        <v>57</v>
      </c>
      <c r="L33" s="1274" t="s">
        <v>57</v>
      </c>
      <c r="M33" s="1271" t="s">
        <v>57</v>
      </c>
      <c r="N33" s="1274" t="s">
        <v>57</v>
      </c>
      <c r="O33" s="1271" t="s">
        <v>57</v>
      </c>
      <c r="P33" s="1272">
        <v>1</v>
      </c>
      <c r="Q33" s="1273" t="s">
        <v>57</v>
      </c>
      <c r="R33" s="1272">
        <f t="shared" si="4"/>
        <v>1</v>
      </c>
    </row>
    <row r="34" spans="1:18" ht="13.5" customHeight="1">
      <c r="A34" s="768"/>
      <c r="B34" s="768" t="s">
        <v>39</v>
      </c>
      <c r="C34" s="769" t="s">
        <v>39</v>
      </c>
      <c r="D34" s="1274">
        <v>1</v>
      </c>
      <c r="E34" s="1273">
        <v>6</v>
      </c>
      <c r="F34" s="1271">
        <v>57</v>
      </c>
      <c r="G34" s="1321">
        <v>104</v>
      </c>
      <c r="H34" s="1272">
        <v>92</v>
      </c>
      <c r="I34" s="1272">
        <v>15116</v>
      </c>
      <c r="J34" s="1274" t="s">
        <v>57</v>
      </c>
      <c r="K34" s="1271" t="s">
        <v>57</v>
      </c>
      <c r="L34" s="1274" t="s">
        <v>57</v>
      </c>
      <c r="M34" s="1271" t="s">
        <v>57</v>
      </c>
      <c r="N34" s="1274" t="s">
        <v>57</v>
      </c>
      <c r="O34" s="1271" t="s">
        <v>57</v>
      </c>
      <c r="P34" s="1272">
        <v>1</v>
      </c>
      <c r="Q34" s="1273" t="s">
        <v>57</v>
      </c>
      <c r="R34" s="1272">
        <f t="shared" si="4"/>
        <v>1</v>
      </c>
    </row>
    <row r="35" spans="1:18" ht="15.75" customHeight="1">
      <c r="A35" s="771" t="s">
        <v>429</v>
      </c>
      <c r="B35" s="735">
        <v>22</v>
      </c>
      <c r="C35" s="1266" t="s">
        <v>1217</v>
      </c>
      <c r="D35" s="498">
        <f t="shared" ref="D35:I35" si="5">SUM(D27,D17,D8)</f>
        <v>20</v>
      </c>
      <c r="E35" s="498">
        <f t="shared" si="5"/>
        <v>170</v>
      </c>
      <c r="F35" s="498">
        <f t="shared" si="5"/>
        <v>1942</v>
      </c>
      <c r="G35" s="735">
        <f t="shared" si="5"/>
        <v>2683</v>
      </c>
      <c r="H35" s="735">
        <f t="shared" si="5"/>
        <v>2459</v>
      </c>
      <c r="I35" s="735">
        <f t="shared" si="5"/>
        <v>567824</v>
      </c>
      <c r="J35" s="1265" t="s">
        <v>57</v>
      </c>
      <c r="K35" s="498" t="s">
        <v>57</v>
      </c>
      <c r="L35" s="1265">
        <f>SUM(L27,L17,L8)</f>
        <v>3</v>
      </c>
      <c r="M35" s="498">
        <f>SUM(M27,M17,M8)</f>
        <v>47</v>
      </c>
      <c r="N35" s="1265" t="s">
        <v>57</v>
      </c>
      <c r="O35" s="498" t="s">
        <v>57</v>
      </c>
      <c r="P35" s="735">
        <f>SUM(P27,P17,P8)</f>
        <v>25</v>
      </c>
      <c r="Q35" s="1265" t="s">
        <v>57</v>
      </c>
      <c r="R35" s="735">
        <f>SUM(R27,R17,R8)</f>
        <v>28</v>
      </c>
    </row>
    <row r="36" spans="1:18">
      <c r="A36" s="540" t="s">
        <v>510</v>
      </c>
      <c r="K36" s="1268" t="s">
        <v>776</v>
      </c>
      <c r="L36" s="1414" t="s">
        <v>369</v>
      </c>
      <c r="M36" s="1414"/>
      <c r="N36" s="1414"/>
      <c r="O36" s="1414"/>
      <c r="P36" s="1414"/>
      <c r="Q36" s="1414"/>
      <c r="R36" s="1414"/>
    </row>
    <row r="37" spans="1:18">
      <c r="K37" s="1268" t="s">
        <v>782</v>
      </c>
      <c r="L37" s="689" t="s">
        <v>1404</v>
      </c>
      <c r="Q37" s="540"/>
      <c r="R37" s="540"/>
    </row>
    <row r="41" spans="1:18">
      <c r="L41" s="1268"/>
      <c r="M41" s="540"/>
    </row>
    <row r="43" spans="1:18">
      <c r="N43" s="540"/>
      <c r="O43" s="540"/>
    </row>
  </sheetData>
  <mergeCells count="43">
    <mergeCell ref="A1:R1"/>
    <mergeCell ref="A2:R2"/>
    <mergeCell ref="G3:J3"/>
    <mergeCell ref="A4:A6"/>
    <mergeCell ref="B4:B6"/>
    <mergeCell ref="C4:C6"/>
    <mergeCell ref="D4:F4"/>
    <mergeCell ref="G4:G5"/>
    <mergeCell ref="H4:H5"/>
    <mergeCell ref="I4:I5"/>
    <mergeCell ref="J4:R4"/>
    <mergeCell ref="D5:D6"/>
    <mergeCell ref="E5:E6"/>
    <mergeCell ref="F5:F6"/>
    <mergeCell ref="J5:K5"/>
    <mergeCell ref="L5:M5"/>
    <mergeCell ref="N5:O5"/>
    <mergeCell ref="P5:P6"/>
    <mergeCell ref="Q5:Q6"/>
    <mergeCell ref="R5:R6"/>
    <mergeCell ref="J24:J25"/>
    <mergeCell ref="A8:A9"/>
    <mergeCell ref="B14:B15"/>
    <mergeCell ref="A17:A18"/>
    <mergeCell ref="B24:B25"/>
    <mergeCell ref="C24:C25"/>
    <mergeCell ref="D24:D25"/>
    <mergeCell ref="Q24:Q25"/>
    <mergeCell ref="R24:R25"/>
    <mergeCell ref="A27:A28"/>
    <mergeCell ref="B31:B32"/>
    <mergeCell ref="E24:E25"/>
    <mergeCell ref="F24:F25"/>
    <mergeCell ref="G24:G25"/>
    <mergeCell ref="H24:H25"/>
    <mergeCell ref="I24:I25"/>
    <mergeCell ref="L36:R36"/>
    <mergeCell ref="K24:K25"/>
    <mergeCell ref="L24:L25"/>
    <mergeCell ref="M24:M25"/>
    <mergeCell ref="N24:N25"/>
    <mergeCell ref="O24:O25"/>
    <mergeCell ref="P24:P25"/>
  </mergeCells>
  <conditionalFormatting sqref="A1:XFD1048576">
    <cfRule type="cellIs" dxfId="12" priority="2" stopIfTrue="1" operator="equal">
      <formula>".."</formula>
    </cfRule>
  </conditionalFormatting>
  <conditionalFormatting sqref="G8:G34">
    <cfRule type="cellIs" dxfId="11" priority="1" stopIfTrue="1" operator="equal">
      <formula>".."</formula>
    </cfRule>
  </conditionalFormatting>
  <printOptions horizontalCentered="1" verticalCentered="1"/>
  <pageMargins left="0" right="0" top="0" bottom="0" header="0" footer="0"/>
  <pageSetup paperSize="9" orientation="landscape" blackAndWhite="1" r:id="rId1"/>
  <headerFooter alignWithMargins="0"/>
  <drawing r:id="rId2"/>
</worksheet>
</file>

<file path=xl/worksheets/sheet80.xml><?xml version="1.0" encoding="utf-8"?>
<worksheet xmlns="http://schemas.openxmlformats.org/spreadsheetml/2006/main" xmlns:r="http://schemas.openxmlformats.org/officeDocument/2006/relationships">
  <dimension ref="A1:U32"/>
  <sheetViews>
    <sheetView workbookViewId="0">
      <selection activeCell="L7" sqref="L7"/>
    </sheetView>
  </sheetViews>
  <sheetFormatPr defaultRowHeight="12.75"/>
  <cols>
    <col min="1" max="1" width="4.42578125" style="5" customWidth="1"/>
    <col min="2" max="2" width="14.5703125" style="5" customWidth="1"/>
    <col min="3" max="3" width="8.28515625" style="5" customWidth="1"/>
    <col min="4" max="4" width="4.7109375" style="5" customWidth="1"/>
    <col min="5" max="5" width="8.28515625" style="5" customWidth="1"/>
    <col min="6" max="6" width="6.42578125" style="5" customWidth="1"/>
    <col min="7" max="7" width="8.28515625" style="5" customWidth="1"/>
    <col min="8" max="8" width="4.7109375" style="5" customWidth="1"/>
    <col min="9" max="9" width="8.28515625" style="5" customWidth="1"/>
    <col min="10" max="10" width="4.7109375" style="5" customWidth="1"/>
    <col min="11" max="11" width="8.28515625" style="5" customWidth="1"/>
    <col min="12" max="12" width="4.7109375" style="5" customWidth="1"/>
    <col min="13" max="13" width="8.28515625" style="5" customWidth="1"/>
    <col min="14" max="14" width="4.7109375" style="5" customWidth="1"/>
    <col min="15" max="15" width="8.28515625" style="5" customWidth="1"/>
    <col min="16" max="16" width="7.140625" style="5" customWidth="1"/>
    <col min="17" max="17" width="8.28515625" style="5" customWidth="1"/>
    <col min="18" max="18" width="5.7109375" style="5" customWidth="1"/>
    <col min="19" max="16384" width="9.140625" style="5"/>
  </cols>
  <sheetData>
    <row r="1" spans="1:21" ht="14.25" customHeight="1">
      <c r="A1" s="1658" t="s">
        <v>871</v>
      </c>
      <c r="B1" s="1658"/>
      <c r="C1" s="1658"/>
      <c r="D1" s="1658"/>
      <c r="E1" s="1658"/>
      <c r="F1" s="1658"/>
      <c r="G1" s="1658"/>
      <c r="H1" s="1658"/>
      <c r="I1" s="1658"/>
      <c r="J1" s="1658"/>
      <c r="K1" s="1658"/>
      <c r="L1" s="1658"/>
      <c r="M1" s="1658"/>
      <c r="N1" s="1658"/>
      <c r="O1" s="1658"/>
      <c r="P1" s="1658"/>
      <c r="Q1" s="1658"/>
    </row>
    <row r="2" spans="1:21" s="137" customFormat="1" ht="18" customHeight="1">
      <c r="A2" s="1660" t="str">
        <f>CONCATENATE("Source of Irrigation and Area Irrigated by different sources in the Blocks of ",District!$A$1," for the year ",District!F3)</f>
        <v>Source of Irrigation and Area Irrigated by different sources in the Blocks of Purulia for the year 2013-14</v>
      </c>
      <c r="B2" s="1660"/>
      <c r="C2" s="1660"/>
      <c r="D2" s="1660"/>
      <c r="E2" s="1660"/>
      <c r="F2" s="1660"/>
      <c r="G2" s="1660"/>
      <c r="H2" s="1660"/>
      <c r="I2" s="1660"/>
      <c r="J2" s="1660"/>
      <c r="K2" s="1660"/>
      <c r="L2" s="1660"/>
      <c r="M2" s="1660"/>
      <c r="N2" s="1660"/>
      <c r="O2" s="1660"/>
      <c r="P2" s="1660"/>
      <c r="Q2" s="1660"/>
    </row>
    <row r="3" spans="1:21" ht="10.5" customHeight="1">
      <c r="B3" s="13"/>
      <c r="C3" s="13"/>
      <c r="D3" s="13"/>
      <c r="E3" s="13"/>
      <c r="F3" s="13"/>
      <c r="G3" s="13"/>
      <c r="H3" s="13"/>
      <c r="I3" s="13"/>
      <c r="J3" s="13"/>
      <c r="K3" s="13"/>
      <c r="L3" s="13"/>
      <c r="M3" s="13"/>
      <c r="N3" s="13"/>
      <c r="O3" s="13"/>
      <c r="P3" s="449"/>
      <c r="Q3" s="320" t="s">
        <v>1432</v>
      </c>
    </row>
    <row r="4" spans="1:21" ht="17.100000000000001" customHeight="1">
      <c r="A4" s="150" t="s">
        <v>295</v>
      </c>
      <c r="B4" s="1668" t="s">
        <v>293</v>
      </c>
      <c r="C4" s="298" t="s">
        <v>353</v>
      </c>
      <c r="D4" s="1663" t="s">
        <v>1596</v>
      </c>
      <c r="E4" s="1667"/>
      <c r="F4" s="1671" t="s">
        <v>476</v>
      </c>
      <c r="G4" s="1671"/>
      <c r="H4" s="1663" t="s">
        <v>477</v>
      </c>
      <c r="I4" s="1667"/>
      <c r="J4" s="1671" t="s">
        <v>1601</v>
      </c>
      <c r="K4" s="1671"/>
      <c r="L4" s="1663" t="s">
        <v>478</v>
      </c>
      <c r="M4" s="1667"/>
      <c r="N4" s="1671" t="s">
        <v>1162</v>
      </c>
      <c r="O4" s="1671"/>
      <c r="P4" s="1663" t="s">
        <v>1035</v>
      </c>
      <c r="Q4" s="1667"/>
    </row>
    <row r="5" spans="1:21" ht="17.100000000000001" customHeight="1">
      <c r="A5" s="88" t="s">
        <v>1059</v>
      </c>
      <c r="B5" s="1829"/>
      <c r="C5" s="300" t="s">
        <v>354</v>
      </c>
      <c r="D5" s="297" t="s">
        <v>1059</v>
      </c>
      <c r="E5" s="96" t="s">
        <v>354</v>
      </c>
      <c r="F5" s="242" t="s">
        <v>1059</v>
      </c>
      <c r="G5" s="242" t="s">
        <v>354</v>
      </c>
      <c r="H5" s="243" t="s">
        <v>1059</v>
      </c>
      <c r="I5" s="96" t="s">
        <v>354</v>
      </c>
      <c r="J5" s="242" t="s">
        <v>1059</v>
      </c>
      <c r="K5" s="242" t="s">
        <v>354</v>
      </c>
      <c r="L5" s="243" t="s">
        <v>1059</v>
      </c>
      <c r="M5" s="96" t="s">
        <v>354</v>
      </c>
      <c r="N5" s="242" t="s">
        <v>1059</v>
      </c>
      <c r="O5" s="242" t="s">
        <v>354</v>
      </c>
      <c r="P5" s="243" t="s">
        <v>1059</v>
      </c>
      <c r="Q5" s="96" t="s">
        <v>354</v>
      </c>
    </row>
    <row r="6" spans="1:21" ht="17.100000000000001" customHeight="1">
      <c r="A6" s="326" t="s">
        <v>1008</v>
      </c>
      <c r="B6" s="293" t="s">
        <v>1009</v>
      </c>
      <c r="C6" s="450" t="s">
        <v>1010</v>
      </c>
      <c r="D6" s="326" t="s">
        <v>1011</v>
      </c>
      <c r="E6" s="327" t="s">
        <v>1015</v>
      </c>
      <c r="F6" s="331" t="s">
        <v>1016</v>
      </c>
      <c r="G6" s="331" t="s">
        <v>1017</v>
      </c>
      <c r="H6" s="326" t="s">
        <v>1039</v>
      </c>
      <c r="I6" s="327" t="s">
        <v>1040</v>
      </c>
      <c r="J6" s="331" t="s">
        <v>1041</v>
      </c>
      <c r="K6" s="331" t="s">
        <v>1042</v>
      </c>
      <c r="L6" s="326" t="s">
        <v>1076</v>
      </c>
      <c r="M6" s="327" t="s">
        <v>1077</v>
      </c>
      <c r="N6" s="331" t="s">
        <v>1078</v>
      </c>
      <c r="O6" s="331" t="s">
        <v>1079</v>
      </c>
      <c r="P6" s="679" t="s">
        <v>1080</v>
      </c>
      <c r="Q6" s="399" t="s">
        <v>1081</v>
      </c>
    </row>
    <row r="7" spans="1:21" ht="17.100000000000001" customHeight="1">
      <c r="A7" s="413">
        <v>1</v>
      </c>
      <c r="B7" s="344" t="s">
        <v>26</v>
      </c>
      <c r="C7" s="1286">
        <v>10984.2</v>
      </c>
      <c r="D7" s="139">
        <v>881</v>
      </c>
      <c r="E7" s="140">
        <v>3763.71</v>
      </c>
      <c r="F7" s="605" t="s">
        <v>57</v>
      </c>
      <c r="G7" s="677" t="s">
        <v>57</v>
      </c>
      <c r="H7" s="605" t="s">
        <v>57</v>
      </c>
      <c r="I7" s="678" t="s">
        <v>57</v>
      </c>
      <c r="J7" s="131">
        <v>7</v>
      </c>
      <c r="K7" s="131">
        <v>10.57</v>
      </c>
      <c r="L7" s="125">
        <v>239</v>
      </c>
      <c r="M7" s="589">
        <v>192.2</v>
      </c>
      <c r="N7" s="131">
        <v>19</v>
      </c>
      <c r="O7" s="703">
        <v>599.29999999999995</v>
      </c>
      <c r="P7" s="432">
        <f>SUM(D7,F7,H7,J7,L7,N7)</f>
        <v>1146</v>
      </c>
      <c r="Q7" s="1285">
        <f>SUM(C7,E7,G7,I7,K7,M7,O7)</f>
        <v>15549.98</v>
      </c>
    </row>
    <row r="8" spans="1:21" ht="17.100000000000001" customHeight="1">
      <c r="A8" s="413">
        <v>2</v>
      </c>
      <c r="B8" s="344" t="s">
        <v>27</v>
      </c>
      <c r="C8" s="1286">
        <v>5627</v>
      </c>
      <c r="D8" s="141">
        <v>88</v>
      </c>
      <c r="E8" s="140">
        <v>1366.75</v>
      </c>
      <c r="F8" s="1253" t="s">
        <v>57</v>
      </c>
      <c r="G8" s="308" t="s">
        <v>57</v>
      </c>
      <c r="H8" s="1253" t="s">
        <v>57</v>
      </c>
      <c r="I8" s="140" t="s">
        <v>57</v>
      </c>
      <c r="J8" s="131">
        <v>6</v>
      </c>
      <c r="K8" s="131">
        <v>47.92</v>
      </c>
      <c r="L8" s="125">
        <v>129</v>
      </c>
      <c r="M8" s="589">
        <v>103.8</v>
      </c>
      <c r="N8" s="131">
        <v>41</v>
      </c>
      <c r="O8" s="703">
        <v>646.20000000000005</v>
      </c>
      <c r="P8" s="434">
        <f>SUM(D8,F8,H8,J8,L8,N8)</f>
        <v>264</v>
      </c>
      <c r="Q8" s="1251">
        <f>SUM(C8,E8,G8,I8,K8,M8,O8)</f>
        <v>7791.67</v>
      </c>
    </row>
    <row r="9" spans="1:21" ht="17.100000000000001" customHeight="1">
      <c r="A9" s="413">
        <v>3</v>
      </c>
      <c r="B9" s="344" t="s">
        <v>53</v>
      </c>
      <c r="C9" s="138">
        <v>3393.69</v>
      </c>
      <c r="D9" s="141">
        <v>130</v>
      </c>
      <c r="E9" s="140">
        <v>3736.67</v>
      </c>
      <c r="F9" s="1253" t="s">
        <v>57</v>
      </c>
      <c r="G9" s="308" t="s">
        <v>57</v>
      </c>
      <c r="H9" s="1253" t="s">
        <v>57</v>
      </c>
      <c r="I9" s="140" t="s">
        <v>57</v>
      </c>
      <c r="J9" s="131">
        <v>4</v>
      </c>
      <c r="K9" s="131">
        <v>61.57</v>
      </c>
      <c r="L9" s="125">
        <v>124</v>
      </c>
      <c r="M9" s="589">
        <v>99.8</v>
      </c>
      <c r="N9" s="131">
        <v>26</v>
      </c>
      <c r="O9" s="703">
        <v>300</v>
      </c>
      <c r="P9" s="434">
        <f t="shared" ref="P9:P26" si="0">SUM(D9,F9,H9,J9,L9,N9)</f>
        <v>284</v>
      </c>
      <c r="Q9" s="1251">
        <f t="shared" ref="Q9:Q26" si="1">SUM(C9,E9,G9,I9,K9,M9,O9)</f>
        <v>7591.7300000000005</v>
      </c>
      <c r="U9" s="1258"/>
    </row>
    <row r="10" spans="1:21" ht="17.100000000000001" customHeight="1">
      <c r="A10" s="413">
        <v>4</v>
      </c>
      <c r="B10" s="344" t="s">
        <v>28</v>
      </c>
      <c r="C10" s="138">
        <v>6927.81</v>
      </c>
      <c r="D10" s="141">
        <v>638</v>
      </c>
      <c r="E10" s="140">
        <v>1419.05</v>
      </c>
      <c r="F10" s="1253" t="s">
        <v>57</v>
      </c>
      <c r="G10" s="308" t="s">
        <v>57</v>
      </c>
      <c r="H10" s="1253" t="s">
        <v>57</v>
      </c>
      <c r="I10" s="140" t="s">
        <v>57</v>
      </c>
      <c r="J10" s="131">
        <v>12</v>
      </c>
      <c r="K10" s="131">
        <v>112.86</v>
      </c>
      <c r="L10" s="125">
        <v>186</v>
      </c>
      <c r="M10" s="589">
        <v>149.19999999999999</v>
      </c>
      <c r="N10" s="131">
        <v>62</v>
      </c>
      <c r="O10" s="703">
        <v>302.89999999999998</v>
      </c>
      <c r="P10" s="434">
        <f t="shared" si="0"/>
        <v>898</v>
      </c>
      <c r="Q10" s="1251">
        <f t="shared" si="1"/>
        <v>8911.8200000000015</v>
      </c>
    </row>
    <row r="11" spans="1:21" ht="17.100000000000001" customHeight="1">
      <c r="A11" s="413">
        <v>5</v>
      </c>
      <c r="B11" s="344" t="s">
        <v>72</v>
      </c>
      <c r="C11" s="1286">
        <v>600</v>
      </c>
      <c r="D11" s="141">
        <v>1568</v>
      </c>
      <c r="E11" s="140">
        <v>2866.6</v>
      </c>
      <c r="F11" s="1253" t="s">
        <v>57</v>
      </c>
      <c r="G11" s="308" t="s">
        <v>57</v>
      </c>
      <c r="H11" s="1253" t="s">
        <v>57</v>
      </c>
      <c r="I11" s="140" t="s">
        <v>57</v>
      </c>
      <c r="J11" s="131">
        <v>3</v>
      </c>
      <c r="K11" s="131">
        <v>66.38</v>
      </c>
      <c r="L11" s="125">
        <v>154</v>
      </c>
      <c r="M11" s="589">
        <v>124.2</v>
      </c>
      <c r="N11" s="131">
        <v>110</v>
      </c>
      <c r="O11" s="703">
        <v>715.8</v>
      </c>
      <c r="P11" s="434">
        <f t="shared" si="0"/>
        <v>1835</v>
      </c>
      <c r="Q11" s="1251">
        <f t="shared" si="1"/>
        <v>4372.9799999999996</v>
      </c>
    </row>
    <row r="12" spans="1:21" ht="17.100000000000001" customHeight="1">
      <c r="A12" s="413">
        <v>6</v>
      </c>
      <c r="B12" s="344" t="s">
        <v>48</v>
      </c>
      <c r="C12" s="1286">
        <v>2585</v>
      </c>
      <c r="D12" s="141">
        <v>386</v>
      </c>
      <c r="E12" s="140">
        <v>7491.95</v>
      </c>
      <c r="F12" s="1253" t="s">
        <v>57</v>
      </c>
      <c r="G12" s="308" t="s">
        <v>57</v>
      </c>
      <c r="H12" s="1253" t="s">
        <v>57</v>
      </c>
      <c r="I12" s="140" t="s">
        <v>57</v>
      </c>
      <c r="J12" s="131">
        <v>13</v>
      </c>
      <c r="K12" s="131">
        <v>59.55</v>
      </c>
      <c r="L12" s="125">
        <v>156</v>
      </c>
      <c r="M12" s="589">
        <v>126</v>
      </c>
      <c r="N12" s="131">
        <v>89</v>
      </c>
      <c r="O12" s="703">
        <v>970.1</v>
      </c>
      <c r="P12" s="434">
        <f t="shared" si="0"/>
        <v>644</v>
      </c>
      <c r="Q12" s="589">
        <f t="shared" si="1"/>
        <v>11232.6</v>
      </c>
    </row>
    <row r="13" spans="1:21" ht="17.100000000000001" customHeight="1">
      <c r="A13" s="413">
        <v>7</v>
      </c>
      <c r="B13" s="344" t="s">
        <v>54</v>
      </c>
      <c r="C13" s="1286">
        <v>3832</v>
      </c>
      <c r="D13" s="141">
        <v>416</v>
      </c>
      <c r="E13" s="140">
        <v>7228.65</v>
      </c>
      <c r="F13" s="1253" t="s">
        <v>57</v>
      </c>
      <c r="G13" s="308" t="s">
        <v>57</v>
      </c>
      <c r="H13" s="1253" t="s">
        <v>57</v>
      </c>
      <c r="I13" s="140" t="s">
        <v>57</v>
      </c>
      <c r="J13" s="131">
        <v>3</v>
      </c>
      <c r="K13" s="131">
        <v>42.21</v>
      </c>
      <c r="L13" s="125">
        <v>250</v>
      </c>
      <c r="M13" s="589">
        <v>201.8</v>
      </c>
      <c r="N13" s="131">
        <v>102</v>
      </c>
      <c r="O13" s="703">
        <v>552.20000000000005</v>
      </c>
      <c r="P13" s="434">
        <f t="shared" si="0"/>
        <v>771</v>
      </c>
      <c r="Q13" s="1251">
        <f t="shared" si="1"/>
        <v>11856.859999999999</v>
      </c>
    </row>
    <row r="14" spans="1:21" ht="17.100000000000001" customHeight="1">
      <c r="A14" s="413">
        <v>8</v>
      </c>
      <c r="B14" s="344" t="s">
        <v>33</v>
      </c>
      <c r="C14" s="1286">
        <v>1694</v>
      </c>
      <c r="D14" s="141">
        <v>376</v>
      </c>
      <c r="E14" s="140">
        <v>4833.8999999999996</v>
      </c>
      <c r="F14" s="1253" t="s">
        <v>57</v>
      </c>
      <c r="G14" s="308" t="s">
        <v>57</v>
      </c>
      <c r="H14" s="1253" t="s">
        <v>57</v>
      </c>
      <c r="I14" s="140" t="s">
        <v>57</v>
      </c>
      <c r="J14" s="131">
        <v>8</v>
      </c>
      <c r="K14" s="131">
        <v>58.84</v>
      </c>
      <c r="L14" s="125">
        <v>153</v>
      </c>
      <c r="M14" s="589">
        <v>122.8</v>
      </c>
      <c r="N14" s="131">
        <v>30</v>
      </c>
      <c r="O14" s="703">
        <v>624.6</v>
      </c>
      <c r="P14" s="434">
        <f t="shared" si="0"/>
        <v>567</v>
      </c>
      <c r="Q14" s="1251">
        <f t="shared" si="1"/>
        <v>7334.14</v>
      </c>
    </row>
    <row r="15" spans="1:21" ht="17.100000000000001" customHeight="1">
      <c r="A15" s="413">
        <v>9</v>
      </c>
      <c r="B15" s="344" t="s">
        <v>34</v>
      </c>
      <c r="C15" s="1286">
        <v>1198</v>
      </c>
      <c r="D15" s="141">
        <v>663</v>
      </c>
      <c r="E15" s="140">
        <v>8397.9699999999993</v>
      </c>
      <c r="F15" s="1253" t="s">
        <v>57</v>
      </c>
      <c r="G15" s="308" t="s">
        <v>57</v>
      </c>
      <c r="H15" s="1253" t="s">
        <v>57</v>
      </c>
      <c r="I15" s="140" t="s">
        <v>57</v>
      </c>
      <c r="J15" s="131">
        <v>4</v>
      </c>
      <c r="K15" s="131">
        <v>11.21</v>
      </c>
      <c r="L15" s="125">
        <v>230</v>
      </c>
      <c r="M15" s="589">
        <v>185.4</v>
      </c>
      <c r="N15" s="131">
        <v>82</v>
      </c>
      <c r="O15" s="703">
        <v>3368.1</v>
      </c>
      <c r="P15" s="434">
        <f t="shared" si="0"/>
        <v>979</v>
      </c>
      <c r="Q15" s="589">
        <f t="shared" si="1"/>
        <v>13160.679999999998</v>
      </c>
    </row>
    <row r="16" spans="1:21" ht="17.100000000000001" customHeight="1">
      <c r="A16" s="413">
        <v>10</v>
      </c>
      <c r="B16" s="344" t="s">
        <v>55</v>
      </c>
      <c r="C16" s="1286" t="s">
        <v>57</v>
      </c>
      <c r="D16" s="141">
        <v>644</v>
      </c>
      <c r="E16" s="140">
        <v>6570.42</v>
      </c>
      <c r="F16" s="1253" t="s">
        <v>57</v>
      </c>
      <c r="G16" s="308" t="s">
        <v>57</v>
      </c>
      <c r="H16" s="1253" t="s">
        <v>57</v>
      </c>
      <c r="I16" s="140" t="s">
        <v>57</v>
      </c>
      <c r="J16" s="131">
        <v>10</v>
      </c>
      <c r="K16" s="131">
        <v>40.92</v>
      </c>
      <c r="L16" s="125">
        <v>266</v>
      </c>
      <c r="M16" s="589">
        <v>213.6</v>
      </c>
      <c r="N16" s="131">
        <v>12</v>
      </c>
      <c r="O16" s="703">
        <v>651</v>
      </c>
      <c r="P16" s="434">
        <f t="shared" si="0"/>
        <v>932</v>
      </c>
      <c r="Q16" s="1251">
        <f t="shared" si="1"/>
        <v>7475.9400000000005</v>
      </c>
    </row>
    <row r="17" spans="1:17" ht="17.100000000000001" customHeight="1">
      <c r="A17" s="413">
        <v>11</v>
      </c>
      <c r="B17" s="344" t="s">
        <v>56</v>
      </c>
      <c r="C17" s="1286">
        <v>1909</v>
      </c>
      <c r="D17" s="141">
        <v>471</v>
      </c>
      <c r="E17" s="140">
        <v>1322.12</v>
      </c>
      <c r="F17" s="1253" t="s">
        <v>57</v>
      </c>
      <c r="G17" s="308" t="s">
        <v>57</v>
      </c>
      <c r="H17" s="1253" t="s">
        <v>57</v>
      </c>
      <c r="I17" s="140" t="s">
        <v>57</v>
      </c>
      <c r="J17" s="131">
        <v>5</v>
      </c>
      <c r="K17" s="131">
        <v>67.38</v>
      </c>
      <c r="L17" s="125">
        <v>149</v>
      </c>
      <c r="M17" s="589">
        <v>119.8</v>
      </c>
      <c r="N17" s="131">
        <v>54</v>
      </c>
      <c r="O17" s="703">
        <v>787.3</v>
      </c>
      <c r="P17" s="434">
        <f t="shared" si="0"/>
        <v>679</v>
      </c>
      <c r="Q17" s="1251">
        <f t="shared" si="1"/>
        <v>4205.6000000000004</v>
      </c>
    </row>
    <row r="18" spans="1:17" ht="17.100000000000001" customHeight="1">
      <c r="A18" s="413">
        <v>12</v>
      </c>
      <c r="B18" s="344" t="s">
        <v>45</v>
      </c>
      <c r="C18" s="1286" t="s">
        <v>57</v>
      </c>
      <c r="D18" s="141">
        <v>652</v>
      </c>
      <c r="E18" s="140">
        <v>6342.35</v>
      </c>
      <c r="F18" s="1253" t="s">
        <v>57</v>
      </c>
      <c r="G18" s="308" t="s">
        <v>57</v>
      </c>
      <c r="H18" s="1253" t="s">
        <v>57</v>
      </c>
      <c r="I18" s="140" t="s">
        <v>57</v>
      </c>
      <c r="J18" s="131">
        <v>9</v>
      </c>
      <c r="K18" s="703">
        <v>70.599999999999994</v>
      </c>
      <c r="L18" s="125">
        <v>267</v>
      </c>
      <c r="M18" s="589">
        <v>214.2</v>
      </c>
      <c r="N18" s="131">
        <v>9</v>
      </c>
      <c r="O18" s="703">
        <v>565</v>
      </c>
      <c r="P18" s="434">
        <f t="shared" si="0"/>
        <v>937</v>
      </c>
      <c r="Q18" s="1251">
        <f t="shared" si="1"/>
        <v>7192.1500000000005</v>
      </c>
    </row>
    <row r="19" spans="1:17" ht="17.100000000000001" customHeight="1">
      <c r="A19" s="413">
        <v>13</v>
      </c>
      <c r="B19" s="344" t="s">
        <v>46</v>
      </c>
      <c r="C19" s="1286">
        <v>170</v>
      </c>
      <c r="D19" s="141">
        <v>295</v>
      </c>
      <c r="E19" s="140">
        <v>4606.47</v>
      </c>
      <c r="F19" s="1253" t="s">
        <v>57</v>
      </c>
      <c r="G19" s="308" t="s">
        <v>57</v>
      </c>
      <c r="H19" s="1253" t="s">
        <v>57</v>
      </c>
      <c r="I19" s="140" t="s">
        <v>57</v>
      </c>
      <c r="J19" s="131">
        <v>7</v>
      </c>
      <c r="K19" s="131">
        <v>27.91</v>
      </c>
      <c r="L19" s="125">
        <v>222</v>
      </c>
      <c r="M19" s="589">
        <v>179</v>
      </c>
      <c r="N19" s="131">
        <v>28</v>
      </c>
      <c r="O19" s="703">
        <v>574</v>
      </c>
      <c r="P19" s="434">
        <f t="shared" si="0"/>
        <v>552</v>
      </c>
      <c r="Q19" s="1251">
        <f t="shared" si="1"/>
        <v>5557.38</v>
      </c>
    </row>
    <row r="20" spans="1:17" ht="17.100000000000001" customHeight="1">
      <c r="A20" s="413">
        <v>14</v>
      </c>
      <c r="B20" s="344" t="s">
        <v>47</v>
      </c>
      <c r="C20" s="1286">
        <v>2378</v>
      </c>
      <c r="D20" s="125">
        <v>756</v>
      </c>
      <c r="E20" s="589">
        <v>4141.91</v>
      </c>
      <c r="F20" s="1253" t="s">
        <v>57</v>
      </c>
      <c r="G20" s="308" t="s">
        <v>57</v>
      </c>
      <c r="H20" s="1253" t="s">
        <v>57</v>
      </c>
      <c r="I20" s="140" t="s">
        <v>57</v>
      </c>
      <c r="J20" s="131">
        <v>8</v>
      </c>
      <c r="K20" s="131">
        <v>49.66</v>
      </c>
      <c r="L20" s="125">
        <v>233</v>
      </c>
      <c r="M20" s="589">
        <v>186.8</v>
      </c>
      <c r="N20" s="131">
        <v>46</v>
      </c>
      <c r="O20" s="703">
        <v>465</v>
      </c>
      <c r="P20" s="434">
        <f t="shared" si="0"/>
        <v>1043</v>
      </c>
      <c r="Q20" s="1251">
        <f t="shared" si="1"/>
        <v>7221.37</v>
      </c>
    </row>
    <row r="21" spans="1:17" ht="17.100000000000001" customHeight="1">
      <c r="A21" s="413">
        <v>15</v>
      </c>
      <c r="B21" s="344" t="s">
        <v>36</v>
      </c>
      <c r="C21" s="1286">
        <v>2367.4</v>
      </c>
      <c r="D21" s="141">
        <v>136</v>
      </c>
      <c r="E21" s="140">
        <v>4435.92</v>
      </c>
      <c r="F21" s="1253" t="s">
        <v>57</v>
      </c>
      <c r="G21" s="308" t="s">
        <v>57</v>
      </c>
      <c r="H21" s="1253" t="s">
        <v>57</v>
      </c>
      <c r="I21" s="140" t="s">
        <v>57</v>
      </c>
      <c r="J21" s="138">
        <v>14</v>
      </c>
      <c r="K21" s="138">
        <v>44.68</v>
      </c>
      <c r="L21" s="141">
        <v>284</v>
      </c>
      <c r="M21" s="1288">
        <v>228.6</v>
      </c>
      <c r="N21" s="138">
        <v>46</v>
      </c>
      <c r="O21" s="1286">
        <v>1924.7</v>
      </c>
      <c r="P21" s="434">
        <f t="shared" si="0"/>
        <v>480</v>
      </c>
      <c r="Q21" s="589">
        <f t="shared" si="1"/>
        <v>9001.3000000000011</v>
      </c>
    </row>
    <row r="22" spans="1:17" ht="17.100000000000001" customHeight="1">
      <c r="A22" s="413">
        <v>16</v>
      </c>
      <c r="B22" s="344" t="s">
        <v>37</v>
      </c>
      <c r="C22" s="1286" t="s">
        <v>57</v>
      </c>
      <c r="D22" s="141">
        <v>487</v>
      </c>
      <c r="E22" s="140">
        <v>3303.99</v>
      </c>
      <c r="F22" s="1253" t="s">
        <v>57</v>
      </c>
      <c r="G22" s="308" t="s">
        <v>57</v>
      </c>
      <c r="H22" s="1253" t="s">
        <v>57</v>
      </c>
      <c r="I22" s="140" t="s">
        <v>57</v>
      </c>
      <c r="J22" s="138">
        <v>4</v>
      </c>
      <c r="K22" s="138">
        <v>13.64</v>
      </c>
      <c r="L22" s="141">
        <v>145</v>
      </c>
      <c r="M22" s="1288">
        <v>116.2</v>
      </c>
      <c r="N22" s="138">
        <v>22</v>
      </c>
      <c r="O22" s="1286">
        <v>372</v>
      </c>
      <c r="P22" s="434">
        <f t="shared" si="0"/>
        <v>658</v>
      </c>
      <c r="Q22" s="1251">
        <f t="shared" si="1"/>
        <v>3805.8299999999995</v>
      </c>
    </row>
    <row r="23" spans="1:17" ht="17.100000000000001" customHeight="1">
      <c r="A23" s="413">
        <v>17</v>
      </c>
      <c r="B23" s="344" t="s">
        <v>38</v>
      </c>
      <c r="C23" s="1286">
        <v>2792</v>
      </c>
      <c r="D23" s="141">
        <v>379</v>
      </c>
      <c r="E23" s="140">
        <v>6132.63</v>
      </c>
      <c r="F23" s="1253" t="s">
        <v>57</v>
      </c>
      <c r="G23" s="308" t="s">
        <v>57</v>
      </c>
      <c r="H23" s="1253" t="s">
        <v>57</v>
      </c>
      <c r="I23" s="140" t="s">
        <v>57</v>
      </c>
      <c r="J23" s="131">
        <v>6</v>
      </c>
      <c r="K23" s="131" t="s">
        <v>57</v>
      </c>
      <c r="L23" s="125">
        <v>341</v>
      </c>
      <c r="M23" s="589">
        <v>235</v>
      </c>
      <c r="N23" s="131">
        <v>25</v>
      </c>
      <c r="O23" s="703">
        <v>635</v>
      </c>
      <c r="P23" s="434">
        <f t="shared" si="0"/>
        <v>751</v>
      </c>
      <c r="Q23" s="1251">
        <f t="shared" si="1"/>
        <v>9794.630000000001</v>
      </c>
    </row>
    <row r="24" spans="1:17" ht="17.100000000000001" customHeight="1">
      <c r="A24" s="413">
        <v>18</v>
      </c>
      <c r="B24" s="337" t="s">
        <v>40</v>
      </c>
      <c r="C24" s="703" t="s">
        <v>57</v>
      </c>
      <c r="D24" s="125">
        <v>376</v>
      </c>
      <c r="E24" s="124">
        <v>7749.54</v>
      </c>
      <c r="F24" s="1253" t="s">
        <v>57</v>
      </c>
      <c r="G24" s="308" t="s">
        <v>57</v>
      </c>
      <c r="H24" s="1253" t="s">
        <v>57</v>
      </c>
      <c r="I24" s="140" t="s">
        <v>57</v>
      </c>
      <c r="J24" s="138">
        <v>4</v>
      </c>
      <c r="K24" s="1286">
        <v>47</v>
      </c>
      <c r="L24" s="141">
        <v>304</v>
      </c>
      <c r="M24" s="1288">
        <v>243.2</v>
      </c>
      <c r="N24" s="138">
        <v>27</v>
      </c>
      <c r="O24" s="1286">
        <v>1035.5</v>
      </c>
      <c r="P24" s="434">
        <f t="shared" si="0"/>
        <v>711</v>
      </c>
      <c r="Q24" s="1251">
        <f t="shared" si="1"/>
        <v>9075.24</v>
      </c>
    </row>
    <row r="25" spans="1:17" ht="17.100000000000001" customHeight="1">
      <c r="A25" s="431">
        <v>19</v>
      </c>
      <c r="B25" s="337" t="s">
        <v>52</v>
      </c>
      <c r="C25" s="703">
        <v>1547</v>
      </c>
      <c r="D25" s="125">
        <v>185</v>
      </c>
      <c r="E25" s="124">
        <v>1303.94</v>
      </c>
      <c r="F25" s="1253" t="s">
        <v>57</v>
      </c>
      <c r="G25" s="308" t="s">
        <v>57</v>
      </c>
      <c r="H25" s="1253" t="s">
        <v>57</v>
      </c>
      <c r="I25" s="140" t="s">
        <v>57</v>
      </c>
      <c r="J25" s="138">
        <v>4</v>
      </c>
      <c r="K25" s="138">
        <v>18.89</v>
      </c>
      <c r="L25" s="141">
        <v>282</v>
      </c>
      <c r="M25" s="1288">
        <v>225.6</v>
      </c>
      <c r="N25" s="138">
        <v>15</v>
      </c>
      <c r="O25" s="1286">
        <v>991.7</v>
      </c>
      <c r="P25" s="434">
        <f t="shared" si="0"/>
        <v>486</v>
      </c>
      <c r="Q25" s="1251">
        <f t="shared" si="1"/>
        <v>4087.13</v>
      </c>
    </row>
    <row r="26" spans="1:17" ht="17.100000000000001" customHeight="1">
      <c r="A26" s="414">
        <v>20</v>
      </c>
      <c r="B26" s="425" t="s">
        <v>39</v>
      </c>
      <c r="C26" s="142">
        <v>4117.16</v>
      </c>
      <c r="D26" s="143">
        <v>1168</v>
      </c>
      <c r="E26" s="144">
        <v>6747.47</v>
      </c>
      <c r="F26" s="143" t="s">
        <v>57</v>
      </c>
      <c r="G26" s="142" t="s">
        <v>57</v>
      </c>
      <c r="H26" s="143" t="s">
        <v>57</v>
      </c>
      <c r="I26" s="144" t="s">
        <v>57</v>
      </c>
      <c r="J26" s="142">
        <v>4</v>
      </c>
      <c r="K26" s="144">
        <v>20.59</v>
      </c>
      <c r="L26" s="143">
        <v>183</v>
      </c>
      <c r="M26" s="1289">
        <v>147.80000000000001</v>
      </c>
      <c r="N26" s="142">
        <v>24</v>
      </c>
      <c r="O26" s="1287">
        <v>1121.0999999999999</v>
      </c>
      <c r="P26" s="435">
        <f t="shared" si="0"/>
        <v>1379</v>
      </c>
      <c r="Q26" s="1250">
        <f t="shared" si="1"/>
        <v>12154.12</v>
      </c>
    </row>
    <row r="27" spans="1:17">
      <c r="A27" s="1900" t="s">
        <v>280</v>
      </c>
      <c r="B27" s="1900"/>
      <c r="C27" s="560"/>
      <c r="D27" s="560"/>
      <c r="E27" s="560"/>
      <c r="F27" s="560"/>
      <c r="G27" s="560"/>
      <c r="H27" s="560"/>
      <c r="I27" s="560"/>
      <c r="J27" s="560"/>
      <c r="K27" s="560"/>
      <c r="L27" s="582" t="s">
        <v>1469</v>
      </c>
      <c r="M27" s="560" t="s">
        <v>1476</v>
      </c>
      <c r="N27" s="560"/>
      <c r="O27" s="560"/>
      <c r="P27" s="560"/>
      <c r="Q27" s="305"/>
    </row>
    <row r="28" spans="1:17">
      <c r="A28" s="560" t="s">
        <v>1484</v>
      </c>
      <c r="B28" s="560"/>
      <c r="C28" s="560"/>
      <c r="D28" s="560"/>
      <c r="E28" s="560"/>
      <c r="F28" s="560" t="s">
        <v>1487</v>
      </c>
      <c r="G28" s="583" t="s">
        <v>1605</v>
      </c>
      <c r="H28" s="560"/>
      <c r="I28" s="560"/>
      <c r="J28" s="560"/>
      <c r="K28" s="570"/>
      <c r="L28" s="560"/>
      <c r="M28" s="560" t="s">
        <v>1519</v>
      </c>
      <c r="N28" s="560"/>
      <c r="O28" s="560"/>
      <c r="P28" s="560"/>
      <c r="Q28" s="305"/>
    </row>
    <row r="29" spans="1:17">
      <c r="A29" s="560" t="s">
        <v>1485</v>
      </c>
      <c r="B29" s="560"/>
      <c r="C29" s="560"/>
      <c r="D29" s="560"/>
      <c r="E29" s="573"/>
      <c r="F29" s="560" t="s">
        <v>1490</v>
      </c>
      <c r="G29" s="583" t="s">
        <v>378</v>
      </c>
      <c r="H29" s="560"/>
      <c r="I29" s="560"/>
      <c r="J29" s="560" t="s">
        <v>355</v>
      </c>
      <c r="K29" s="560"/>
      <c r="L29" s="560"/>
      <c r="M29" s="560" t="s">
        <v>479</v>
      </c>
      <c r="N29" s="560"/>
      <c r="O29" s="573"/>
      <c r="P29" s="573"/>
      <c r="Q29" s="321"/>
    </row>
    <row r="30" spans="1:17">
      <c r="A30" s="573" t="s">
        <v>1486</v>
      </c>
      <c r="B30" s="560"/>
      <c r="C30" s="573"/>
      <c r="D30" s="573"/>
      <c r="E30" s="560"/>
      <c r="F30" s="560" t="s">
        <v>1488</v>
      </c>
      <c r="G30" s="584" t="s">
        <v>379</v>
      </c>
      <c r="H30" s="573"/>
      <c r="I30" s="573"/>
      <c r="J30" s="573"/>
      <c r="K30" s="560"/>
      <c r="L30" s="560"/>
      <c r="M30" s="560"/>
      <c r="N30" s="560"/>
      <c r="O30" s="560"/>
      <c r="P30" s="560"/>
      <c r="Q30" s="305"/>
    </row>
    <row r="31" spans="1:17">
      <c r="A31" s="560"/>
      <c r="B31" s="560"/>
      <c r="C31" s="560"/>
      <c r="D31" s="560"/>
      <c r="E31" s="560"/>
      <c r="F31" s="560" t="s">
        <v>1489</v>
      </c>
      <c r="G31" s="583" t="s">
        <v>380</v>
      </c>
      <c r="H31" s="560"/>
      <c r="I31" s="560"/>
      <c r="J31" s="560"/>
      <c r="K31" s="560"/>
      <c r="L31" s="560"/>
      <c r="M31" s="560"/>
      <c r="N31" s="560"/>
      <c r="O31" s="560"/>
      <c r="P31" s="560"/>
      <c r="Q31" s="305"/>
    </row>
    <row r="32" spans="1:17">
      <c r="A32" s="560"/>
      <c r="B32" s="560"/>
      <c r="C32" s="560"/>
      <c r="D32" s="560"/>
      <c r="E32" s="560"/>
      <c r="F32" s="560"/>
      <c r="G32" s="560"/>
      <c r="H32" s="560"/>
      <c r="I32" s="560"/>
      <c r="J32" s="560"/>
      <c r="K32" s="560"/>
      <c r="L32" s="560"/>
      <c r="M32" s="560"/>
      <c r="N32" s="560"/>
      <c r="O32" s="560"/>
      <c r="P32" s="560"/>
      <c r="Q32" s="305"/>
    </row>
  </sheetData>
  <mergeCells count="11">
    <mergeCell ref="A1:Q1"/>
    <mergeCell ref="A27:B27"/>
    <mergeCell ref="A2:Q2"/>
    <mergeCell ref="J4:K4"/>
    <mergeCell ref="L4:M4"/>
    <mergeCell ref="N4:O4"/>
    <mergeCell ref="B4:B5"/>
    <mergeCell ref="P4:Q4"/>
    <mergeCell ref="D4:E4"/>
    <mergeCell ref="F4:G4"/>
    <mergeCell ref="H4:I4"/>
  </mergeCells>
  <phoneticPr fontId="0" type="noConversion"/>
  <printOptions horizontalCentered="1" verticalCentered="1"/>
  <pageMargins left="0.1" right="0.1" top="0.3" bottom="0.1" header="0.34" footer="0.1"/>
  <pageSetup paperSize="9" orientation="landscape" blackAndWhite="1" r:id="rId1"/>
  <headerFooter alignWithMargins="0"/>
</worksheet>
</file>

<file path=xl/worksheets/sheet81.xml><?xml version="1.0" encoding="utf-8"?>
<worksheet xmlns="http://schemas.openxmlformats.org/spreadsheetml/2006/main" xmlns:r="http://schemas.openxmlformats.org/officeDocument/2006/relationships">
  <dimension ref="A1:I32"/>
  <sheetViews>
    <sheetView workbookViewId="0">
      <selection activeCell="L7" sqref="L7"/>
    </sheetView>
  </sheetViews>
  <sheetFormatPr defaultRowHeight="12.75"/>
  <cols>
    <col min="1" max="1" width="4.42578125" style="5" customWidth="1"/>
    <col min="2" max="2" width="15.5703125" style="5" customWidth="1"/>
    <col min="3" max="3" width="8.7109375" style="5" customWidth="1"/>
    <col min="4" max="4" width="11.140625" style="38" customWidth="1"/>
    <col min="5" max="5" width="11" style="5" customWidth="1"/>
    <col min="6" max="6" width="11.28515625" style="5" customWidth="1"/>
    <col min="7" max="7" width="9.42578125" style="5" customWidth="1"/>
    <col min="8" max="8" width="10.5703125" style="5" customWidth="1"/>
    <col min="9" max="9" width="9.85546875" style="5" customWidth="1"/>
  </cols>
  <sheetData>
    <row r="1" spans="1:9" ht="19.5" customHeight="1">
      <c r="A1" s="1658" t="s">
        <v>910</v>
      </c>
      <c r="B1" s="1658"/>
      <c r="C1" s="1658"/>
      <c r="D1" s="1658"/>
      <c r="E1" s="1658"/>
      <c r="F1" s="1658"/>
      <c r="G1" s="1658"/>
      <c r="H1" s="1658"/>
      <c r="I1" s="1658"/>
    </row>
    <row r="2" spans="1:9" ht="24" customHeight="1">
      <c r="A2" s="1660" t="str">
        <f>CONCATENATE("Particulars of Fisheries in the Blocks of ",District!$A$1," for the year ",District!F3)</f>
        <v>Particulars of Fisheries in the Blocks of Purulia for the year 2013-14</v>
      </c>
      <c r="B2" s="1660"/>
      <c r="C2" s="1660"/>
      <c r="D2" s="1660"/>
      <c r="E2" s="1660"/>
      <c r="F2" s="1660"/>
      <c r="G2" s="1660"/>
      <c r="H2" s="1660"/>
      <c r="I2" s="1660"/>
    </row>
    <row r="3" spans="1:9" ht="83.25" customHeight="1">
      <c r="A3" s="719" t="s">
        <v>433</v>
      </c>
      <c r="B3" s="721" t="s">
        <v>1269</v>
      </c>
      <c r="C3" s="800" t="s">
        <v>356</v>
      </c>
      <c r="D3" s="1209" t="s">
        <v>1491</v>
      </c>
      <c r="E3" s="800" t="s">
        <v>1492</v>
      </c>
      <c r="F3" s="721" t="s">
        <v>532</v>
      </c>
      <c r="G3" s="800" t="s">
        <v>309</v>
      </c>
      <c r="H3" s="721" t="s">
        <v>432</v>
      </c>
      <c r="I3" s="874" t="s">
        <v>1493</v>
      </c>
    </row>
    <row r="4" spans="1:9" ht="17.25" customHeight="1">
      <c r="A4" s="277" t="s">
        <v>1008</v>
      </c>
      <c r="B4" s="293" t="s">
        <v>1009</v>
      </c>
      <c r="C4" s="278" t="s">
        <v>1010</v>
      </c>
      <c r="D4" s="436" t="s">
        <v>1011</v>
      </c>
      <c r="E4" s="278" t="s">
        <v>1015</v>
      </c>
      <c r="F4" s="293" t="s">
        <v>1016</v>
      </c>
      <c r="G4" s="278" t="s">
        <v>1017</v>
      </c>
      <c r="H4" s="293" t="s">
        <v>1039</v>
      </c>
      <c r="I4" s="279" t="s">
        <v>1040</v>
      </c>
    </row>
    <row r="5" spans="1:9" ht="24.75" customHeight="1">
      <c r="A5" s="332">
        <v>1</v>
      </c>
      <c r="B5" s="337" t="s">
        <v>26</v>
      </c>
      <c r="C5" s="131">
        <v>6</v>
      </c>
      <c r="D5" s="682">
        <v>468.2</v>
      </c>
      <c r="E5" s="682">
        <v>468.2</v>
      </c>
      <c r="F5" s="126">
        <v>1274</v>
      </c>
      <c r="G5" s="131">
        <v>1101</v>
      </c>
      <c r="H5" s="126">
        <v>14697</v>
      </c>
      <c r="I5" s="1262">
        <v>34000</v>
      </c>
    </row>
    <row r="6" spans="1:9" ht="24.75" customHeight="1">
      <c r="A6" s="332">
        <v>2</v>
      </c>
      <c r="B6" s="337" t="s">
        <v>27</v>
      </c>
      <c r="C6" s="134">
        <v>5</v>
      </c>
      <c r="D6" s="682">
        <v>275.7</v>
      </c>
      <c r="E6" s="682">
        <v>275.7</v>
      </c>
      <c r="F6" s="126">
        <v>725</v>
      </c>
      <c r="G6" s="131">
        <v>695</v>
      </c>
      <c r="H6" s="126">
        <v>6989</v>
      </c>
      <c r="I6" s="1262">
        <v>12000</v>
      </c>
    </row>
    <row r="7" spans="1:9" ht="24.75" customHeight="1">
      <c r="A7" s="332">
        <v>3</v>
      </c>
      <c r="B7" s="337" t="s">
        <v>53</v>
      </c>
      <c r="C7" s="134">
        <v>10</v>
      </c>
      <c r="D7" s="682">
        <v>1137.0999999999999</v>
      </c>
      <c r="E7" s="682">
        <v>1137.0999999999999</v>
      </c>
      <c r="F7" s="126">
        <v>1124</v>
      </c>
      <c r="G7" s="131">
        <v>915</v>
      </c>
      <c r="H7" s="126">
        <v>8096</v>
      </c>
      <c r="I7" s="1262">
        <v>27500</v>
      </c>
    </row>
    <row r="8" spans="1:9" ht="24.75" customHeight="1">
      <c r="A8" s="332">
        <v>4</v>
      </c>
      <c r="B8" s="337" t="s">
        <v>28</v>
      </c>
      <c r="C8" s="134">
        <v>7</v>
      </c>
      <c r="D8" s="682">
        <v>419.2</v>
      </c>
      <c r="E8" s="682">
        <v>419.2</v>
      </c>
      <c r="F8" s="126">
        <v>1646</v>
      </c>
      <c r="G8" s="131">
        <v>1417</v>
      </c>
      <c r="H8" s="126">
        <v>10075</v>
      </c>
      <c r="I8" s="1262">
        <v>37000</v>
      </c>
    </row>
    <row r="9" spans="1:9" ht="24.75" customHeight="1">
      <c r="A9" s="332">
        <v>5</v>
      </c>
      <c r="B9" s="337" t="s">
        <v>72</v>
      </c>
      <c r="C9" s="134">
        <v>7</v>
      </c>
      <c r="D9" s="682">
        <v>521.5</v>
      </c>
      <c r="E9" s="682">
        <v>521.5</v>
      </c>
      <c r="F9" s="126">
        <v>879</v>
      </c>
      <c r="G9" s="131">
        <v>749</v>
      </c>
      <c r="H9" s="126">
        <v>6177</v>
      </c>
      <c r="I9" s="1262">
        <v>13000</v>
      </c>
    </row>
    <row r="10" spans="1:9" ht="24.75" customHeight="1">
      <c r="A10" s="332">
        <v>6</v>
      </c>
      <c r="B10" s="337" t="s">
        <v>48</v>
      </c>
      <c r="C10" s="134">
        <v>7</v>
      </c>
      <c r="D10" s="682">
        <v>443.7</v>
      </c>
      <c r="E10" s="682">
        <v>443.7</v>
      </c>
      <c r="F10" s="126">
        <v>625</v>
      </c>
      <c r="G10" s="131">
        <v>539</v>
      </c>
      <c r="H10" s="126">
        <v>5367</v>
      </c>
      <c r="I10" s="1262">
        <v>11000</v>
      </c>
    </row>
    <row r="11" spans="1:9" ht="24.75" customHeight="1">
      <c r="A11" s="332">
        <v>7</v>
      </c>
      <c r="B11" s="337" t="s">
        <v>54</v>
      </c>
      <c r="C11" s="134">
        <v>6</v>
      </c>
      <c r="D11" s="682">
        <v>275.7</v>
      </c>
      <c r="E11" s="682">
        <v>275.7</v>
      </c>
      <c r="F11" s="126">
        <v>916</v>
      </c>
      <c r="G11" s="131">
        <v>796</v>
      </c>
      <c r="H11" s="126">
        <v>10465</v>
      </c>
      <c r="I11" s="1262">
        <v>13000</v>
      </c>
    </row>
    <row r="12" spans="1:9" ht="24.75" customHeight="1">
      <c r="A12" s="332">
        <v>8</v>
      </c>
      <c r="B12" s="337" t="s">
        <v>33</v>
      </c>
      <c r="C12" s="134">
        <v>9</v>
      </c>
      <c r="D12" s="682">
        <v>492.2</v>
      </c>
      <c r="E12" s="682">
        <v>492.2</v>
      </c>
      <c r="F12" s="126">
        <v>281</v>
      </c>
      <c r="G12" s="131">
        <v>219</v>
      </c>
      <c r="H12" s="126">
        <v>4566</v>
      </c>
      <c r="I12" s="1262">
        <v>9350</v>
      </c>
    </row>
    <row r="13" spans="1:9" ht="24.75" customHeight="1">
      <c r="A13" s="332">
        <v>9</v>
      </c>
      <c r="B13" s="337" t="s">
        <v>34</v>
      </c>
      <c r="C13" s="134">
        <v>7</v>
      </c>
      <c r="D13" s="682">
        <v>428.2</v>
      </c>
      <c r="E13" s="682">
        <v>428.2</v>
      </c>
      <c r="F13" s="126">
        <v>1219</v>
      </c>
      <c r="G13" s="131">
        <v>1088</v>
      </c>
      <c r="H13" s="126">
        <v>8592</v>
      </c>
      <c r="I13" s="1262">
        <v>32000</v>
      </c>
    </row>
    <row r="14" spans="1:9" ht="24.75" customHeight="1">
      <c r="A14" s="332">
        <v>10</v>
      </c>
      <c r="B14" s="337" t="s">
        <v>55</v>
      </c>
      <c r="C14" s="134">
        <v>8</v>
      </c>
      <c r="D14" s="682">
        <v>607.29999999999995</v>
      </c>
      <c r="E14" s="682">
        <v>607.29999999999995</v>
      </c>
      <c r="F14" s="126">
        <v>779</v>
      </c>
      <c r="G14" s="131">
        <v>693</v>
      </c>
      <c r="H14" s="126">
        <v>6072</v>
      </c>
      <c r="I14" s="1262">
        <v>13000</v>
      </c>
    </row>
    <row r="15" spans="1:9" ht="24.75" customHeight="1">
      <c r="A15" s="332">
        <v>11</v>
      </c>
      <c r="B15" s="337" t="s">
        <v>56</v>
      </c>
      <c r="C15" s="134">
        <v>7</v>
      </c>
      <c r="D15" s="682">
        <v>518.20000000000005</v>
      </c>
      <c r="E15" s="682">
        <v>518.20000000000005</v>
      </c>
      <c r="F15" s="126">
        <v>470</v>
      </c>
      <c r="G15" s="131">
        <v>412</v>
      </c>
      <c r="H15" s="126">
        <v>3045</v>
      </c>
      <c r="I15" s="1262">
        <v>10000</v>
      </c>
    </row>
    <row r="16" spans="1:9" ht="24.75" customHeight="1">
      <c r="A16" s="332">
        <v>12</v>
      </c>
      <c r="B16" s="337" t="s">
        <v>45</v>
      </c>
      <c r="C16" s="131">
        <v>9</v>
      </c>
      <c r="D16" s="682">
        <v>455.5</v>
      </c>
      <c r="E16" s="682">
        <v>455.5</v>
      </c>
      <c r="F16" s="126">
        <v>994</v>
      </c>
      <c r="G16" s="131">
        <v>796</v>
      </c>
      <c r="H16" s="126">
        <v>7167</v>
      </c>
      <c r="I16" s="1262">
        <v>13000</v>
      </c>
    </row>
    <row r="17" spans="1:9" ht="24.75" customHeight="1">
      <c r="A17" s="332">
        <v>13</v>
      </c>
      <c r="B17" s="337" t="s">
        <v>46</v>
      </c>
      <c r="C17" s="134">
        <v>8</v>
      </c>
      <c r="D17" s="682">
        <v>779.8</v>
      </c>
      <c r="E17" s="682">
        <v>779.8</v>
      </c>
      <c r="F17" s="126">
        <v>881</v>
      </c>
      <c r="G17" s="131">
        <v>753</v>
      </c>
      <c r="H17" s="126">
        <v>6478</v>
      </c>
      <c r="I17" s="1262">
        <v>12000</v>
      </c>
    </row>
    <row r="18" spans="1:9" ht="24.75" customHeight="1">
      <c r="A18" s="332">
        <v>14</v>
      </c>
      <c r="B18" s="337" t="s">
        <v>47</v>
      </c>
      <c r="C18" s="134">
        <v>8</v>
      </c>
      <c r="D18" s="682">
        <v>645.70000000000005</v>
      </c>
      <c r="E18" s="682">
        <v>645.70000000000005</v>
      </c>
      <c r="F18" s="126">
        <v>1236</v>
      </c>
      <c r="G18" s="131">
        <v>1098</v>
      </c>
      <c r="H18" s="126">
        <v>8270</v>
      </c>
      <c r="I18" s="1262">
        <v>33000</v>
      </c>
    </row>
    <row r="19" spans="1:9" ht="24.75" customHeight="1">
      <c r="A19" s="332">
        <v>15</v>
      </c>
      <c r="B19" s="337" t="s">
        <v>36</v>
      </c>
      <c r="C19" s="131">
        <v>8</v>
      </c>
      <c r="D19" s="682">
        <v>619</v>
      </c>
      <c r="E19" s="682">
        <v>619</v>
      </c>
      <c r="F19" s="126">
        <v>1176</v>
      </c>
      <c r="G19" s="131">
        <v>1059</v>
      </c>
      <c r="H19" s="126">
        <v>9200</v>
      </c>
      <c r="I19" s="1262">
        <v>31000</v>
      </c>
    </row>
    <row r="20" spans="1:9" ht="24.75" customHeight="1">
      <c r="A20" s="332">
        <v>16</v>
      </c>
      <c r="B20" s="337" t="s">
        <v>37</v>
      </c>
      <c r="C20" s="134">
        <v>7</v>
      </c>
      <c r="D20" s="682">
        <v>448</v>
      </c>
      <c r="E20" s="682">
        <v>448</v>
      </c>
      <c r="F20" s="126">
        <v>609</v>
      </c>
      <c r="G20" s="131">
        <v>511</v>
      </c>
      <c r="H20" s="126">
        <v>4256</v>
      </c>
      <c r="I20" s="1262">
        <v>10000</v>
      </c>
    </row>
    <row r="21" spans="1:9" ht="24.75" customHeight="1">
      <c r="A21" s="332">
        <v>17</v>
      </c>
      <c r="B21" s="337" t="s">
        <v>38</v>
      </c>
      <c r="C21" s="134">
        <v>8</v>
      </c>
      <c r="D21" s="682">
        <v>528</v>
      </c>
      <c r="E21" s="682">
        <v>528</v>
      </c>
      <c r="F21" s="126">
        <v>1273</v>
      </c>
      <c r="G21" s="131">
        <v>1161</v>
      </c>
      <c r="H21" s="126">
        <v>9132</v>
      </c>
      <c r="I21" s="1262">
        <v>33000</v>
      </c>
    </row>
    <row r="22" spans="1:9" ht="24.75" customHeight="1">
      <c r="A22" s="332">
        <v>18</v>
      </c>
      <c r="B22" s="337" t="s">
        <v>40</v>
      </c>
      <c r="C22" s="134">
        <v>11</v>
      </c>
      <c r="D22" s="682">
        <v>1134</v>
      </c>
      <c r="E22" s="682">
        <v>1134</v>
      </c>
      <c r="F22" s="126">
        <v>956</v>
      </c>
      <c r="G22" s="131">
        <v>885</v>
      </c>
      <c r="H22" s="126">
        <v>7132</v>
      </c>
      <c r="I22" s="1262">
        <v>20000</v>
      </c>
    </row>
    <row r="23" spans="1:9" ht="24.75" customHeight="1">
      <c r="A23" s="332">
        <v>19</v>
      </c>
      <c r="B23" s="337" t="s">
        <v>52</v>
      </c>
      <c r="C23" s="131">
        <v>9</v>
      </c>
      <c r="D23" s="682">
        <v>416</v>
      </c>
      <c r="E23" s="682">
        <v>416</v>
      </c>
      <c r="F23" s="126">
        <v>896</v>
      </c>
      <c r="G23" s="131">
        <v>771</v>
      </c>
      <c r="H23" s="126">
        <v>4355</v>
      </c>
      <c r="I23" s="1262">
        <v>13000</v>
      </c>
    </row>
    <row r="24" spans="1:9" ht="24.75" customHeight="1">
      <c r="A24" s="336">
        <v>20</v>
      </c>
      <c r="B24" s="401" t="s">
        <v>39</v>
      </c>
      <c r="C24" s="136">
        <v>9</v>
      </c>
      <c r="D24" s="683">
        <v>711</v>
      </c>
      <c r="E24" s="683">
        <v>711</v>
      </c>
      <c r="F24" s="128">
        <v>619</v>
      </c>
      <c r="G24" s="129">
        <v>556</v>
      </c>
      <c r="H24" s="128">
        <v>4142</v>
      </c>
      <c r="I24" s="1261">
        <v>11000</v>
      </c>
    </row>
    <row r="25" spans="1:9">
      <c r="D25" s="64"/>
      <c r="E25" s="559" t="s">
        <v>776</v>
      </c>
      <c r="F25" s="560" t="s">
        <v>1192</v>
      </c>
      <c r="G25" s="560"/>
      <c r="H25" s="560"/>
      <c r="I25" s="305"/>
    </row>
    <row r="26" spans="1:9">
      <c r="D26" s="64"/>
      <c r="E26" s="559" t="s">
        <v>782</v>
      </c>
      <c r="F26" s="560" t="s">
        <v>764</v>
      </c>
      <c r="G26" s="585"/>
      <c r="H26" s="585"/>
      <c r="I26" s="437"/>
    </row>
    <row r="32" spans="1:9">
      <c r="D32" s="5"/>
    </row>
  </sheetData>
  <mergeCells count="2">
    <mergeCell ref="A1:I1"/>
    <mergeCell ref="A2:I2"/>
  </mergeCells>
  <phoneticPr fontId="0" type="noConversion"/>
  <printOptions horizontalCentered="1" verticalCentered="1"/>
  <pageMargins left="0" right="0" top="0" bottom="0" header="0" footer="0"/>
  <pageSetup paperSize="9" orientation="portrait" r:id="rId1"/>
  <headerFooter alignWithMargins="0"/>
</worksheet>
</file>

<file path=xl/worksheets/sheet82.xml><?xml version="1.0" encoding="utf-8"?>
<worksheet xmlns="http://schemas.openxmlformats.org/spreadsheetml/2006/main" xmlns:r="http://schemas.openxmlformats.org/officeDocument/2006/relationships">
  <dimension ref="A1:H27"/>
  <sheetViews>
    <sheetView workbookViewId="0">
      <selection activeCell="L7" sqref="L7"/>
    </sheetView>
  </sheetViews>
  <sheetFormatPr defaultRowHeight="12.75"/>
  <cols>
    <col min="1" max="1" width="5.42578125" customWidth="1"/>
    <col min="2" max="2" width="17.7109375" customWidth="1"/>
    <col min="3" max="3" width="11.7109375" customWidth="1"/>
    <col min="4" max="4" width="10.28515625" customWidth="1"/>
    <col min="5" max="5" width="12.140625" customWidth="1"/>
    <col min="6" max="6" width="9.5703125" customWidth="1"/>
    <col min="7" max="7" width="11.28515625" customWidth="1"/>
    <col min="8" max="8" width="12.42578125" customWidth="1"/>
  </cols>
  <sheetData>
    <row r="1" spans="1:8" ht="18.75" customHeight="1">
      <c r="A1" s="1659" t="s">
        <v>915</v>
      </c>
      <c r="B1" s="1659"/>
      <c r="C1" s="1659"/>
      <c r="D1" s="1659"/>
      <c r="E1" s="1659"/>
      <c r="F1" s="1659"/>
      <c r="G1" s="1659"/>
      <c r="H1" s="1659"/>
    </row>
    <row r="2" spans="1:8" ht="36" customHeight="1">
      <c r="A2" s="1673" t="str">
        <f>CONCATENATE("Estimated Number of Live-stock and Poultry in the Blocks of Purulia  
for the year ",District!F3)</f>
        <v>Estimated Number of Live-stock and Poultry in the Blocks of Purulia  
for the year 2013-14</v>
      </c>
      <c r="B2" s="1673"/>
      <c r="C2" s="1673"/>
      <c r="D2" s="1673"/>
      <c r="E2" s="1673"/>
      <c r="F2" s="1673"/>
      <c r="G2" s="1673"/>
      <c r="H2" s="1673"/>
    </row>
    <row r="3" spans="1:8" ht="18" customHeight="1">
      <c r="A3" s="1668" t="s">
        <v>30</v>
      </c>
      <c r="B3" s="1661" t="s">
        <v>293</v>
      </c>
      <c r="C3" s="1663" t="s">
        <v>1025</v>
      </c>
      <c r="D3" s="1671"/>
      <c r="E3" s="1671"/>
      <c r="F3" s="1671"/>
      <c r="G3" s="1667"/>
      <c r="H3" s="1661" t="s">
        <v>217</v>
      </c>
    </row>
    <row r="4" spans="1:8" ht="18" customHeight="1">
      <c r="A4" s="1669"/>
      <c r="B4" s="1666"/>
      <c r="C4" s="243" t="s">
        <v>357</v>
      </c>
      <c r="D4" s="87" t="s">
        <v>1113</v>
      </c>
      <c r="E4" s="87" t="s">
        <v>3</v>
      </c>
      <c r="F4" s="76" t="s">
        <v>792</v>
      </c>
      <c r="G4" s="76" t="s">
        <v>1162</v>
      </c>
      <c r="H4" s="1666"/>
    </row>
    <row r="5" spans="1:8" ht="21.95" customHeight="1">
      <c r="A5" s="277" t="s">
        <v>1008</v>
      </c>
      <c r="B5" s="277" t="s">
        <v>1009</v>
      </c>
      <c r="C5" s="277" t="s">
        <v>1010</v>
      </c>
      <c r="D5" s="293" t="s">
        <v>1011</v>
      </c>
      <c r="E5" s="293" t="s">
        <v>1015</v>
      </c>
      <c r="F5" s="279" t="s">
        <v>1016</v>
      </c>
      <c r="G5" s="279" t="s">
        <v>1017</v>
      </c>
      <c r="H5" s="279" t="s">
        <v>1039</v>
      </c>
    </row>
    <row r="6" spans="1:8" ht="24" customHeight="1">
      <c r="A6" s="332">
        <v>1</v>
      </c>
      <c r="B6" s="323" t="s">
        <v>26</v>
      </c>
      <c r="C6" s="94">
        <v>56258</v>
      </c>
      <c r="D6" s="99">
        <v>7235</v>
      </c>
      <c r="E6" s="99">
        <v>42034</v>
      </c>
      <c r="F6" s="105">
        <v>23083</v>
      </c>
      <c r="G6" s="101">
        <v>4104</v>
      </c>
      <c r="H6" s="50">
        <v>96046</v>
      </c>
    </row>
    <row r="7" spans="1:8" ht="24" customHeight="1">
      <c r="A7" s="332">
        <v>2</v>
      </c>
      <c r="B7" s="323" t="s">
        <v>27</v>
      </c>
      <c r="C7" s="94">
        <v>44221</v>
      </c>
      <c r="D7" s="99">
        <v>8952</v>
      </c>
      <c r="E7" s="99">
        <v>45912</v>
      </c>
      <c r="F7" s="105">
        <v>8060</v>
      </c>
      <c r="G7" s="99">
        <v>4363</v>
      </c>
      <c r="H7" s="50">
        <v>93277</v>
      </c>
    </row>
    <row r="8" spans="1:8" ht="24" customHeight="1">
      <c r="A8" s="332">
        <v>3</v>
      </c>
      <c r="B8" s="323" t="s">
        <v>53</v>
      </c>
      <c r="C8" s="94">
        <v>48112</v>
      </c>
      <c r="D8" s="99">
        <v>4877</v>
      </c>
      <c r="E8" s="99">
        <v>53858</v>
      </c>
      <c r="F8" s="105">
        <v>13098</v>
      </c>
      <c r="G8" s="99">
        <v>3416</v>
      </c>
      <c r="H8" s="50">
        <v>116876</v>
      </c>
    </row>
    <row r="9" spans="1:8" ht="24" customHeight="1">
      <c r="A9" s="332">
        <v>4</v>
      </c>
      <c r="B9" s="323" t="s">
        <v>28</v>
      </c>
      <c r="C9" s="94">
        <v>73943</v>
      </c>
      <c r="D9" s="99">
        <v>7075</v>
      </c>
      <c r="E9" s="99">
        <v>71894</v>
      </c>
      <c r="F9" s="105">
        <v>29602</v>
      </c>
      <c r="G9" s="99">
        <v>2534</v>
      </c>
      <c r="H9" s="50">
        <v>206427</v>
      </c>
    </row>
    <row r="10" spans="1:8" ht="24" customHeight="1">
      <c r="A10" s="332">
        <v>5</v>
      </c>
      <c r="B10" s="323" t="s">
        <v>72</v>
      </c>
      <c r="C10" s="94">
        <v>36922</v>
      </c>
      <c r="D10" s="99">
        <v>6988</v>
      </c>
      <c r="E10" s="99">
        <v>36694</v>
      </c>
      <c r="F10" s="105">
        <v>13682</v>
      </c>
      <c r="G10" s="99">
        <v>2054</v>
      </c>
      <c r="H10" s="50">
        <v>116376</v>
      </c>
    </row>
    <row r="11" spans="1:8" ht="24" customHeight="1">
      <c r="A11" s="332">
        <v>6</v>
      </c>
      <c r="B11" s="323" t="s">
        <v>48</v>
      </c>
      <c r="C11" s="94">
        <v>49630</v>
      </c>
      <c r="D11" s="99">
        <v>7441</v>
      </c>
      <c r="E11" s="99">
        <v>67547</v>
      </c>
      <c r="F11" s="105">
        <v>8436</v>
      </c>
      <c r="G11" s="99">
        <v>3583</v>
      </c>
      <c r="H11" s="50">
        <v>147592</v>
      </c>
    </row>
    <row r="12" spans="1:8" ht="24" customHeight="1">
      <c r="A12" s="332">
        <v>7</v>
      </c>
      <c r="B12" s="323" t="s">
        <v>54</v>
      </c>
      <c r="C12" s="94">
        <v>43631</v>
      </c>
      <c r="D12" s="99">
        <v>7510</v>
      </c>
      <c r="E12" s="99">
        <v>43905</v>
      </c>
      <c r="F12" s="105">
        <v>11796</v>
      </c>
      <c r="G12" s="99">
        <v>3562</v>
      </c>
      <c r="H12" s="50">
        <v>91216</v>
      </c>
    </row>
    <row r="13" spans="1:8" ht="24" customHeight="1">
      <c r="A13" s="332">
        <v>8</v>
      </c>
      <c r="B13" s="323" t="s">
        <v>33</v>
      </c>
      <c r="C13" s="94">
        <v>50067</v>
      </c>
      <c r="D13" s="99">
        <v>5555</v>
      </c>
      <c r="E13" s="99">
        <v>68410</v>
      </c>
      <c r="F13" s="104">
        <v>19031</v>
      </c>
      <c r="G13" s="50">
        <v>11576</v>
      </c>
      <c r="H13" s="105">
        <v>300726</v>
      </c>
    </row>
    <row r="14" spans="1:8" ht="24" customHeight="1">
      <c r="A14" s="332">
        <v>9</v>
      </c>
      <c r="B14" s="323" t="s">
        <v>34</v>
      </c>
      <c r="C14" s="94">
        <v>68530</v>
      </c>
      <c r="D14" s="99">
        <v>5251</v>
      </c>
      <c r="E14" s="99">
        <v>45807</v>
      </c>
      <c r="F14" s="104">
        <v>18780</v>
      </c>
      <c r="G14" s="50">
        <v>5206</v>
      </c>
      <c r="H14" s="105">
        <v>169130</v>
      </c>
    </row>
    <row r="15" spans="1:8" ht="24" customHeight="1">
      <c r="A15" s="332">
        <v>10</v>
      </c>
      <c r="B15" s="323" t="s">
        <v>55</v>
      </c>
      <c r="C15" s="94">
        <v>70239</v>
      </c>
      <c r="D15" s="99">
        <v>4538</v>
      </c>
      <c r="E15" s="99">
        <v>61567</v>
      </c>
      <c r="F15" s="104">
        <v>21047</v>
      </c>
      <c r="G15" s="50">
        <v>3893</v>
      </c>
      <c r="H15" s="105">
        <v>201787</v>
      </c>
    </row>
    <row r="16" spans="1:8" ht="24" customHeight="1">
      <c r="A16" s="332">
        <v>11</v>
      </c>
      <c r="B16" s="323" t="s">
        <v>56</v>
      </c>
      <c r="C16" s="94">
        <v>51749</v>
      </c>
      <c r="D16" s="99">
        <v>2457</v>
      </c>
      <c r="E16" s="99">
        <v>48211</v>
      </c>
      <c r="F16" s="104">
        <v>9989</v>
      </c>
      <c r="G16" s="50">
        <v>656</v>
      </c>
      <c r="H16" s="105">
        <v>85088</v>
      </c>
    </row>
    <row r="17" spans="1:8" ht="24" customHeight="1">
      <c r="A17" s="332">
        <v>12</v>
      </c>
      <c r="B17" s="323" t="s">
        <v>45</v>
      </c>
      <c r="C17" s="94">
        <v>58525</v>
      </c>
      <c r="D17" s="99">
        <v>4100</v>
      </c>
      <c r="E17" s="99">
        <v>48479</v>
      </c>
      <c r="F17" s="104">
        <v>21655</v>
      </c>
      <c r="G17" s="50">
        <v>4767</v>
      </c>
      <c r="H17" s="105">
        <v>133748</v>
      </c>
    </row>
    <row r="18" spans="1:8" ht="24" customHeight="1">
      <c r="A18" s="332">
        <v>13</v>
      </c>
      <c r="B18" s="323" t="s">
        <v>46</v>
      </c>
      <c r="C18" s="94">
        <v>56611</v>
      </c>
      <c r="D18" s="99">
        <v>9956</v>
      </c>
      <c r="E18" s="99">
        <v>45603</v>
      </c>
      <c r="F18" s="104">
        <v>20467</v>
      </c>
      <c r="G18" s="50">
        <v>3002</v>
      </c>
      <c r="H18" s="105">
        <v>150070</v>
      </c>
    </row>
    <row r="19" spans="1:8" ht="24" customHeight="1">
      <c r="A19" s="332">
        <v>14</v>
      </c>
      <c r="B19" s="323" t="s">
        <v>47</v>
      </c>
      <c r="C19" s="94">
        <v>57194</v>
      </c>
      <c r="D19" s="99">
        <v>4617</v>
      </c>
      <c r="E19" s="99">
        <v>48818</v>
      </c>
      <c r="F19" s="104">
        <v>20887</v>
      </c>
      <c r="G19" s="50">
        <v>1236</v>
      </c>
      <c r="H19" s="105">
        <v>171247</v>
      </c>
    </row>
    <row r="20" spans="1:8" ht="24" customHeight="1">
      <c r="A20" s="332">
        <v>15</v>
      </c>
      <c r="B20" s="323" t="s">
        <v>36</v>
      </c>
      <c r="C20" s="94">
        <v>80221</v>
      </c>
      <c r="D20" s="99">
        <v>8149</v>
      </c>
      <c r="E20" s="99">
        <v>55973</v>
      </c>
      <c r="F20" s="50">
        <v>21469</v>
      </c>
      <c r="G20" s="99">
        <v>3919</v>
      </c>
      <c r="H20" s="50">
        <v>211888</v>
      </c>
    </row>
    <row r="21" spans="1:8" ht="24" customHeight="1">
      <c r="A21" s="332">
        <v>16</v>
      </c>
      <c r="B21" s="323" t="s">
        <v>37</v>
      </c>
      <c r="C21" s="94">
        <v>30527</v>
      </c>
      <c r="D21" s="99">
        <v>2114</v>
      </c>
      <c r="E21" s="99">
        <v>21112</v>
      </c>
      <c r="F21" s="50">
        <v>7812</v>
      </c>
      <c r="G21" s="99">
        <v>1857</v>
      </c>
      <c r="H21" s="50">
        <v>69775</v>
      </c>
    </row>
    <row r="22" spans="1:8" ht="24" customHeight="1">
      <c r="A22" s="332">
        <v>17</v>
      </c>
      <c r="B22" s="323" t="s">
        <v>38</v>
      </c>
      <c r="C22" s="94">
        <v>70661</v>
      </c>
      <c r="D22" s="99">
        <v>3857</v>
      </c>
      <c r="E22" s="99">
        <v>61525</v>
      </c>
      <c r="F22" s="50">
        <v>18337</v>
      </c>
      <c r="G22" s="99">
        <v>1434</v>
      </c>
      <c r="H22" s="50">
        <v>232061</v>
      </c>
    </row>
    <row r="23" spans="1:8" ht="24" customHeight="1">
      <c r="A23" s="332">
        <v>18</v>
      </c>
      <c r="B23" s="323" t="s">
        <v>40</v>
      </c>
      <c r="C23" s="94">
        <v>36447</v>
      </c>
      <c r="D23" s="99">
        <v>2938</v>
      </c>
      <c r="E23" s="99">
        <v>23728</v>
      </c>
      <c r="F23" s="50">
        <v>9454</v>
      </c>
      <c r="G23" s="99">
        <v>611</v>
      </c>
      <c r="H23" s="50">
        <v>69431</v>
      </c>
    </row>
    <row r="24" spans="1:8" ht="24" customHeight="1">
      <c r="A24" s="332">
        <v>19</v>
      </c>
      <c r="B24" s="323" t="s">
        <v>52</v>
      </c>
      <c r="C24" s="94">
        <v>44386</v>
      </c>
      <c r="D24" s="99">
        <v>3130</v>
      </c>
      <c r="E24" s="99">
        <v>19670</v>
      </c>
      <c r="F24" s="50">
        <v>12396</v>
      </c>
      <c r="G24" s="99">
        <v>1062</v>
      </c>
      <c r="H24" s="50">
        <v>156624</v>
      </c>
    </row>
    <row r="25" spans="1:8" ht="24" customHeight="1">
      <c r="A25" s="336">
        <v>20</v>
      </c>
      <c r="B25" s="404" t="s">
        <v>39</v>
      </c>
      <c r="C25" s="43">
        <v>24381</v>
      </c>
      <c r="D25" s="89">
        <v>2589</v>
      </c>
      <c r="E25" s="89">
        <v>13468</v>
      </c>
      <c r="F25" s="89">
        <v>3377</v>
      </c>
      <c r="G25" s="89">
        <v>1231</v>
      </c>
      <c r="H25" s="48">
        <v>77658</v>
      </c>
    </row>
    <row r="26" spans="1:8" ht="12.75" customHeight="1">
      <c r="E26" s="586" t="s">
        <v>1400</v>
      </c>
      <c r="F26" s="572" t="s">
        <v>768</v>
      </c>
    </row>
    <row r="27" spans="1:8">
      <c r="D27" s="359" t="s">
        <v>1287</v>
      </c>
      <c r="E27" s="572"/>
      <c r="F27" s="577" t="s">
        <v>795</v>
      </c>
    </row>
  </sheetData>
  <mergeCells count="6">
    <mergeCell ref="A1:H1"/>
    <mergeCell ref="A3:A4"/>
    <mergeCell ref="B3:B4"/>
    <mergeCell ref="A2:H2"/>
    <mergeCell ref="C3:G3"/>
    <mergeCell ref="H3:H4"/>
  </mergeCells>
  <phoneticPr fontId="0" type="noConversion"/>
  <printOptions horizontalCentered="1"/>
  <pageMargins left="0.1" right="0.1" top="1.2" bottom="0.1" header="0.5" footer="0.1"/>
  <pageSetup paperSize="9" orientation="portrait" blackAndWhite="1" r:id="rId1"/>
  <headerFooter alignWithMargins="0"/>
</worksheet>
</file>

<file path=xl/worksheets/sheet83.xml><?xml version="1.0" encoding="utf-8"?>
<worksheet xmlns="http://schemas.openxmlformats.org/spreadsheetml/2006/main" xmlns:r="http://schemas.openxmlformats.org/officeDocument/2006/relationships">
  <dimension ref="A1:H27"/>
  <sheetViews>
    <sheetView workbookViewId="0">
      <selection activeCell="H11" sqref="H11"/>
    </sheetView>
  </sheetViews>
  <sheetFormatPr defaultRowHeight="12.75"/>
  <cols>
    <col min="1" max="1" width="5" customWidth="1"/>
    <col min="2" max="2" width="17.5703125" customWidth="1"/>
    <col min="3" max="3" width="19.28515625" customWidth="1"/>
    <col min="4" max="4" width="14.7109375" customWidth="1"/>
    <col min="5" max="5" width="30.140625" customWidth="1"/>
  </cols>
  <sheetData>
    <row r="1" spans="1:8" ht="17.25" customHeight="1">
      <c r="A1" s="1659" t="s">
        <v>914</v>
      </c>
      <c r="B1" s="1659"/>
      <c r="C1" s="1659"/>
      <c r="D1" s="1659"/>
      <c r="E1" s="1659"/>
    </row>
    <row r="2" spans="1:8" ht="22.5" customHeight="1">
      <c r="A2" s="1660" t="str">
        <f>CONCATENATE("Commercial and Gramin Banks in the Blocks of ",District!$A$1," for the year ",District!F3)</f>
        <v>Commercial and Gramin Banks in the Blocks of Purulia for the year 2013-14</v>
      </c>
      <c r="B2" s="1660"/>
      <c r="C2" s="1660"/>
      <c r="D2" s="1660"/>
      <c r="E2" s="1660"/>
      <c r="F2" s="6"/>
      <c r="G2" s="6"/>
      <c r="H2" s="6"/>
    </row>
    <row r="3" spans="1:8" ht="18" customHeight="1">
      <c r="A3" s="150" t="s">
        <v>295</v>
      </c>
      <c r="B3" s="1661" t="s">
        <v>293</v>
      </c>
      <c r="C3" s="1663" t="s">
        <v>360</v>
      </c>
      <c r="D3" s="1671"/>
      <c r="E3" s="438" t="s">
        <v>1681</v>
      </c>
      <c r="F3" s="6"/>
      <c r="G3" s="6"/>
      <c r="H3" s="6"/>
    </row>
    <row r="4" spans="1:8" ht="18" customHeight="1">
      <c r="A4" s="88" t="s">
        <v>1059</v>
      </c>
      <c r="B4" s="1666"/>
      <c r="C4" s="314" t="s">
        <v>990</v>
      </c>
      <c r="D4" s="300" t="s">
        <v>371</v>
      </c>
      <c r="E4" s="346" t="s">
        <v>281</v>
      </c>
      <c r="F4" s="6"/>
      <c r="G4" s="6"/>
      <c r="H4" s="6"/>
    </row>
    <row r="5" spans="1:8" ht="18" customHeight="1">
      <c r="A5" s="293" t="s">
        <v>1008</v>
      </c>
      <c r="B5" s="293" t="s">
        <v>1009</v>
      </c>
      <c r="C5" s="277" t="s">
        <v>1010</v>
      </c>
      <c r="D5" s="293" t="s">
        <v>1011</v>
      </c>
      <c r="E5" s="293" t="s">
        <v>1015</v>
      </c>
      <c r="F5" s="6"/>
      <c r="G5" s="6"/>
      <c r="H5" s="6"/>
    </row>
    <row r="6" spans="1:8" ht="24" customHeight="1">
      <c r="A6" s="266">
        <v>1</v>
      </c>
      <c r="B6" s="337" t="s">
        <v>26</v>
      </c>
      <c r="C6" s="94">
        <v>5</v>
      </c>
      <c r="D6" s="99">
        <v>1</v>
      </c>
      <c r="E6" s="99">
        <f>ROUND((VLOOKUP(B6,'2.2'!$A$6:$F$31,4,FALSE)/SUM(C6,D6)/1000),0)</f>
        <v>26</v>
      </c>
      <c r="G6" s="31"/>
    </row>
    <row r="7" spans="1:8" ht="24" customHeight="1">
      <c r="A7" s="266">
        <v>2</v>
      </c>
      <c r="B7" s="337" t="s">
        <v>27</v>
      </c>
      <c r="C7" s="94">
        <v>4</v>
      </c>
      <c r="D7" s="99">
        <v>1</v>
      </c>
      <c r="E7" s="99">
        <f>ROUND((VLOOKUP(B7,'2.2'!$A$6:$F$31,4,FALSE)/SUM(C7,D7)/1000),0)</f>
        <v>27</v>
      </c>
    </row>
    <row r="8" spans="1:8" ht="24" customHeight="1">
      <c r="A8" s="266">
        <v>3</v>
      </c>
      <c r="B8" s="337" t="s">
        <v>53</v>
      </c>
      <c r="C8" s="94">
        <v>6</v>
      </c>
      <c r="D8" s="99">
        <v>1</v>
      </c>
      <c r="E8" s="99">
        <f>ROUND((VLOOKUP(B8,'2.2'!$A$6:$F$31,4,FALSE)/SUM(C8,D8)/1000),0)</f>
        <v>20</v>
      </c>
    </row>
    <row r="9" spans="1:8" ht="24" customHeight="1">
      <c r="A9" s="266">
        <v>4</v>
      </c>
      <c r="B9" s="337" t="s">
        <v>28</v>
      </c>
      <c r="C9" s="94">
        <v>6</v>
      </c>
      <c r="D9" s="99">
        <v>2</v>
      </c>
      <c r="E9" s="99">
        <f>ROUND((VLOOKUP(B9,'2.2'!$A$6:$F$31,4,FALSE)/SUM(C9,D9)/1000),0)</f>
        <v>21</v>
      </c>
    </row>
    <row r="10" spans="1:8" ht="24" customHeight="1">
      <c r="A10" s="266">
        <v>5</v>
      </c>
      <c r="B10" s="337" t="s">
        <v>29</v>
      </c>
      <c r="C10" s="94">
        <v>5</v>
      </c>
      <c r="D10" s="99">
        <v>1</v>
      </c>
      <c r="E10" s="99">
        <f>ROUND((VLOOKUP(B10,'2.2'!$A$6:$F$31,4,FALSE)/SUM(C10,D10)/1000),0)</f>
        <v>22</v>
      </c>
    </row>
    <row r="11" spans="1:8" ht="24" customHeight="1">
      <c r="A11" s="266">
        <v>6</v>
      </c>
      <c r="B11" s="337" t="s">
        <v>48</v>
      </c>
      <c r="C11" s="94">
        <v>7</v>
      </c>
      <c r="D11" s="99">
        <v>2</v>
      </c>
      <c r="E11" s="99">
        <f>ROUND((VLOOKUP(B11,'2.2'!$A$6:$F$31,4,FALSE)/SUM(C11,D11)/1000),0)</f>
        <v>15</v>
      </c>
    </row>
    <row r="12" spans="1:8" ht="24" customHeight="1">
      <c r="A12" s="266">
        <v>7</v>
      </c>
      <c r="B12" s="337" t="s">
        <v>54</v>
      </c>
      <c r="C12" s="94">
        <v>4</v>
      </c>
      <c r="D12" s="99">
        <v>1</v>
      </c>
      <c r="E12" s="99">
        <f>ROUND((VLOOKUP(B12,'2.2'!$A$6:$F$31,4,FALSE)/SUM(C12,D12)/1000),0)</f>
        <v>30</v>
      </c>
    </row>
    <row r="13" spans="1:8" ht="24" customHeight="1">
      <c r="A13" s="266">
        <v>8</v>
      </c>
      <c r="B13" s="337" t="s">
        <v>33</v>
      </c>
      <c r="C13" s="94">
        <v>3</v>
      </c>
      <c r="D13" s="99">
        <v>2</v>
      </c>
      <c r="E13" s="99">
        <f>ROUND((VLOOKUP(B13,'2.2'!$A$6:$F$31,4,FALSE)/SUM(C13,D13)/1000),0)</f>
        <v>19</v>
      </c>
    </row>
    <row r="14" spans="1:8" ht="24" customHeight="1">
      <c r="A14" s="266">
        <v>9</v>
      </c>
      <c r="B14" s="337" t="s">
        <v>34</v>
      </c>
      <c r="C14" s="94">
        <v>6</v>
      </c>
      <c r="D14" s="99">
        <v>2</v>
      </c>
      <c r="E14" s="99">
        <f>ROUND((VLOOKUP(B14,'2.2'!$A$6:$F$31,4,FALSE)/SUM(C14,D14)/1000),0)</f>
        <v>18</v>
      </c>
    </row>
    <row r="15" spans="1:8" ht="24" customHeight="1">
      <c r="A15" s="266">
        <v>10</v>
      </c>
      <c r="B15" s="337" t="s">
        <v>55</v>
      </c>
      <c r="C15" s="94">
        <v>2</v>
      </c>
      <c r="D15" s="99">
        <v>4</v>
      </c>
      <c r="E15" s="99">
        <f>ROUND((VLOOKUP(B15,'2.2'!$A$6:$F$31,4,FALSE)/SUM(C15,D15)/1000),0)</f>
        <v>26</v>
      </c>
    </row>
    <row r="16" spans="1:8" ht="24" customHeight="1">
      <c r="A16" s="266">
        <v>11</v>
      </c>
      <c r="B16" s="337" t="s">
        <v>56</v>
      </c>
      <c r="C16" s="94">
        <v>4</v>
      </c>
      <c r="D16" s="99">
        <v>4</v>
      </c>
      <c r="E16" s="99">
        <f>ROUND((VLOOKUP(B16,'2.2'!$A$6:$F$31,4,FALSE)/SUM(C16,D16)/1000),0)</f>
        <v>12</v>
      </c>
    </row>
    <row r="17" spans="1:7" ht="24" customHeight="1">
      <c r="A17" s="266">
        <v>12</v>
      </c>
      <c r="B17" s="337" t="s">
        <v>45</v>
      </c>
      <c r="C17" s="94">
        <v>2</v>
      </c>
      <c r="D17" s="99">
        <v>3</v>
      </c>
      <c r="E17" s="99">
        <f>ROUND((VLOOKUP(B17,'2.2'!$A$6:$F$31,4,FALSE)/SUM(C17,D17)/1000),0)</f>
        <v>25</v>
      </c>
      <c r="G17" s="31"/>
    </row>
    <row r="18" spans="1:7" ht="24" customHeight="1">
      <c r="A18" s="266">
        <v>13</v>
      </c>
      <c r="B18" s="337" t="s">
        <v>46</v>
      </c>
      <c r="C18" s="94">
        <v>1</v>
      </c>
      <c r="D18" s="99">
        <v>5</v>
      </c>
      <c r="E18" s="99">
        <f>ROUND((VLOOKUP(B18,'2.2'!$A$6:$F$31,4,FALSE)/SUM(C18,D18)/1000),0)</f>
        <v>25</v>
      </c>
    </row>
    <row r="19" spans="1:7" ht="24" customHeight="1">
      <c r="A19" s="266">
        <v>14</v>
      </c>
      <c r="B19" s="337" t="s">
        <v>47</v>
      </c>
      <c r="C19" s="94">
        <v>8</v>
      </c>
      <c r="D19" s="99">
        <v>1</v>
      </c>
      <c r="E19" s="99">
        <f>ROUND((VLOOKUP(B19,'2.2'!$A$6:$F$31,4,FALSE)/SUM(C19,D19)/1000),0)</f>
        <v>19</v>
      </c>
    </row>
    <row r="20" spans="1:7" ht="24" customHeight="1">
      <c r="A20" s="266">
        <v>15</v>
      </c>
      <c r="B20" s="337" t="s">
        <v>36</v>
      </c>
      <c r="C20" s="94">
        <v>7</v>
      </c>
      <c r="D20" s="99">
        <v>3</v>
      </c>
      <c r="E20" s="99">
        <f>ROUND((VLOOKUP(B20,'2.2'!$A$6:$F$31,4,FALSE)/SUM(C20,D20)/1000),0)</f>
        <v>20</v>
      </c>
    </row>
    <row r="21" spans="1:7" ht="24" customHeight="1">
      <c r="A21" s="266">
        <v>16</v>
      </c>
      <c r="B21" s="337" t="s">
        <v>37</v>
      </c>
      <c r="C21" s="94">
        <v>6</v>
      </c>
      <c r="D21" s="99">
        <v>1</v>
      </c>
      <c r="E21" s="99">
        <f>ROUND((VLOOKUP(B21,'2.2'!$A$6:$F$31,4,FALSE)/SUM(C21,D21)/1000),0)</f>
        <v>14</v>
      </c>
    </row>
    <row r="22" spans="1:7" ht="24" customHeight="1">
      <c r="A22" s="266">
        <v>17</v>
      </c>
      <c r="B22" s="337" t="s">
        <v>38</v>
      </c>
      <c r="C22" s="94">
        <v>8</v>
      </c>
      <c r="D22" s="99">
        <v>2</v>
      </c>
      <c r="E22" s="99">
        <f>ROUND((VLOOKUP(B22,'2.2'!$A$6:$F$31,4,FALSE)/SUM(C22,D22)/1000),0)</f>
        <v>20</v>
      </c>
    </row>
    <row r="23" spans="1:7" ht="24" customHeight="1">
      <c r="A23" s="266">
        <v>18</v>
      </c>
      <c r="B23" s="337" t="s">
        <v>40</v>
      </c>
      <c r="C23" s="94">
        <v>8</v>
      </c>
      <c r="D23" s="99">
        <v>5</v>
      </c>
      <c r="E23" s="99">
        <f>ROUND((VLOOKUP(B23,'2.2'!$A$6:$F$31,4,FALSE)/SUM(C23,D23)/1000),0)</f>
        <v>9</v>
      </c>
    </row>
    <row r="24" spans="1:7" ht="24" customHeight="1">
      <c r="A24" s="266">
        <v>19</v>
      </c>
      <c r="B24" s="337" t="s">
        <v>52</v>
      </c>
      <c r="C24" s="94">
        <v>4</v>
      </c>
      <c r="D24" s="99">
        <v>5</v>
      </c>
      <c r="E24" s="99">
        <f>ROUND((VLOOKUP(B24,'2.2'!$A$6:$F$31,4,FALSE)/SUM(C24,D24)/1000),0)</f>
        <v>13</v>
      </c>
    </row>
    <row r="25" spans="1:7" ht="24" customHeight="1">
      <c r="A25" s="267">
        <v>20</v>
      </c>
      <c r="B25" s="401" t="s">
        <v>39</v>
      </c>
      <c r="C25" s="43">
        <v>3</v>
      </c>
      <c r="D25" s="89">
        <v>2</v>
      </c>
      <c r="E25" s="89">
        <f>ROUND((VLOOKUP(B25,'2.2'!$A$6:$F$31,4,FALSE)/SUM(C25,D25)/1000),0)</f>
        <v>16</v>
      </c>
    </row>
    <row r="26" spans="1:7">
      <c r="A26" s="540" t="s">
        <v>1682</v>
      </c>
      <c r="B26" s="49"/>
      <c r="C26" s="49"/>
      <c r="D26" s="359"/>
      <c r="E26" s="360" t="s">
        <v>1494</v>
      </c>
    </row>
    <row r="27" spans="1:7">
      <c r="A27" s="49"/>
      <c r="B27" s="49"/>
      <c r="C27" s="49"/>
      <c r="D27" s="159"/>
      <c r="E27" s="159"/>
    </row>
  </sheetData>
  <mergeCells count="4">
    <mergeCell ref="A1:E1"/>
    <mergeCell ref="A2:E2"/>
    <mergeCell ref="C3:D3"/>
    <mergeCell ref="B3:B4"/>
  </mergeCells>
  <phoneticPr fontId="0" type="noConversion"/>
  <printOptions horizontalCentered="1"/>
  <pageMargins left="0.1" right="0.1" top="1.1100000000000001" bottom="0.1" header="0.5" footer="0.1"/>
  <pageSetup paperSize="9" orientation="portrait" blackAndWhite="1" r:id="rId1"/>
  <headerFooter alignWithMargins="0"/>
</worksheet>
</file>

<file path=xl/worksheets/sheet84.xml><?xml version="1.0" encoding="utf-8"?>
<worksheet xmlns="http://schemas.openxmlformats.org/spreadsheetml/2006/main" xmlns:r="http://schemas.openxmlformats.org/officeDocument/2006/relationships">
  <dimension ref="A1:E25"/>
  <sheetViews>
    <sheetView workbookViewId="0">
      <selection activeCell="L7" sqref="L7"/>
    </sheetView>
  </sheetViews>
  <sheetFormatPr defaultRowHeight="12.75"/>
  <cols>
    <col min="1" max="1" width="5.140625" customWidth="1"/>
    <col min="2" max="2" width="18.5703125" customWidth="1"/>
    <col min="3" max="3" width="19.28515625" customWidth="1"/>
    <col min="4" max="4" width="20" customWidth="1"/>
    <col min="5" max="5" width="24.28515625" customWidth="1"/>
  </cols>
  <sheetData>
    <row r="1" spans="1:5" ht="18.75" customHeight="1">
      <c r="A1" s="1658" t="s">
        <v>911</v>
      </c>
      <c r="B1" s="1658"/>
      <c r="C1" s="1658"/>
      <c r="D1" s="1658"/>
      <c r="E1" s="1658"/>
    </row>
    <row r="2" spans="1:5" ht="20.25" customHeight="1">
      <c r="A2" s="1660" t="str">
        <f>CONCATENATE("Co-operative Societies in the Blocks of ",District!$A$1," for the year ",District!F3)</f>
        <v>Co-operative Societies in the Blocks of Purulia for the year 2013-14</v>
      </c>
      <c r="B2" s="1660"/>
      <c r="C2" s="1660"/>
      <c r="D2" s="1660"/>
      <c r="E2" s="1660"/>
    </row>
    <row r="3" spans="1:5" ht="27" customHeight="1">
      <c r="A3" s="285" t="s">
        <v>30</v>
      </c>
      <c r="B3" s="150" t="s">
        <v>293</v>
      </c>
      <c r="C3" s="285" t="s">
        <v>1267</v>
      </c>
      <c r="D3" s="150" t="s">
        <v>1268</v>
      </c>
      <c r="E3" s="150" t="s">
        <v>282</v>
      </c>
    </row>
    <row r="4" spans="1:5" ht="18" customHeight="1">
      <c r="A4" s="293" t="s">
        <v>1008</v>
      </c>
      <c r="B4" s="277" t="s">
        <v>1009</v>
      </c>
      <c r="C4" s="293" t="s">
        <v>1010</v>
      </c>
      <c r="D4" s="278" t="s">
        <v>1011</v>
      </c>
      <c r="E4" s="293" t="s">
        <v>1015</v>
      </c>
    </row>
    <row r="5" spans="1:5" ht="24" customHeight="1">
      <c r="A5" s="87">
        <v>1</v>
      </c>
      <c r="B5" s="323" t="s">
        <v>26</v>
      </c>
      <c r="C5" s="126">
        <v>17</v>
      </c>
      <c r="D5" s="131">
        <v>5198</v>
      </c>
      <c r="E5" s="126">
        <v>54528</v>
      </c>
    </row>
    <row r="6" spans="1:5" ht="24" customHeight="1">
      <c r="A6" s="87">
        <v>2</v>
      </c>
      <c r="B6" s="323" t="s">
        <v>27</v>
      </c>
      <c r="C6" s="126">
        <v>30</v>
      </c>
      <c r="D6" s="131">
        <v>11144</v>
      </c>
      <c r="E6" s="126">
        <v>132318</v>
      </c>
    </row>
    <row r="7" spans="1:5" ht="24" customHeight="1">
      <c r="A7" s="87">
        <v>3</v>
      </c>
      <c r="B7" s="323" t="s">
        <v>53</v>
      </c>
      <c r="C7" s="126">
        <v>16</v>
      </c>
      <c r="D7" s="131">
        <v>8510</v>
      </c>
      <c r="E7" s="126">
        <v>63817</v>
      </c>
    </row>
    <row r="8" spans="1:5" ht="24" customHeight="1">
      <c r="A8" s="87">
        <v>4</v>
      </c>
      <c r="B8" s="323" t="s">
        <v>28</v>
      </c>
      <c r="C8" s="126">
        <v>18</v>
      </c>
      <c r="D8" s="131">
        <v>9856</v>
      </c>
      <c r="E8" s="126">
        <v>41556</v>
      </c>
    </row>
    <row r="9" spans="1:5" ht="24" customHeight="1">
      <c r="A9" s="87">
        <v>5</v>
      </c>
      <c r="B9" s="323" t="s">
        <v>72</v>
      </c>
      <c r="C9" s="126">
        <v>24</v>
      </c>
      <c r="D9" s="131">
        <v>12259</v>
      </c>
      <c r="E9" s="126">
        <v>144399</v>
      </c>
    </row>
    <row r="10" spans="1:5" ht="24" customHeight="1">
      <c r="A10" s="87">
        <v>6</v>
      </c>
      <c r="B10" s="323" t="s">
        <v>48</v>
      </c>
      <c r="C10" s="126">
        <v>30</v>
      </c>
      <c r="D10" s="131">
        <v>13079</v>
      </c>
      <c r="E10" s="126">
        <v>115812</v>
      </c>
    </row>
    <row r="11" spans="1:5" ht="24" customHeight="1">
      <c r="A11" s="87">
        <v>7</v>
      </c>
      <c r="B11" s="323" t="s">
        <v>54</v>
      </c>
      <c r="C11" s="126">
        <v>20</v>
      </c>
      <c r="D11" s="131">
        <v>10817</v>
      </c>
      <c r="E11" s="126">
        <v>76435</v>
      </c>
    </row>
    <row r="12" spans="1:5" ht="24" customHeight="1">
      <c r="A12" s="87">
        <v>8</v>
      </c>
      <c r="B12" s="323" t="s">
        <v>33</v>
      </c>
      <c r="C12" s="126">
        <v>20</v>
      </c>
      <c r="D12" s="131">
        <v>7985</v>
      </c>
      <c r="E12" s="126">
        <v>23293</v>
      </c>
    </row>
    <row r="13" spans="1:5" ht="24" customHeight="1">
      <c r="A13" s="87">
        <v>9</v>
      </c>
      <c r="B13" s="323" t="s">
        <v>34</v>
      </c>
      <c r="C13" s="126">
        <v>41</v>
      </c>
      <c r="D13" s="131">
        <v>11682</v>
      </c>
      <c r="E13" s="126">
        <v>115325</v>
      </c>
    </row>
    <row r="14" spans="1:5" ht="24" customHeight="1">
      <c r="A14" s="87">
        <v>10</v>
      </c>
      <c r="B14" s="323" t="s">
        <v>55</v>
      </c>
      <c r="C14" s="126">
        <v>24</v>
      </c>
      <c r="D14" s="131">
        <v>10973</v>
      </c>
      <c r="E14" s="126">
        <v>59122</v>
      </c>
    </row>
    <row r="15" spans="1:5" ht="24" customHeight="1">
      <c r="A15" s="87">
        <v>11</v>
      </c>
      <c r="B15" s="323" t="s">
        <v>56</v>
      </c>
      <c r="C15" s="126">
        <v>21</v>
      </c>
      <c r="D15" s="131">
        <v>7235</v>
      </c>
      <c r="E15" s="126">
        <v>51208</v>
      </c>
    </row>
    <row r="16" spans="1:5" ht="24" customHeight="1">
      <c r="A16" s="87">
        <v>12</v>
      </c>
      <c r="B16" s="323" t="s">
        <v>45</v>
      </c>
      <c r="C16" s="126">
        <v>29</v>
      </c>
      <c r="D16" s="131">
        <v>12923</v>
      </c>
      <c r="E16" s="126">
        <v>128338</v>
      </c>
    </row>
    <row r="17" spans="1:5" ht="24" customHeight="1">
      <c r="A17" s="87">
        <v>13</v>
      </c>
      <c r="B17" s="323" t="s">
        <v>46</v>
      </c>
      <c r="C17" s="126">
        <v>29</v>
      </c>
      <c r="D17" s="131">
        <v>10347</v>
      </c>
      <c r="E17" s="126">
        <v>56115</v>
      </c>
    </row>
    <row r="18" spans="1:5" ht="24" customHeight="1">
      <c r="A18" s="87">
        <v>14</v>
      </c>
      <c r="B18" s="323" t="s">
        <v>47</v>
      </c>
      <c r="C18" s="126">
        <v>32</v>
      </c>
      <c r="D18" s="131">
        <v>4742</v>
      </c>
      <c r="E18" s="126">
        <v>50478</v>
      </c>
    </row>
    <row r="19" spans="1:5" ht="24" customHeight="1">
      <c r="A19" s="87">
        <v>15</v>
      </c>
      <c r="B19" s="323" t="s">
        <v>36</v>
      </c>
      <c r="C19" s="126">
        <v>26</v>
      </c>
      <c r="D19" s="131">
        <v>12622</v>
      </c>
      <c r="E19" s="126">
        <v>113398</v>
      </c>
    </row>
    <row r="20" spans="1:5" ht="24" customHeight="1">
      <c r="A20" s="87">
        <v>16</v>
      </c>
      <c r="B20" s="323" t="s">
        <v>37</v>
      </c>
      <c r="C20" s="126">
        <v>15</v>
      </c>
      <c r="D20" s="131">
        <v>1660</v>
      </c>
      <c r="E20" s="126">
        <v>20625</v>
      </c>
    </row>
    <row r="21" spans="1:5" ht="24" customHeight="1">
      <c r="A21" s="87">
        <v>17</v>
      </c>
      <c r="B21" s="323" t="s">
        <v>38</v>
      </c>
      <c r="C21" s="126">
        <v>37</v>
      </c>
      <c r="D21" s="131">
        <v>11165</v>
      </c>
      <c r="E21" s="126">
        <v>40115</v>
      </c>
    </row>
    <row r="22" spans="1:5" ht="24" customHeight="1">
      <c r="A22" s="87">
        <v>18</v>
      </c>
      <c r="B22" s="323" t="s">
        <v>40</v>
      </c>
      <c r="C22" s="126">
        <v>26</v>
      </c>
      <c r="D22" s="131">
        <v>7522</v>
      </c>
      <c r="E22" s="126">
        <v>40225</v>
      </c>
    </row>
    <row r="23" spans="1:5" ht="24" customHeight="1">
      <c r="A23" s="87">
        <v>19</v>
      </c>
      <c r="B23" s="323" t="s">
        <v>52</v>
      </c>
      <c r="C23" s="126">
        <v>22</v>
      </c>
      <c r="D23" s="131">
        <v>6905</v>
      </c>
      <c r="E23" s="126">
        <v>33678</v>
      </c>
    </row>
    <row r="24" spans="1:5" ht="24" customHeight="1">
      <c r="A24" s="88">
        <v>20</v>
      </c>
      <c r="B24" s="404" t="s">
        <v>39</v>
      </c>
      <c r="C24" s="128">
        <v>10</v>
      </c>
      <c r="D24" s="129">
        <v>2085</v>
      </c>
      <c r="E24" s="128">
        <v>10395</v>
      </c>
    </row>
    <row r="25" spans="1:5">
      <c r="A25" s="5"/>
      <c r="B25" s="5"/>
      <c r="C25" s="316"/>
      <c r="D25" s="316"/>
      <c r="E25" s="581" t="s">
        <v>804</v>
      </c>
    </row>
  </sheetData>
  <mergeCells count="2">
    <mergeCell ref="A1:E1"/>
    <mergeCell ref="A2:E2"/>
  </mergeCells>
  <phoneticPr fontId="0" type="noConversion"/>
  <printOptions horizontalCentered="1"/>
  <pageMargins left="0.1" right="0.1" top="1" bottom="0.1" header="0.5" footer="0.5"/>
  <pageSetup paperSize="9" orientation="portrait" blackAndWhite="1" r:id="rId1"/>
  <headerFooter alignWithMargins="0"/>
</worksheet>
</file>

<file path=xl/worksheets/sheet85.xml><?xml version="1.0" encoding="utf-8"?>
<worksheet xmlns="http://schemas.openxmlformats.org/spreadsheetml/2006/main" xmlns:r="http://schemas.openxmlformats.org/officeDocument/2006/relationships">
  <dimension ref="A1:N37"/>
  <sheetViews>
    <sheetView workbookViewId="0">
      <selection activeCell="L7" sqref="L7"/>
    </sheetView>
  </sheetViews>
  <sheetFormatPr defaultRowHeight="12.75"/>
  <cols>
    <col min="1" max="1" width="5.28515625" customWidth="1"/>
    <col min="2" max="2" width="17.28515625" customWidth="1"/>
    <col min="3" max="7" width="12.85546875" customWidth="1"/>
    <col min="8" max="11" width="14.28515625" customWidth="1"/>
  </cols>
  <sheetData>
    <row r="1" spans="1:10" ht="17.25" customHeight="1">
      <c r="A1" s="1658" t="s">
        <v>913</v>
      </c>
      <c r="B1" s="1658"/>
      <c r="C1" s="1658"/>
      <c r="D1" s="1658"/>
      <c r="E1" s="1658"/>
      <c r="F1" s="1658"/>
      <c r="G1" s="1658"/>
      <c r="H1" s="1658"/>
      <c r="I1" s="1658"/>
      <c r="J1" s="1658"/>
    </row>
    <row r="2" spans="1:10" ht="18" customHeight="1">
      <c r="A2" s="1670" t="str">
        <f>CONCATENATE("Length of Roads maintained by different agencies in the Blocks of ",District!$A$1," for the year ",District!F3)</f>
        <v>Length of Roads maintained by different agencies in the Blocks of Purulia for the year 2013-14</v>
      </c>
      <c r="B2" s="1670"/>
      <c r="C2" s="1670"/>
      <c r="D2" s="1670"/>
      <c r="E2" s="1670"/>
      <c r="F2" s="1670"/>
      <c r="G2" s="1670"/>
      <c r="H2" s="1670"/>
      <c r="I2" s="1670"/>
      <c r="J2" s="1670"/>
    </row>
    <row r="3" spans="1:10" ht="14.25" customHeight="1">
      <c r="B3" s="3"/>
      <c r="C3" s="3"/>
      <c r="D3" s="3"/>
      <c r="E3" s="3"/>
      <c r="F3" s="3"/>
      <c r="G3" s="3"/>
      <c r="J3" s="320" t="s">
        <v>224</v>
      </c>
    </row>
    <row r="4" spans="1:10" ht="26.25" customHeight="1">
      <c r="A4" s="1668" t="s">
        <v>30</v>
      </c>
      <c r="B4" s="1661" t="s">
        <v>293</v>
      </c>
      <c r="C4" s="1713" t="s">
        <v>225</v>
      </c>
      <c r="D4" s="1714"/>
      <c r="E4" s="1713" t="s">
        <v>226</v>
      </c>
      <c r="F4" s="1714"/>
      <c r="G4" s="1901" t="s">
        <v>227</v>
      </c>
      <c r="H4" s="1902"/>
      <c r="I4" s="1901" t="s">
        <v>467</v>
      </c>
      <c r="J4" s="1902"/>
    </row>
    <row r="5" spans="1:10" ht="15.75" customHeight="1">
      <c r="A5" s="1669"/>
      <c r="B5" s="1666"/>
      <c r="C5" s="443" t="s">
        <v>998</v>
      </c>
      <c r="D5" s="247" t="s">
        <v>413</v>
      </c>
      <c r="E5" s="443" t="s">
        <v>998</v>
      </c>
      <c r="F5" s="247" t="s">
        <v>413</v>
      </c>
      <c r="G5" s="444" t="s">
        <v>998</v>
      </c>
      <c r="H5" s="247" t="s">
        <v>413</v>
      </c>
      <c r="I5" s="444" t="s">
        <v>998</v>
      </c>
      <c r="J5" s="247" t="s">
        <v>413</v>
      </c>
    </row>
    <row r="6" spans="1:10" ht="15.75" customHeight="1">
      <c r="A6" s="293" t="s">
        <v>1008</v>
      </c>
      <c r="B6" s="278" t="s">
        <v>1009</v>
      </c>
      <c r="C6" s="277" t="s">
        <v>1010</v>
      </c>
      <c r="D6" s="293" t="s">
        <v>1011</v>
      </c>
      <c r="E6" s="277" t="s">
        <v>1015</v>
      </c>
      <c r="F6" s="293" t="s">
        <v>1016</v>
      </c>
      <c r="G6" s="278" t="s">
        <v>1017</v>
      </c>
      <c r="H6" s="293" t="s">
        <v>1039</v>
      </c>
      <c r="I6" s="278" t="s">
        <v>1040</v>
      </c>
      <c r="J6" s="293" t="s">
        <v>1041</v>
      </c>
    </row>
    <row r="7" spans="1:10" ht="18" customHeight="1">
      <c r="A7" s="87">
        <v>1</v>
      </c>
      <c r="B7" s="445" t="s">
        <v>1542</v>
      </c>
      <c r="C7" s="167">
        <v>45</v>
      </c>
      <c r="D7" s="99" t="s">
        <v>57</v>
      </c>
      <c r="E7" s="167">
        <v>50.5</v>
      </c>
      <c r="F7" s="168">
        <v>50.79</v>
      </c>
      <c r="G7" s="55">
        <v>57</v>
      </c>
      <c r="H7" s="168">
        <v>203</v>
      </c>
      <c r="I7" s="169">
        <v>48.7</v>
      </c>
      <c r="J7" s="169" t="s">
        <v>57</v>
      </c>
    </row>
    <row r="8" spans="1:10" ht="18" customHeight="1">
      <c r="A8" s="87">
        <v>2</v>
      </c>
      <c r="B8" s="445" t="s">
        <v>27</v>
      </c>
      <c r="C8" s="167">
        <v>35.200000000000003</v>
      </c>
      <c r="D8" s="99" t="s">
        <v>57</v>
      </c>
      <c r="E8" s="167">
        <v>48</v>
      </c>
      <c r="F8" s="168">
        <v>9</v>
      </c>
      <c r="G8" s="55">
        <v>30</v>
      </c>
      <c r="H8" s="168">
        <v>138</v>
      </c>
      <c r="I8" s="168">
        <v>45.4</v>
      </c>
      <c r="J8" s="168" t="s">
        <v>57</v>
      </c>
    </row>
    <row r="9" spans="1:10" ht="18" customHeight="1">
      <c r="A9" s="87">
        <v>3</v>
      </c>
      <c r="B9" s="445" t="s">
        <v>53</v>
      </c>
      <c r="C9" s="167">
        <v>49.1</v>
      </c>
      <c r="D9" s="99" t="s">
        <v>57</v>
      </c>
      <c r="E9" s="167">
        <v>31.3</v>
      </c>
      <c r="F9" s="168">
        <v>11.1</v>
      </c>
      <c r="G9" s="55">
        <v>57</v>
      </c>
      <c r="H9" s="168">
        <v>272</v>
      </c>
      <c r="I9" s="168">
        <v>36.956000000000003</v>
      </c>
      <c r="J9" s="168" t="s">
        <v>57</v>
      </c>
    </row>
    <row r="10" spans="1:10" ht="18" customHeight="1">
      <c r="A10" s="87">
        <v>4</v>
      </c>
      <c r="B10" s="445" t="s">
        <v>28</v>
      </c>
      <c r="C10" s="167">
        <v>43.85</v>
      </c>
      <c r="D10" s="99" t="s">
        <v>57</v>
      </c>
      <c r="E10" s="167">
        <v>27.5</v>
      </c>
      <c r="F10" s="168">
        <v>10.37</v>
      </c>
      <c r="G10" s="55">
        <v>48.02</v>
      </c>
      <c r="H10" s="168">
        <v>132</v>
      </c>
      <c r="I10" s="168">
        <v>100.119</v>
      </c>
      <c r="J10" s="168" t="s">
        <v>57</v>
      </c>
    </row>
    <row r="11" spans="1:10" ht="18" customHeight="1">
      <c r="A11" s="87">
        <v>5</v>
      </c>
      <c r="B11" s="445" t="s">
        <v>72</v>
      </c>
      <c r="C11" s="167">
        <v>17.260000000000002</v>
      </c>
      <c r="D11" s="99" t="s">
        <v>57</v>
      </c>
      <c r="E11" s="167">
        <v>69.5</v>
      </c>
      <c r="F11" s="168">
        <v>9</v>
      </c>
      <c r="G11" s="55">
        <v>55</v>
      </c>
      <c r="H11" s="168">
        <v>216</v>
      </c>
      <c r="I11" s="168">
        <v>45.05</v>
      </c>
      <c r="J11" s="168" t="s">
        <v>57</v>
      </c>
    </row>
    <row r="12" spans="1:10" ht="18" customHeight="1">
      <c r="A12" s="87">
        <v>6</v>
      </c>
      <c r="B12" s="445" t="s">
        <v>48</v>
      </c>
      <c r="C12" s="167">
        <v>36.799999999999997</v>
      </c>
      <c r="D12" s="99" t="s">
        <v>57</v>
      </c>
      <c r="E12" s="167">
        <v>58</v>
      </c>
      <c r="F12" s="168">
        <v>17</v>
      </c>
      <c r="G12" s="55">
        <v>48</v>
      </c>
      <c r="H12" s="168">
        <v>250</v>
      </c>
      <c r="I12" s="168">
        <v>32.840000000000003</v>
      </c>
      <c r="J12" s="168" t="s">
        <v>57</v>
      </c>
    </row>
    <row r="13" spans="1:10" ht="18" customHeight="1">
      <c r="A13" s="87">
        <v>7</v>
      </c>
      <c r="B13" s="445" t="s">
        <v>54</v>
      </c>
      <c r="C13" s="167">
        <v>24.5</v>
      </c>
      <c r="D13" s="99" t="s">
        <v>57</v>
      </c>
      <c r="E13" s="167">
        <v>64</v>
      </c>
      <c r="F13" s="168">
        <v>20</v>
      </c>
      <c r="G13" s="55">
        <v>53.9</v>
      </c>
      <c r="H13" s="168">
        <v>210.17</v>
      </c>
      <c r="I13" s="168">
        <v>66.349999999999994</v>
      </c>
      <c r="J13" s="168" t="s">
        <v>57</v>
      </c>
    </row>
    <row r="14" spans="1:10" ht="18" customHeight="1">
      <c r="A14" s="87">
        <v>8</v>
      </c>
      <c r="B14" s="445" t="s">
        <v>33</v>
      </c>
      <c r="C14" s="167">
        <v>45.17</v>
      </c>
      <c r="D14" s="99" t="s">
        <v>57</v>
      </c>
      <c r="E14" s="535">
        <v>32.5</v>
      </c>
      <c r="F14" s="168">
        <v>8</v>
      </c>
      <c r="G14" s="55">
        <v>56.63</v>
      </c>
      <c r="H14" s="168">
        <v>139.88999999999999</v>
      </c>
      <c r="I14" s="168">
        <v>66.108999999999995</v>
      </c>
      <c r="J14" s="168" t="s">
        <v>57</v>
      </c>
    </row>
    <row r="15" spans="1:10" ht="18" customHeight="1">
      <c r="A15" s="87">
        <v>9</v>
      </c>
      <c r="B15" s="445" t="s">
        <v>34</v>
      </c>
      <c r="C15" s="167">
        <v>68.41</v>
      </c>
      <c r="D15" s="99" t="s">
        <v>57</v>
      </c>
      <c r="E15" s="535">
        <v>39.33</v>
      </c>
      <c r="F15" s="168">
        <v>11</v>
      </c>
      <c r="G15" s="55">
        <v>70</v>
      </c>
      <c r="H15" s="168">
        <v>96.54</v>
      </c>
      <c r="I15" s="168">
        <v>103.64</v>
      </c>
      <c r="J15" s="168" t="s">
        <v>57</v>
      </c>
    </row>
    <row r="16" spans="1:10" ht="18" customHeight="1">
      <c r="A16" s="87">
        <v>10</v>
      </c>
      <c r="B16" s="445" t="s">
        <v>55</v>
      </c>
      <c r="C16" s="167">
        <v>64</v>
      </c>
      <c r="D16" s="99" t="s">
        <v>57</v>
      </c>
      <c r="E16" s="535">
        <v>38.5</v>
      </c>
      <c r="F16" s="168">
        <v>12</v>
      </c>
      <c r="G16" s="55">
        <v>45</v>
      </c>
      <c r="H16" s="168">
        <v>125</v>
      </c>
      <c r="I16" s="168">
        <v>52.57</v>
      </c>
      <c r="J16" s="168" t="s">
        <v>57</v>
      </c>
    </row>
    <row r="17" spans="1:10" ht="18" customHeight="1">
      <c r="A17" s="87">
        <v>11</v>
      </c>
      <c r="B17" s="445" t="s">
        <v>56</v>
      </c>
      <c r="C17" s="167">
        <v>27</v>
      </c>
      <c r="D17" s="99" t="s">
        <v>57</v>
      </c>
      <c r="E17" s="535">
        <v>35</v>
      </c>
      <c r="F17" s="168">
        <v>33.299999999999997</v>
      </c>
      <c r="G17" s="55">
        <v>45</v>
      </c>
      <c r="H17" s="168">
        <v>262</v>
      </c>
      <c r="I17" s="168">
        <v>49.88</v>
      </c>
      <c r="J17" s="168" t="s">
        <v>57</v>
      </c>
    </row>
    <row r="18" spans="1:10" ht="18" customHeight="1">
      <c r="A18" s="87">
        <v>12</v>
      </c>
      <c r="B18" s="445" t="s">
        <v>45</v>
      </c>
      <c r="C18" s="167">
        <v>51.63</v>
      </c>
      <c r="D18" s="99" t="s">
        <v>57</v>
      </c>
      <c r="E18" s="535">
        <v>61.5</v>
      </c>
      <c r="F18" s="168">
        <v>5.5</v>
      </c>
      <c r="G18" s="55">
        <v>42</v>
      </c>
      <c r="H18" s="168">
        <v>151.4</v>
      </c>
      <c r="I18" s="168">
        <v>42.5</v>
      </c>
      <c r="J18" s="168" t="s">
        <v>57</v>
      </c>
    </row>
    <row r="19" spans="1:10" ht="18" customHeight="1">
      <c r="A19" s="87">
        <v>13</v>
      </c>
      <c r="B19" s="445" t="s">
        <v>46</v>
      </c>
      <c r="C19" s="167">
        <v>75.2</v>
      </c>
      <c r="D19" s="99" t="s">
        <v>57</v>
      </c>
      <c r="E19" s="535">
        <v>63.2</v>
      </c>
      <c r="F19" s="168">
        <v>25.6</v>
      </c>
      <c r="G19" s="55">
        <v>205</v>
      </c>
      <c r="H19" s="168">
        <v>470</v>
      </c>
      <c r="I19" s="168">
        <v>31.15</v>
      </c>
      <c r="J19" s="168" t="s">
        <v>57</v>
      </c>
    </row>
    <row r="20" spans="1:10" ht="18" customHeight="1">
      <c r="A20" s="87">
        <v>14</v>
      </c>
      <c r="B20" s="445" t="s">
        <v>47</v>
      </c>
      <c r="C20" s="167">
        <v>43.5</v>
      </c>
      <c r="D20" s="99" t="s">
        <v>57</v>
      </c>
      <c r="E20" s="167">
        <v>59.25</v>
      </c>
      <c r="F20" s="168" t="s">
        <v>57</v>
      </c>
      <c r="G20" s="55">
        <v>49</v>
      </c>
      <c r="H20" s="168">
        <v>160</v>
      </c>
      <c r="I20" s="168">
        <v>37.93</v>
      </c>
      <c r="J20" s="168" t="s">
        <v>57</v>
      </c>
    </row>
    <row r="21" spans="1:10" ht="18" customHeight="1">
      <c r="A21" s="87">
        <v>15</v>
      </c>
      <c r="B21" s="445" t="s">
        <v>36</v>
      </c>
      <c r="C21" s="167">
        <v>18</v>
      </c>
      <c r="D21" s="99" t="s">
        <v>57</v>
      </c>
      <c r="E21" s="167">
        <v>53</v>
      </c>
      <c r="F21" s="168" t="s">
        <v>57</v>
      </c>
      <c r="G21" s="55">
        <v>35</v>
      </c>
      <c r="H21" s="168">
        <v>314</v>
      </c>
      <c r="I21" s="168">
        <v>76.53</v>
      </c>
      <c r="J21" s="168" t="s">
        <v>57</v>
      </c>
    </row>
    <row r="22" spans="1:10" ht="18" customHeight="1">
      <c r="A22" s="87">
        <v>16</v>
      </c>
      <c r="B22" s="445" t="s">
        <v>37</v>
      </c>
      <c r="C22" s="167">
        <v>40.1</v>
      </c>
      <c r="D22" s="99" t="s">
        <v>57</v>
      </c>
      <c r="E22" s="167">
        <v>63</v>
      </c>
      <c r="F22" s="168">
        <v>37</v>
      </c>
      <c r="G22" s="55">
        <v>33</v>
      </c>
      <c r="H22" s="168">
        <v>219</v>
      </c>
      <c r="I22" s="168">
        <v>11.52</v>
      </c>
      <c r="J22" s="168" t="s">
        <v>57</v>
      </c>
    </row>
    <row r="23" spans="1:10" ht="18" customHeight="1">
      <c r="A23" s="87">
        <v>17</v>
      </c>
      <c r="B23" s="445" t="s">
        <v>38</v>
      </c>
      <c r="C23" s="167">
        <v>59.85</v>
      </c>
      <c r="D23" s="99" t="s">
        <v>57</v>
      </c>
      <c r="E23" s="167">
        <v>29.5</v>
      </c>
      <c r="F23" s="168">
        <v>11.7</v>
      </c>
      <c r="G23" s="55">
        <v>65.3</v>
      </c>
      <c r="H23" s="168">
        <v>171.5</v>
      </c>
      <c r="I23" s="168">
        <v>29.164999999999999</v>
      </c>
      <c r="J23" s="168" t="s">
        <v>57</v>
      </c>
    </row>
    <row r="24" spans="1:10" ht="18" customHeight="1">
      <c r="A24" s="87">
        <v>18</v>
      </c>
      <c r="B24" s="446" t="s">
        <v>40</v>
      </c>
      <c r="C24" s="167">
        <v>49.78</v>
      </c>
      <c r="D24" s="99" t="s">
        <v>57</v>
      </c>
      <c r="E24" s="167">
        <v>52.2</v>
      </c>
      <c r="F24" s="168">
        <v>24</v>
      </c>
      <c r="G24" s="55">
        <v>74.5</v>
      </c>
      <c r="H24" s="168">
        <v>140.5</v>
      </c>
      <c r="I24" s="168">
        <v>61.69</v>
      </c>
      <c r="J24" s="168" t="s">
        <v>57</v>
      </c>
    </row>
    <row r="25" spans="1:10" ht="18" customHeight="1">
      <c r="A25" s="87">
        <v>19</v>
      </c>
      <c r="B25" s="446" t="s">
        <v>52</v>
      </c>
      <c r="C25" s="167">
        <v>14</v>
      </c>
      <c r="D25" s="99" t="s">
        <v>57</v>
      </c>
      <c r="E25" s="167">
        <v>34</v>
      </c>
      <c r="F25" s="168">
        <v>29.5</v>
      </c>
      <c r="G25" s="55">
        <v>82.8</v>
      </c>
      <c r="H25" s="168">
        <v>223.5</v>
      </c>
      <c r="I25" s="168">
        <v>45.77</v>
      </c>
      <c r="J25" s="168" t="s">
        <v>57</v>
      </c>
    </row>
    <row r="26" spans="1:10" ht="18" customHeight="1">
      <c r="A26" s="88">
        <v>20</v>
      </c>
      <c r="B26" s="439" t="s">
        <v>39</v>
      </c>
      <c r="C26" s="213">
        <v>15.15</v>
      </c>
      <c r="D26" s="89" t="s">
        <v>57</v>
      </c>
      <c r="E26" s="151">
        <v>51.5</v>
      </c>
      <c r="F26" s="151">
        <v>37.450000000000003</v>
      </c>
      <c r="G26" s="214">
        <v>50</v>
      </c>
      <c r="H26" s="151">
        <v>250</v>
      </c>
      <c r="I26" s="151">
        <v>54.34</v>
      </c>
      <c r="J26" s="151" t="s">
        <v>57</v>
      </c>
    </row>
    <row r="27" spans="1:10">
      <c r="E27" s="338"/>
      <c r="G27" s="559" t="s">
        <v>1469</v>
      </c>
      <c r="H27" s="560" t="s">
        <v>1523</v>
      </c>
      <c r="I27" s="305"/>
      <c r="J27" s="305"/>
    </row>
    <row r="28" spans="1:10">
      <c r="E28" s="305"/>
      <c r="G28" s="560"/>
      <c r="H28" s="560" t="s">
        <v>1524</v>
      </c>
      <c r="I28" s="305"/>
      <c r="J28" s="305"/>
    </row>
    <row r="29" spans="1:10" ht="13.5" customHeight="1">
      <c r="E29" s="305"/>
      <c r="G29" s="560"/>
      <c r="H29" s="560" t="s">
        <v>1477</v>
      </c>
      <c r="I29" s="305"/>
      <c r="J29" s="305"/>
    </row>
    <row r="30" spans="1:10">
      <c r="E30" s="305"/>
      <c r="F30" s="305"/>
      <c r="G30" s="305"/>
      <c r="H30" s="305"/>
      <c r="I30" s="305"/>
      <c r="J30" s="305"/>
    </row>
    <row r="31" spans="1:10">
      <c r="C31" s="240"/>
      <c r="D31" s="240"/>
      <c r="E31" s="240"/>
      <c r="F31" s="240"/>
      <c r="G31" s="240"/>
      <c r="H31" s="240"/>
      <c r="I31" s="241"/>
      <c r="J31" s="240"/>
    </row>
    <row r="35" spans="9:14">
      <c r="J35" s="305"/>
      <c r="K35" s="305"/>
      <c r="L35" s="305"/>
      <c r="M35" s="305"/>
      <c r="N35" s="305"/>
    </row>
    <row r="36" spans="9:14">
      <c r="I36" s="338"/>
      <c r="J36" s="305"/>
      <c r="K36" s="305"/>
      <c r="L36" s="305"/>
      <c r="M36" s="305"/>
      <c r="N36" s="305"/>
    </row>
    <row r="37" spans="9:14">
      <c r="K37" s="305"/>
      <c r="L37" s="305"/>
      <c r="M37" s="305"/>
      <c r="N37" s="305"/>
    </row>
  </sheetData>
  <mergeCells count="8">
    <mergeCell ref="A1:J1"/>
    <mergeCell ref="A2:J2"/>
    <mergeCell ref="I4:J4"/>
    <mergeCell ref="B4:B5"/>
    <mergeCell ref="A4:A5"/>
    <mergeCell ref="C4:D4"/>
    <mergeCell ref="G4:H4"/>
    <mergeCell ref="E4:F4"/>
  </mergeCells>
  <phoneticPr fontId="0" type="noConversion"/>
  <printOptions horizontalCentered="1" verticalCentered="1"/>
  <pageMargins left="0.1" right="0.1" top="0.19" bottom="0.1" header="0.15" footer="0.1"/>
  <pageSetup paperSize="9" orientation="landscape" blackAndWhite="1" r:id="rId1"/>
  <headerFooter alignWithMargins="0"/>
</worksheet>
</file>

<file path=xl/worksheets/sheet86.xml><?xml version="1.0" encoding="utf-8"?>
<worksheet xmlns="http://schemas.openxmlformats.org/spreadsheetml/2006/main" xmlns:r="http://schemas.openxmlformats.org/officeDocument/2006/relationships">
  <dimension ref="A1:E29"/>
  <sheetViews>
    <sheetView workbookViewId="0">
      <selection activeCell="L7" sqref="L7"/>
    </sheetView>
  </sheetViews>
  <sheetFormatPr defaultRowHeight="12.75"/>
  <cols>
    <col min="1" max="1" width="5.5703125" customWidth="1"/>
    <col min="2" max="3" width="18.42578125" customWidth="1"/>
    <col min="4" max="4" width="21.5703125" customWidth="1"/>
    <col min="5" max="5" width="24.5703125" customWidth="1"/>
  </cols>
  <sheetData>
    <row r="1" spans="1:5" ht="16.5" customHeight="1">
      <c r="A1" s="1659" t="s">
        <v>912</v>
      </c>
      <c r="B1" s="1659"/>
      <c r="C1" s="1659"/>
      <c r="D1" s="1659"/>
      <c r="E1" s="1659"/>
    </row>
    <row r="2" spans="1:5" ht="19.5" customHeight="1">
      <c r="A2" s="1839" t="str">
        <f>CONCATENATE("Transport Facilities in the Blocks of ",District!$A$1,"  for the year ",District!F3)</f>
        <v>Transport Facilities in the Blocks of Purulia  for the year 2013-14</v>
      </c>
      <c r="B2" s="1839"/>
      <c r="C2" s="1839"/>
      <c r="D2" s="1839"/>
      <c r="E2" s="1839"/>
    </row>
    <row r="3" spans="1:5" ht="40.5" customHeight="1">
      <c r="A3" s="285" t="s">
        <v>30</v>
      </c>
      <c r="B3" s="150" t="s">
        <v>293</v>
      </c>
      <c r="C3" s="292" t="s">
        <v>585</v>
      </c>
      <c r="D3" s="271" t="s">
        <v>480</v>
      </c>
      <c r="E3" s="209" t="s">
        <v>1167</v>
      </c>
    </row>
    <row r="4" spans="1:5" ht="18" customHeight="1">
      <c r="A4" s="277" t="s">
        <v>1008</v>
      </c>
      <c r="B4" s="293" t="s">
        <v>1009</v>
      </c>
      <c r="C4" s="277" t="s">
        <v>1010</v>
      </c>
      <c r="D4" s="277" t="s">
        <v>1011</v>
      </c>
      <c r="E4" s="293" t="s">
        <v>1015</v>
      </c>
    </row>
    <row r="5" spans="1:5" ht="24" customHeight="1">
      <c r="A5" s="243">
        <v>1</v>
      </c>
      <c r="B5" s="323" t="s">
        <v>1543</v>
      </c>
      <c r="C5" s="1260" t="s">
        <v>57</v>
      </c>
      <c r="D5" s="94">
        <v>6</v>
      </c>
      <c r="E5" s="99">
        <v>20</v>
      </c>
    </row>
    <row r="6" spans="1:5" ht="24" customHeight="1">
      <c r="A6" s="243">
        <v>2</v>
      </c>
      <c r="B6" s="323" t="s">
        <v>27</v>
      </c>
      <c r="C6" s="1260" t="s">
        <v>57</v>
      </c>
      <c r="D6" s="94">
        <v>3</v>
      </c>
      <c r="E6" s="99">
        <v>20</v>
      </c>
    </row>
    <row r="7" spans="1:5" ht="24" customHeight="1">
      <c r="A7" s="243">
        <v>3</v>
      </c>
      <c r="B7" s="323" t="s">
        <v>53</v>
      </c>
      <c r="C7" s="1260" t="s">
        <v>57</v>
      </c>
      <c r="D7" s="94">
        <v>4</v>
      </c>
      <c r="E7" s="99">
        <v>2</v>
      </c>
    </row>
    <row r="8" spans="1:5" ht="24" customHeight="1">
      <c r="A8" s="243">
        <v>4</v>
      </c>
      <c r="B8" s="323" t="s">
        <v>28</v>
      </c>
      <c r="C8" s="1260" t="s">
        <v>57</v>
      </c>
      <c r="D8" s="94">
        <v>8</v>
      </c>
      <c r="E8" s="99">
        <v>19</v>
      </c>
    </row>
    <row r="9" spans="1:5" ht="24" customHeight="1">
      <c r="A9" s="243">
        <v>5</v>
      </c>
      <c r="B9" s="323" t="s">
        <v>72</v>
      </c>
      <c r="C9" s="1260" t="s">
        <v>57</v>
      </c>
      <c r="D9" s="94">
        <v>3</v>
      </c>
      <c r="E9" s="99">
        <v>1</v>
      </c>
    </row>
    <row r="10" spans="1:5" ht="24" customHeight="1">
      <c r="A10" s="243">
        <v>6</v>
      </c>
      <c r="B10" s="323" t="s">
        <v>48</v>
      </c>
      <c r="C10" s="1260" t="s">
        <v>57</v>
      </c>
      <c r="D10" s="94">
        <v>5</v>
      </c>
      <c r="E10" s="99">
        <v>2</v>
      </c>
    </row>
    <row r="11" spans="1:5" ht="24" customHeight="1">
      <c r="A11" s="243">
        <v>7</v>
      </c>
      <c r="B11" s="323" t="s">
        <v>54</v>
      </c>
      <c r="C11" s="1260" t="s">
        <v>57</v>
      </c>
      <c r="D11" s="94">
        <v>5</v>
      </c>
      <c r="E11" s="99">
        <v>1</v>
      </c>
    </row>
    <row r="12" spans="1:5" ht="24" customHeight="1">
      <c r="A12" s="243">
        <v>8</v>
      </c>
      <c r="B12" s="323" t="s">
        <v>33</v>
      </c>
      <c r="C12" s="1260" t="s">
        <v>57</v>
      </c>
      <c r="D12" s="94">
        <v>4</v>
      </c>
      <c r="E12" s="99">
        <v>29</v>
      </c>
    </row>
    <row r="13" spans="1:5" ht="24" customHeight="1">
      <c r="A13" s="243">
        <v>9</v>
      </c>
      <c r="B13" s="323" t="s">
        <v>34</v>
      </c>
      <c r="C13" s="1260" t="s">
        <v>57</v>
      </c>
      <c r="D13" s="94">
        <v>8</v>
      </c>
      <c r="E13" s="99">
        <v>24</v>
      </c>
    </row>
    <row r="14" spans="1:5" ht="24" customHeight="1">
      <c r="A14" s="243">
        <v>10</v>
      </c>
      <c r="B14" s="323" t="s">
        <v>55</v>
      </c>
      <c r="C14" s="94">
        <v>1</v>
      </c>
      <c r="D14" s="94">
        <v>6</v>
      </c>
      <c r="E14" s="99">
        <v>55</v>
      </c>
    </row>
    <row r="15" spans="1:5" ht="24" customHeight="1">
      <c r="A15" s="243">
        <v>11</v>
      </c>
      <c r="B15" s="323" t="s">
        <v>56</v>
      </c>
      <c r="C15" s="1260" t="s">
        <v>57</v>
      </c>
      <c r="D15" s="94">
        <v>6</v>
      </c>
      <c r="E15" s="99">
        <v>80</v>
      </c>
    </row>
    <row r="16" spans="1:5" ht="24" customHeight="1">
      <c r="A16" s="243">
        <v>12</v>
      </c>
      <c r="B16" s="323" t="s">
        <v>45</v>
      </c>
      <c r="C16" s="1260" t="s">
        <v>57</v>
      </c>
      <c r="D16" s="94">
        <v>7</v>
      </c>
      <c r="E16" s="99">
        <v>43</v>
      </c>
    </row>
    <row r="17" spans="1:5" ht="24" customHeight="1">
      <c r="A17" s="243">
        <v>13</v>
      </c>
      <c r="B17" s="323" t="s">
        <v>46</v>
      </c>
      <c r="C17" s="1260" t="s">
        <v>57</v>
      </c>
      <c r="D17" s="94">
        <v>4</v>
      </c>
      <c r="E17" s="99">
        <v>6</v>
      </c>
    </row>
    <row r="18" spans="1:5" ht="24" customHeight="1">
      <c r="A18" s="243">
        <v>14</v>
      </c>
      <c r="B18" s="323" t="s">
        <v>47</v>
      </c>
      <c r="C18" s="1260" t="s">
        <v>57</v>
      </c>
      <c r="D18" s="94">
        <v>6</v>
      </c>
      <c r="E18" s="99">
        <v>4</v>
      </c>
    </row>
    <row r="19" spans="1:5" ht="24" customHeight="1">
      <c r="A19" s="243">
        <v>15</v>
      </c>
      <c r="B19" s="323" t="s">
        <v>36</v>
      </c>
      <c r="C19" s="1260" t="s">
        <v>57</v>
      </c>
      <c r="D19" s="94">
        <v>5</v>
      </c>
      <c r="E19" s="99">
        <v>8</v>
      </c>
    </row>
    <row r="20" spans="1:5" ht="24" customHeight="1">
      <c r="A20" s="243">
        <v>16</v>
      </c>
      <c r="B20" s="323" t="s">
        <v>37</v>
      </c>
      <c r="C20" s="94">
        <v>2</v>
      </c>
      <c r="D20" s="94">
        <v>4</v>
      </c>
      <c r="E20" s="99">
        <v>2</v>
      </c>
    </row>
    <row r="21" spans="1:5" ht="24" customHeight="1">
      <c r="A21" s="243">
        <v>17</v>
      </c>
      <c r="B21" s="323" t="s">
        <v>38</v>
      </c>
      <c r="C21" s="1260" t="s">
        <v>57</v>
      </c>
      <c r="D21" s="94">
        <v>7</v>
      </c>
      <c r="E21" s="99">
        <v>7</v>
      </c>
    </row>
    <row r="22" spans="1:5" ht="24" customHeight="1">
      <c r="A22" s="243">
        <v>18</v>
      </c>
      <c r="B22" s="323" t="s">
        <v>40</v>
      </c>
      <c r="C22" s="1260" t="s">
        <v>57</v>
      </c>
      <c r="D22" s="94">
        <v>8</v>
      </c>
      <c r="E22" s="99">
        <v>4</v>
      </c>
    </row>
    <row r="23" spans="1:5" ht="24" customHeight="1">
      <c r="A23" s="243">
        <v>19</v>
      </c>
      <c r="B23" s="323" t="s">
        <v>52</v>
      </c>
      <c r="C23" s="94">
        <v>2</v>
      </c>
      <c r="D23" s="94">
        <v>5</v>
      </c>
      <c r="E23" s="99">
        <v>9</v>
      </c>
    </row>
    <row r="24" spans="1:5" ht="24" customHeight="1">
      <c r="A24" s="314">
        <v>20</v>
      </c>
      <c r="B24" s="404" t="s">
        <v>39</v>
      </c>
      <c r="C24" s="1259" t="s">
        <v>57</v>
      </c>
      <c r="D24" s="43">
        <v>3</v>
      </c>
      <c r="E24" s="89">
        <v>8</v>
      </c>
    </row>
    <row r="25" spans="1:5" ht="18" customHeight="1">
      <c r="C25" s="316"/>
      <c r="D25" s="316"/>
      <c r="E25" s="718" t="s">
        <v>368</v>
      </c>
    </row>
    <row r="26" spans="1:5" ht="15" customHeight="1">
      <c r="B26" s="245"/>
      <c r="C26" s="245"/>
      <c r="D26" s="245"/>
      <c r="E26" s="245"/>
    </row>
    <row r="27" spans="1:5" ht="19.5" customHeight="1"/>
    <row r="28" spans="1:5" ht="14.25" customHeight="1"/>
    <row r="29" spans="1:5" ht="28.5">
      <c r="A29" s="1903" t="s">
        <v>187</v>
      </c>
      <c r="B29" s="1903"/>
      <c r="C29" s="1903"/>
      <c r="D29" s="1903"/>
      <c r="E29" s="1903"/>
    </row>
  </sheetData>
  <mergeCells count="3">
    <mergeCell ref="A2:E2"/>
    <mergeCell ref="A1:E1"/>
    <mergeCell ref="A29:E29"/>
  </mergeCells>
  <phoneticPr fontId="0" type="noConversion"/>
  <printOptions horizontalCentered="1"/>
  <pageMargins left="0.1" right="0.1" top="1" bottom="0.1" header="0.5" footer="0.24"/>
  <pageSetup paperSize="9" orientation="portrait" blackAndWhite="1" r:id="rId1"/>
  <headerFooter alignWithMargins="0"/>
</worksheet>
</file>

<file path=xl/worksheets/sheet87.xml><?xml version="1.0" encoding="utf-8"?>
<worksheet xmlns="http://schemas.openxmlformats.org/spreadsheetml/2006/main" xmlns:r="http://schemas.openxmlformats.org/officeDocument/2006/relationships">
  <sheetPr codeName="Sheet1"/>
  <dimension ref="A1:G6"/>
  <sheetViews>
    <sheetView workbookViewId="0">
      <selection activeCell="F7" sqref="F7"/>
    </sheetView>
  </sheetViews>
  <sheetFormatPr defaultRowHeight="12.75"/>
  <cols>
    <col min="5" max="5" width="36.85546875" customWidth="1"/>
    <col min="6" max="6" width="18.140625" customWidth="1"/>
  </cols>
  <sheetData>
    <row r="1" spans="1:7">
      <c r="A1" t="s">
        <v>20</v>
      </c>
    </row>
    <row r="2" spans="1:7" ht="18">
      <c r="E2" s="66" t="s">
        <v>586</v>
      </c>
      <c r="F2" s="208">
        <v>2014</v>
      </c>
    </row>
    <row r="3" spans="1:7" ht="18">
      <c r="E3" s="66" t="s">
        <v>587</v>
      </c>
      <c r="F3" s="66" t="s">
        <v>527</v>
      </c>
    </row>
    <row r="4" spans="1:7" ht="18">
      <c r="E4" s="66" t="s">
        <v>588</v>
      </c>
      <c r="F4" s="67" t="s">
        <v>589</v>
      </c>
      <c r="G4">
        <v>2011</v>
      </c>
    </row>
    <row r="5" spans="1:7" ht="18">
      <c r="E5" s="66" t="s">
        <v>1263</v>
      </c>
      <c r="F5" s="208">
        <v>2014</v>
      </c>
    </row>
    <row r="6" spans="1:7" ht="18">
      <c r="E6" s="4" t="s">
        <v>290</v>
      </c>
      <c r="F6" s="675">
        <v>2014</v>
      </c>
    </row>
  </sheetData>
  <phoneticPr fontId="0" type="noConversion"/>
  <pageMargins left="0.75" right="0.75" top="1" bottom="1" header="0.5" footer="0.5"/>
  <pageSetup paperSize="9" orientation="portrait" horizontalDpi="4294967295" verticalDpi="300" r:id="rId1"/>
  <headerFooter alignWithMargins="0"/>
  <drawing r:id="rId2"/>
</worksheet>
</file>

<file path=xl/worksheets/sheet9.xml><?xml version="1.0" encoding="utf-8"?>
<worksheet xmlns="http://schemas.openxmlformats.org/spreadsheetml/2006/main" xmlns:r="http://schemas.openxmlformats.org/officeDocument/2006/relationships">
  <sheetPr codeName="Sheet8"/>
  <dimension ref="A1:F35"/>
  <sheetViews>
    <sheetView workbookViewId="0">
      <selection activeCell="F14" sqref="F14"/>
    </sheetView>
  </sheetViews>
  <sheetFormatPr defaultRowHeight="12.75"/>
  <cols>
    <col min="1" max="1" width="16.5703125" style="723" customWidth="1"/>
    <col min="2" max="2" width="9.140625" style="723"/>
    <col min="3" max="3" width="14.140625" style="723" customWidth="1"/>
    <col min="4" max="4" width="13.85546875" style="723" customWidth="1"/>
    <col min="5" max="5" width="15.28515625" style="723" customWidth="1"/>
    <col min="6" max="6" width="15.7109375" style="723" customWidth="1"/>
    <col min="7" max="16384" width="9.140625" style="723"/>
  </cols>
  <sheetData>
    <row r="1" spans="1:6" ht="15.75" customHeight="1">
      <c r="A1" s="1399" t="s">
        <v>631</v>
      </c>
      <c r="B1" s="1399"/>
      <c r="C1" s="1399"/>
      <c r="D1" s="1399"/>
      <c r="E1" s="1399"/>
      <c r="F1" s="1399"/>
    </row>
    <row r="2" spans="1:6" ht="22.5" customHeight="1">
      <c r="A2" s="1394" t="str">
        <f>CONCATENATE("Area, Population and Density of Population in the district of ",District!$A$1,", 2011")</f>
        <v>Area, Population and Density of Population in the district of Purulia, 2011</v>
      </c>
      <c r="B2" s="1394"/>
      <c r="C2" s="1394"/>
      <c r="D2" s="1394"/>
      <c r="E2" s="1394"/>
      <c r="F2" s="1394"/>
    </row>
    <row r="3" spans="1:6" ht="10.5" customHeight="1">
      <c r="A3" s="724"/>
      <c r="B3" s="724"/>
      <c r="C3" s="724"/>
      <c r="D3" s="724"/>
      <c r="E3" s="724"/>
      <c r="F3" s="778"/>
    </row>
    <row r="4" spans="1:6" ht="39" customHeight="1">
      <c r="A4" s="1456" t="s">
        <v>430</v>
      </c>
      <c r="B4" s="1457"/>
      <c r="C4" s="785" t="s">
        <v>1365</v>
      </c>
      <c r="D4" s="781" t="s">
        <v>204</v>
      </c>
      <c r="E4" s="787" t="s">
        <v>1166</v>
      </c>
      <c r="F4" s="788" t="s">
        <v>205</v>
      </c>
    </row>
    <row r="5" spans="1:6" ht="17.25" customHeight="1">
      <c r="A5" s="1458" t="s">
        <v>1008</v>
      </c>
      <c r="B5" s="1459"/>
      <c r="C5" s="741" t="s">
        <v>1009</v>
      </c>
      <c r="D5" s="729" t="s">
        <v>1010</v>
      </c>
      <c r="E5" s="790" t="s">
        <v>1011</v>
      </c>
      <c r="F5" s="791" t="s">
        <v>1015</v>
      </c>
    </row>
    <row r="6" spans="1:6" ht="21" customHeight="1">
      <c r="A6" s="1460" t="s">
        <v>566</v>
      </c>
      <c r="B6" s="1461"/>
      <c r="C6" s="793">
        <f>SUM(C7:C14)</f>
        <v>2327.98</v>
      </c>
      <c r="D6" s="145">
        <f>SUM(D7:D14)</f>
        <v>1037021</v>
      </c>
      <c r="E6" s="23">
        <f>ROUND(D6/C6,0)</f>
        <v>445</v>
      </c>
      <c r="F6" s="145">
        <f>SUM(F7:F14)</f>
        <v>35.39</v>
      </c>
    </row>
    <row r="7" spans="1:6" ht="21" customHeight="1">
      <c r="A7" s="1454" t="s">
        <v>26</v>
      </c>
      <c r="B7" s="1455"/>
      <c r="C7" s="794">
        <v>375.04</v>
      </c>
      <c r="D7" s="744">
        <v>154736</v>
      </c>
      <c r="E7" s="795">
        <f t="shared" ref="E7:E32" si="0">ROUND(D7/C7,0)</f>
        <v>413</v>
      </c>
      <c r="F7" s="796">
        <f t="shared" ref="F7:F14" si="1">ROUND(D7/$D$32*100,2)</f>
        <v>5.28</v>
      </c>
    </row>
    <row r="8" spans="1:6" ht="21" customHeight="1">
      <c r="A8" s="1454" t="s">
        <v>27</v>
      </c>
      <c r="B8" s="1455"/>
      <c r="C8" s="794">
        <v>427.95</v>
      </c>
      <c r="D8" s="744">
        <v>135579</v>
      </c>
      <c r="E8" s="795">
        <f t="shared" si="0"/>
        <v>317</v>
      </c>
      <c r="F8" s="796">
        <f t="shared" si="1"/>
        <v>4.63</v>
      </c>
    </row>
    <row r="9" spans="1:6" ht="21" customHeight="1">
      <c r="A9" s="1454" t="s">
        <v>53</v>
      </c>
      <c r="B9" s="1455"/>
      <c r="C9" s="794">
        <v>300.88</v>
      </c>
      <c r="D9" s="744">
        <v>137950</v>
      </c>
      <c r="E9" s="795">
        <f t="shared" si="0"/>
        <v>458</v>
      </c>
      <c r="F9" s="796">
        <f t="shared" si="1"/>
        <v>4.71</v>
      </c>
    </row>
    <row r="10" spans="1:6" ht="21" customHeight="1">
      <c r="A10" s="1454" t="s">
        <v>28</v>
      </c>
      <c r="B10" s="1455"/>
      <c r="C10" s="794">
        <v>418.06</v>
      </c>
      <c r="D10" s="744">
        <v>170564</v>
      </c>
      <c r="E10" s="795">
        <f t="shared" si="0"/>
        <v>408</v>
      </c>
      <c r="F10" s="796">
        <f t="shared" si="1"/>
        <v>5.82</v>
      </c>
    </row>
    <row r="11" spans="1:6" ht="21" customHeight="1">
      <c r="A11" s="1454" t="s">
        <v>29</v>
      </c>
      <c r="B11" s="1455"/>
      <c r="C11" s="794">
        <v>230.47</v>
      </c>
      <c r="D11" s="744">
        <v>133349</v>
      </c>
      <c r="E11" s="795">
        <f t="shared" si="0"/>
        <v>579</v>
      </c>
      <c r="F11" s="796">
        <f t="shared" si="1"/>
        <v>4.55</v>
      </c>
    </row>
    <row r="12" spans="1:6" ht="21" customHeight="1">
      <c r="A12" s="1454" t="s">
        <v>48</v>
      </c>
      <c r="B12" s="1455"/>
      <c r="C12" s="794">
        <v>315.08999999999997</v>
      </c>
      <c r="D12" s="744">
        <v>137143</v>
      </c>
      <c r="E12" s="795">
        <f t="shared" si="0"/>
        <v>435</v>
      </c>
      <c r="F12" s="796">
        <f t="shared" si="1"/>
        <v>4.68</v>
      </c>
    </row>
    <row r="13" spans="1:6" ht="21" customHeight="1">
      <c r="A13" s="1454" t="s">
        <v>54</v>
      </c>
      <c r="B13" s="1455"/>
      <c r="C13" s="794">
        <v>256.61</v>
      </c>
      <c r="D13" s="744">
        <v>148156</v>
      </c>
      <c r="E13" s="795">
        <f t="shared" si="0"/>
        <v>577</v>
      </c>
      <c r="F13" s="796">
        <f>ROUND(D13/$D$32*100,2)-0.01</f>
        <v>5.05</v>
      </c>
    </row>
    <row r="14" spans="1:6" ht="21" customHeight="1">
      <c r="A14" s="1454" t="s">
        <v>49</v>
      </c>
      <c r="B14" s="1455"/>
      <c r="C14" s="794">
        <v>3.88</v>
      </c>
      <c r="D14" s="744">
        <v>19544</v>
      </c>
      <c r="E14" s="795">
        <f t="shared" si="0"/>
        <v>5037</v>
      </c>
      <c r="F14" s="796">
        <f t="shared" si="1"/>
        <v>0.67</v>
      </c>
    </row>
    <row r="15" spans="1:6" ht="21" customHeight="1">
      <c r="A15" s="1460" t="s">
        <v>50</v>
      </c>
      <c r="B15" s="1461"/>
      <c r="C15" s="797">
        <f>SUM(C16:C23)</f>
        <v>2336.1999999999998</v>
      </c>
      <c r="D15" s="145">
        <f>SUM(D16:D23)</f>
        <v>1055337</v>
      </c>
      <c r="E15" s="23">
        <f t="shared" si="0"/>
        <v>452</v>
      </c>
      <c r="F15" s="145">
        <f>SUM(F16:F23)</f>
        <v>36.020000000000003</v>
      </c>
    </row>
    <row r="16" spans="1:6" ht="21" customHeight="1">
      <c r="A16" s="1454" t="s">
        <v>33</v>
      </c>
      <c r="B16" s="1455"/>
      <c r="C16" s="794">
        <v>351.25</v>
      </c>
      <c r="D16" s="744">
        <v>94929</v>
      </c>
      <c r="E16" s="795">
        <f t="shared" si="0"/>
        <v>270</v>
      </c>
      <c r="F16" s="796">
        <f t="shared" ref="F16:F26" si="2">ROUND(D16/$D$32*100,2)</f>
        <v>3.24</v>
      </c>
    </row>
    <row r="17" spans="1:6" ht="21" customHeight="1">
      <c r="A17" s="1454" t="s">
        <v>34</v>
      </c>
      <c r="B17" s="1455"/>
      <c r="C17" s="794">
        <v>382.21</v>
      </c>
      <c r="D17" s="744">
        <v>143575</v>
      </c>
      <c r="E17" s="795">
        <f t="shared" si="0"/>
        <v>376</v>
      </c>
      <c r="F17" s="796">
        <f t="shared" si="2"/>
        <v>4.9000000000000004</v>
      </c>
    </row>
    <row r="18" spans="1:6" ht="21" customHeight="1">
      <c r="A18" s="1454" t="s">
        <v>55</v>
      </c>
      <c r="B18" s="1455"/>
      <c r="C18" s="794">
        <v>381.32</v>
      </c>
      <c r="D18" s="744">
        <v>154071</v>
      </c>
      <c r="E18" s="795">
        <f t="shared" si="0"/>
        <v>404</v>
      </c>
      <c r="F18" s="796">
        <f t="shared" si="2"/>
        <v>5.26</v>
      </c>
    </row>
    <row r="19" spans="1:6" ht="21" customHeight="1">
      <c r="A19" s="1454" t="s">
        <v>56</v>
      </c>
      <c r="B19" s="1455"/>
      <c r="C19" s="794">
        <v>285.81</v>
      </c>
      <c r="D19" s="744">
        <v>97164</v>
      </c>
      <c r="E19" s="795">
        <f t="shared" si="0"/>
        <v>340</v>
      </c>
      <c r="F19" s="796">
        <f t="shared" si="2"/>
        <v>3.32</v>
      </c>
    </row>
    <row r="20" spans="1:6" ht="21" customHeight="1">
      <c r="A20" s="1454" t="s">
        <v>45</v>
      </c>
      <c r="B20" s="1455"/>
      <c r="C20" s="794">
        <v>330.11</v>
      </c>
      <c r="D20" s="744">
        <v>123855</v>
      </c>
      <c r="E20" s="795">
        <f t="shared" si="0"/>
        <v>375</v>
      </c>
      <c r="F20" s="796">
        <f t="shared" si="2"/>
        <v>4.2300000000000004</v>
      </c>
    </row>
    <row r="21" spans="1:6" ht="21" customHeight="1">
      <c r="A21" s="1454" t="s">
        <v>46</v>
      </c>
      <c r="B21" s="1455"/>
      <c r="C21" s="794">
        <v>281.5</v>
      </c>
      <c r="D21" s="744">
        <v>151188</v>
      </c>
      <c r="E21" s="795">
        <f t="shared" si="0"/>
        <v>537</v>
      </c>
      <c r="F21" s="796">
        <f t="shared" si="2"/>
        <v>5.16</v>
      </c>
    </row>
    <row r="22" spans="1:6" ht="21" customHeight="1">
      <c r="A22" s="1454" t="s">
        <v>47</v>
      </c>
      <c r="B22" s="1455"/>
      <c r="C22" s="794">
        <v>310.10000000000002</v>
      </c>
      <c r="D22" s="744">
        <v>169488</v>
      </c>
      <c r="E22" s="795">
        <f t="shared" si="0"/>
        <v>547</v>
      </c>
      <c r="F22" s="796">
        <f t="shared" si="2"/>
        <v>5.78</v>
      </c>
    </row>
    <row r="23" spans="1:6" ht="21" customHeight="1">
      <c r="A23" s="1454" t="s">
        <v>58</v>
      </c>
      <c r="B23" s="1455"/>
      <c r="C23" s="794">
        <v>13.9</v>
      </c>
      <c r="D23" s="744">
        <v>121067</v>
      </c>
      <c r="E23" s="795">
        <f t="shared" si="0"/>
        <v>8710</v>
      </c>
      <c r="F23" s="796">
        <f t="shared" si="2"/>
        <v>4.13</v>
      </c>
    </row>
    <row r="24" spans="1:6" ht="21" customHeight="1">
      <c r="A24" s="1460" t="s">
        <v>51</v>
      </c>
      <c r="B24" s="1461"/>
      <c r="C24" s="798">
        <f>SUM(C25:C31)</f>
        <v>1559.68</v>
      </c>
      <c r="D24" s="164">
        <f>SUM(D25:D31)</f>
        <v>837757</v>
      </c>
      <c r="E24" s="23">
        <f t="shared" si="0"/>
        <v>537</v>
      </c>
      <c r="F24" s="164">
        <f>SUM(F25:F31)</f>
        <v>28.59</v>
      </c>
    </row>
    <row r="25" spans="1:6" ht="21" customHeight="1">
      <c r="A25" s="1454" t="s">
        <v>36</v>
      </c>
      <c r="B25" s="1455"/>
      <c r="C25" s="794">
        <v>451.31</v>
      </c>
      <c r="D25" s="744">
        <v>200083</v>
      </c>
      <c r="E25" s="795">
        <f t="shared" si="0"/>
        <v>443</v>
      </c>
      <c r="F25" s="796">
        <f t="shared" si="2"/>
        <v>6.83</v>
      </c>
    </row>
    <row r="26" spans="1:6" ht="21" customHeight="1">
      <c r="A26" s="1454" t="s">
        <v>37</v>
      </c>
      <c r="B26" s="1455"/>
      <c r="C26" s="794">
        <v>203.65</v>
      </c>
      <c r="D26" s="744">
        <v>101427</v>
      </c>
      <c r="E26" s="795">
        <f t="shared" si="0"/>
        <v>498</v>
      </c>
      <c r="F26" s="796">
        <f t="shared" si="2"/>
        <v>3.46</v>
      </c>
    </row>
    <row r="27" spans="1:6" ht="21" customHeight="1">
      <c r="A27" s="1454" t="s">
        <v>38</v>
      </c>
      <c r="B27" s="1455"/>
      <c r="C27" s="794">
        <v>312.58999999999997</v>
      </c>
      <c r="D27" s="744">
        <v>200621</v>
      </c>
      <c r="E27" s="795">
        <f t="shared" si="0"/>
        <v>642</v>
      </c>
      <c r="F27" s="796">
        <f>ROUND(D27/$D$32*100,2)</f>
        <v>6.85</v>
      </c>
    </row>
    <row r="28" spans="1:6" ht="21" customHeight="1">
      <c r="A28" s="1454" t="s">
        <v>40</v>
      </c>
      <c r="B28" s="1455"/>
      <c r="C28" s="794">
        <v>201.82</v>
      </c>
      <c r="D28" s="744">
        <v>117760</v>
      </c>
      <c r="E28" s="795">
        <f t="shared" si="0"/>
        <v>583</v>
      </c>
      <c r="F28" s="796">
        <f>ROUND(D28/$D$32*100,2)</f>
        <v>4.0199999999999996</v>
      </c>
    </row>
    <row r="29" spans="1:6" ht="21" customHeight="1">
      <c r="A29" s="1454" t="s">
        <v>52</v>
      </c>
      <c r="B29" s="1455"/>
      <c r="C29" s="794">
        <v>197.67</v>
      </c>
      <c r="D29" s="744">
        <v>113790</v>
      </c>
      <c r="E29" s="795">
        <f t="shared" si="0"/>
        <v>576</v>
      </c>
      <c r="F29" s="796">
        <f>ROUND(D29/$D$32*100,2)</f>
        <v>3.88</v>
      </c>
    </row>
    <row r="30" spans="1:6" ht="21" customHeight="1">
      <c r="A30" s="1454" t="s">
        <v>41</v>
      </c>
      <c r="B30" s="1455"/>
      <c r="C30" s="794">
        <v>12.95</v>
      </c>
      <c r="D30" s="744">
        <v>25561</v>
      </c>
      <c r="E30" s="795">
        <f t="shared" si="0"/>
        <v>1974</v>
      </c>
      <c r="F30" s="796">
        <f>ROUND(D30/$D$32*100,2)</f>
        <v>0.87</v>
      </c>
    </row>
    <row r="31" spans="1:6" ht="21" customHeight="1">
      <c r="A31" s="1454" t="s">
        <v>39</v>
      </c>
      <c r="B31" s="1455"/>
      <c r="C31" s="794">
        <v>179.69</v>
      </c>
      <c r="D31" s="744">
        <v>78515</v>
      </c>
      <c r="E31" s="795">
        <f t="shared" si="0"/>
        <v>437</v>
      </c>
      <c r="F31" s="796">
        <f>ROUND(D31/$D$32*100,2)</f>
        <v>2.68</v>
      </c>
    </row>
    <row r="32" spans="1:6" ht="21.75" customHeight="1">
      <c r="A32" s="1464" t="s">
        <v>505</v>
      </c>
      <c r="B32" s="1465"/>
      <c r="C32" s="799">
        <v>6259</v>
      </c>
      <c r="D32" s="498">
        <f>SUM(D6,D15,D24)</f>
        <v>2930115</v>
      </c>
      <c r="E32" s="735">
        <f t="shared" si="0"/>
        <v>468</v>
      </c>
      <c r="F32" s="799">
        <f>SUM(F6,F15,F24)</f>
        <v>100</v>
      </c>
    </row>
    <row r="33" spans="1:6" ht="12.75" customHeight="1">
      <c r="A33" s="1462" t="s">
        <v>895</v>
      </c>
      <c r="B33" s="1462"/>
      <c r="C33" s="1462"/>
      <c r="D33" s="542"/>
      <c r="E33" s="544"/>
      <c r="F33" s="542" t="s">
        <v>401</v>
      </c>
    </row>
    <row r="34" spans="1:6" ht="12.75" customHeight="1">
      <c r="A34" s="1463"/>
      <c r="B34" s="1463"/>
      <c r="C34" s="1463"/>
      <c r="D34" s="540"/>
      <c r="E34" s="540"/>
      <c r="F34" s="540"/>
    </row>
    <row r="35" spans="1:6">
      <c r="A35" s="1463"/>
      <c r="B35" s="1463"/>
      <c r="C35" s="1463"/>
    </row>
  </sheetData>
  <mergeCells count="32">
    <mergeCell ref="A33:C35"/>
    <mergeCell ref="A1:F1"/>
    <mergeCell ref="A30:B30"/>
    <mergeCell ref="A22:B22"/>
    <mergeCell ref="A23:B23"/>
    <mergeCell ref="A24:B24"/>
    <mergeCell ref="A25:B25"/>
    <mergeCell ref="A15:B15"/>
    <mergeCell ref="A16:B16"/>
    <mergeCell ref="A17:B17"/>
    <mergeCell ref="A32:B32"/>
    <mergeCell ref="A31:B31"/>
    <mergeCell ref="A19:B19"/>
    <mergeCell ref="A28:B28"/>
    <mergeCell ref="A20:B20"/>
    <mergeCell ref="A21:B21"/>
    <mergeCell ref="A27:B27"/>
    <mergeCell ref="A29:B29"/>
    <mergeCell ref="A14:B14"/>
    <mergeCell ref="A26:B26"/>
    <mergeCell ref="A18:B18"/>
    <mergeCell ref="A12:B12"/>
    <mergeCell ref="A13:B13"/>
    <mergeCell ref="A2:F2"/>
    <mergeCell ref="A4:B4"/>
    <mergeCell ref="A5:B5"/>
    <mergeCell ref="A6:B6"/>
    <mergeCell ref="A9:B9"/>
    <mergeCell ref="A10:B10"/>
    <mergeCell ref="A11:B11"/>
    <mergeCell ref="A7:B7"/>
    <mergeCell ref="A8:B8"/>
  </mergeCells>
  <phoneticPr fontId="0" type="noConversion"/>
  <printOptions horizontalCentered="1"/>
  <pageMargins left="0.1" right="0.1" top="0.77" bottom="0.1" header="0.24" footer="0.1"/>
  <pageSetup paperSize="9" orientation="portrait" blackAndWhite="1"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87</vt:i4>
      </vt:variant>
      <vt:variant>
        <vt:lpstr>Named Ranges</vt:lpstr>
      </vt:variant>
      <vt:variant>
        <vt:i4>5</vt:i4>
      </vt:variant>
    </vt:vector>
  </HeadingPairs>
  <TitlesOfParts>
    <vt:vector size="92" baseType="lpstr">
      <vt:lpstr>MAP</vt:lpstr>
      <vt:lpstr>Cover Page</vt:lpstr>
      <vt:lpstr>PREFACE</vt:lpstr>
      <vt:lpstr>Contents</vt:lpstr>
      <vt:lpstr>At a glance</vt:lpstr>
      <vt:lpstr>1.1,1.2</vt:lpstr>
      <vt:lpstr>1.3,1.4</vt:lpstr>
      <vt:lpstr>2.1</vt:lpstr>
      <vt:lpstr>2.2</vt:lpstr>
      <vt:lpstr>2.1a,2.1b</vt:lpstr>
      <vt:lpstr>2.3</vt:lpstr>
      <vt:lpstr>2.4a</vt:lpstr>
      <vt:lpstr>2.4b</vt:lpstr>
      <vt:lpstr>2.5a</vt:lpstr>
      <vt:lpstr>2.5b</vt:lpstr>
      <vt:lpstr>2.6</vt:lpstr>
      <vt:lpstr>2.7</vt:lpstr>
      <vt:lpstr>2.8</vt:lpstr>
      <vt:lpstr>2.9,2.10</vt:lpstr>
      <vt:lpstr>2.10a</vt:lpstr>
      <vt:lpstr>2.11</vt:lpstr>
      <vt:lpstr>3.1</vt:lpstr>
      <vt:lpstr>3.2</vt:lpstr>
      <vt:lpstr>3.2a</vt:lpstr>
      <vt:lpstr>3.3</vt:lpstr>
      <vt:lpstr>3.3a</vt:lpstr>
      <vt:lpstr>4.1a</vt:lpstr>
      <vt:lpstr>4.1b</vt:lpstr>
      <vt:lpstr>4.1c</vt:lpstr>
      <vt:lpstr>4.2a</vt:lpstr>
      <vt:lpstr>4.2b</vt:lpstr>
      <vt:lpstr>4.2c</vt:lpstr>
      <vt:lpstr>4.3a</vt:lpstr>
      <vt:lpstr>4.3b</vt:lpstr>
      <vt:lpstr>4.3c</vt:lpstr>
      <vt:lpstr>4.4</vt:lpstr>
      <vt:lpstr>4.5</vt:lpstr>
      <vt:lpstr>4.6</vt:lpstr>
      <vt:lpstr>4.7,4.8</vt:lpstr>
      <vt:lpstr>5.1</vt:lpstr>
      <vt:lpstr>5.1a,5.1b</vt:lpstr>
      <vt:lpstr>5.2</vt:lpstr>
      <vt:lpstr>5.3</vt:lpstr>
      <vt:lpstr>5.3a</vt:lpstr>
      <vt:lpstr>5.3b,5.3c</vt:lpstr>
      <vt:lpstr>5.3d</vt:lpstr>
      <vt:lpstr>5.3e</vt:lpstr>
      <vt:lpstr>5.4</vt:lpstr>
      <vt:lpstr>5.5,5.5a</vt:lpstr>
      <vt:lpstr>5.6,5.7,5.8</vt:lpstr>
      <vt:lpstr>6.1</vt:lpstr>
      <vt:lpstr>6.2</vt:lpstr>
      <vt:lpstr>7.1</vt:lpstr>
      <vt:lpstr>7.2,7.3</vt:lpstr>
      <vt:lpstr>8.1,8.2</vt:lpstr>
      <vt:lpstr>8.2a</vt:lpstr>
      <vt:lpstr>8.3</vt:lpstr>
      <vt:lpstr>8.4,8.4a</vt:lpstr>
      <vt:lpstr>9.1</vt:lpstr>
      <vt:lpstr>9.2,9.2a,9.2b</vt:lpstr>
      <vt:lpstr>10.1,10.2</vt:lpstr>
      <vt:lpstr>10.3</vt:lpstr>
      <vt:lpstr>11.1</vt:lpstr>
      <vt:lpstr>11.1a,11.2</vt:lpstr>
      <vt:lpstr>11.1a,11.2_NR</vt:lpstr>
      <vt:lpstr>11.3,11.4</vt:lpstr>
      <vt:lpstr>12.1,12.2</vt:lpstr>
      <vt:lpstr>12.3,12.4</vt:lpstr>
      <vt:lpstr>12.5,12.6,12.7</vt:lpstr>
      <vt:lpstr>13.1</vt:lpstr>
      <vt:lpstr>13.2,13.3</vt:lpstr>
      <vt:lpstr>14.1,14.2</vt:lpstr>
      <vt:lpstr>15.1</vt:lpstr>
      <vt:lpstr>15.2</vt:lpstr>
      <vt:lpstr>Block_Level</vt:lpstr>
      <vt:lpstr>16.1</vt:lpstr>
      <vt:lpstr>17.1</vt:lpstr>
      <vt:lpstr>17.2</vt:lpstr>
      <vt:lpstr>18.1</vt:lpstr>
      <vt:lpstr>18.2</vt:lpstr>
      <vt:lpstr>18.3</vt:lpstr>
      <vt:lpstr>19.1</vt:lpstr>
      <vt:lpstr>20.1</vt:lpstr>
      <vt:lpstr>20.2</vt:lpstr>
      <vt:lpstr>21.1</vt:lpstr>
      <vt:lpstr>21.2</vt:lpstr>
      <vt:lpstr>District</vt:lpstr>
      <vt:lpstr>'11.1'!Print_Area</vt:lpstr>
      <vt:lpstr>Table2.3</vt:lpstr>
      <vt:lpstr>'2.4b'!Table2.4b</vt:lpstr>
      <vt:lpstr>Table2.4b</vt:lpstr>
      <vt:lpstr>table2.7</vt:lpstr>
    </vt:vector>
  </TitlesOfParts>
  <Company>HCL</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NEWUSER</dc:creator>
  <cp:lastModifiedBy>BAES</cp:lastModifiedBy>
  <cp:lastPrinted>2016-05-23T10:58:28Z</cp:lastPrinted>
  <dcterms:created xsi:type="dcterms:W3CDTF">2007-01-18T06:47:54Z</dcterms:created>
  <dcterms:modified xsi:type="dcterms:W3CDTF">2016-06-28T06:28:11Z</dcterms:modified>
</cp:coreProperties>
</file>