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Default Extension="doc" ContentType="application/msword"/>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Default Extension="emf" ContentType="image/x-emf"/>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Default Extension="wmf" ContentType="image/x-wmf"/>
  <Override PartName="/xl/drawings/drawing4.xml" ContentType="application/vnd.openxmlformats-officedocument.drawing+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240" yWindow="60" windowWidth="11355" windowHeight="5910" tabRatio="788"/>
  </bookViews>
  <sheets>
    <sheet name="MAP" sheetId="116" r:id="rId1"/>
    <sheet name="Cover Page" sheetId="120" r:id="rId2"/>
    <sheet name="PREFACE" sheetId="122" r:id="rId3"/>
    <sheet name="Contents" sheetId="109" r:id="rId4"/>
    <sheet name="At a glance" sheetId="1" r:id="rId5"/>
    <sheet name="1.1,1.2" sheetId="2" r:id="rId6"/>
    <sheet name="1.3,1.4" sheetId="4" r:id="rId7"/>
    <sheet name="2.1" sheetId="6" r:id="rId8"/>
    <sheet name="2.1a,2.1b" sheetId="7" r:id="rId9"/>
    <sheet name="2.2,2.3" sheetId="141" r:id="rId10"/>
    <sheet name="2.4a" sheetId="152" r:id="rId11"/>
    <sheet name="2.4b" sheetId="112" r:id="rId12"/>
    <sheet name="2.5a" sheetId="153" r:id="rId13"/>
    <sheet name="2.5b" sheetId="15" r:id="rId14"/>
    <sheet name="2.6" sheetId="17" r:id="rId15"/>
    <sheet name="2.7" sheetId="142" r:id="rId16"/>
    <sheet name="2.8" sheetId="18" r:id="rId17"/>
    <sheet name="2.9,2.10" sheetId="19" r:id="rId18"/>
    <sheet name="2.10a" sheetId="139" r:id="rId19"/>
    <sheet name="2.11" sheetId="21" r:id="rId20"/>
    <sheet name="3.1" sheetId="140" r:id="rId21"/>
    <sheet name="3.2" sheetId="123" r:id="rId22"/>
    <sheet name="3.2a" sheetId="25" r:id="rId23"/>
    <sheet name="3.3" sheetId="124" r:id="rId24"/>
    <sheet name="3.3a" sheetId="126" r:id="rId25"/>
    <sheet name="4.1a" sheetId="27" r:id="rId26"/>
    <sheet name="4.1b" sheetId="28" r:id="rId27"/>
    <sheet name="4.1c" sheetId="29" r:id="rId28"/>
    <sheet name="4.2a" sheetId="30" r:id="rId29"/>
    <sheet name="4.2b" sheetId="31" r:id="rId30"/>
    <sheet name="4.2c" sheetId="32" r:id="rId31"/>
    <sheet name="4.3a" sheetId="33" r:id="rId32"/>
    <sheet name="4.3b" sheetId="34" r:id="rId33"/>
    <sheet name="4.3c" sheetId="35" r:id="rId34"/>
    <sheet name="4.4" sheetId="179" r:id="rId35"/>
    <sheet name="4.5" sheetId="38" r:id="rId36"/>
    <sheet name="4.6" sheetId="39" r:id="rId37"/>
    <sheet name="4.7,4.8" sheetId="144" r:id="rId38"/>
    <sheet name="5.1 ,5.1a" sheetId="83" r:id="rId39"/>
    <sheet name="5.1b,5.2" sheetId="46" r:id="rId40"/>
    <sheet name="5.3" sheetId="114" r:id="rId41"/>
    <sheet name="5.3a" sheetId="49" r:id="rId42"/>
    <sheet name="5.3b,5.3c" sheetId="50" r:id="rId43"/>
    <sheet name="5.3d" sheetId="51" r:id="rId44"/>
    <sheet name="5.3e" sheetId="53" r:id="rId45"/>
    <sheet name="5.4" sheetId="130" r:id="rId46"/>
    <sheet name="5.5,5.5a" sheetId="54" r:id="rId47"/>
    <sheet name="5.6,5.7,5.8" sheetId="56" r:id="rId48"/>
    <sheet name="6.1" sheetId="59" r:id="rId49"/>
    <sheet name="6.2" sheetId="128" r:id="rId50"/>
    <sheet name="7.1" sheetId="61" r:id="rId51"/>
    <sheet name="7.2,7.3" sheetId="62" r:id="rId52"/>
    <sheet name="8.1,8.2" sheetId="149" r:id="rId53"/>
    <sheet name="8.1,8.2_NR" sheetId="65" state="hidden" r:id="rId54"/>
    <sheet name="8.2a" sheetId="147" r:id="rId55"/>
    <sheet name="8.3" sheetId="67" r:id="rId56"/>
    <sheet name="8.4" sheetId="69" r:id="rId57"/>
    <sheet name="9.1" sheetId="148" r:id="rId58"/>
    <sheet name="9.1_NR" sheetId="133" state="hidden" r:id="rId59"/>
    <sheet name="9.2,9.2a,9.2b" sheetId="145" r:id="rId60"/>
    <sheet name="10.1,10.2" sheetId="75" r:id="rId61"/>
    <sheet name="10.3" sheetId="180" r:id="rId62"/>
    <sheet name="11.1" sheetId="85" r:id="rId63"/>
    <sheet name="11.1a,11.2" sheetId="134" r:id="rId64"/>
    <sheet name="11.3,11.4" sheetId="86" r:id="rId65"/>
    <sheet name="12.1,12.2" sheetId="90" r:id="rId66"/>
    <sheet name="12.3,12.4" sheetId="93" r:id="rId67"/>
    <sheet name="12.5,12.6,12.7" sheetId="94" r:id="rId68"/>
    <sheet name="13.1" sheetId="78" r:id="rId69"/>
    <sheet name="13.2,13.3" sheetId="143" r:id="rId70"/>
    <sheet name="14.1,14.2" sheetId="81" r:id="rId71"/>
    <sheet name="15.1" sheetId="131" r:id="rId72"/>
    <sheet name="15.2" sheetId="84" r:id="rId73"/>
    <sheet name="Block_Level" sheetId="151" r:id="rId74"/>
    <sheet name="Block_Level_NR" sheetId="132" state="hidden" r:id="rId75"/>
    <sheet name="16.1" sheetId="98" r:id="rId76"/>
    <sheet name="17.1" sheetId="99" r:id="rId77"/>
    <sheet name="17.2" sheetId="100" r:id="rId78"/>
    <sheet name="18.1" sheetId="101" r:id="rId79"/>
    <sheet name="18.2" sheetId="102" r:id="rId80"/>
    <sheet name="18.3" sheetId="103" r:id="rId81"/>
    <sheet name="19.1" sheetId="135" r:id="rId82"/>
    <sheet name="20.1" sheetId="105" r:id="rId83"/>
    <sheet name="20.2" sheetId="136" r:id="rId84"/>
    <sheet name="21.1" sheetId="107" r:id="rId85"/>
    <sheet name="21.2" sheetId="137" r:id="rId86"/>
    <sheet name="District" sheetId="12" r:id="rId87"/>
  </sheets>
  <externalReferences>
    <externalReference r:id="rId88"/>
    <externalReference r:id="rId89"/>
    <externalReference r:id="rId90"/>
  </externalReferences>
  <definedNames>
    <definedName name="_xlnm._FilterDatabase" localSheetId="67" hidden="1">'12.5,12.6,12.7'!$A$30:$G$38</definedName>
    <definedName name="_xlnm._FilterDatabase" localSheetId="69" hidden="1">'13.2,13.3'!$A$1:$K$10</definedName>
    <definedName name="_xlnm.Print_Area" localSheetId="61">'10.3'!$A$1:$G$35</definedName>
    <definedName name="_xlnm.Print_Area" localSheetId="21">'3.2'!$A$1:$I$36</definedName>
    <definedName name="_xlnm.Print_Area" localSheetId="28">'4.2a'!$A$1:$N$39</definedName>
    <definedName name="_xlnm.Print_Titles" localSheetId="79">'18.2'!$3:$6</definedName>
    <definedName name="_xlnm.Print_Titles" localSheetId="7">'2.1'!$3:$7</definedName>
    <definedName name="_xlnm.Print_Titles" localSheetId="10">'2.4a'!$3:$6</definedName>
    <definedName name="_xlnm.Print_Titles" localSheetId="11">'2.4b'!$3:$6</definedName>
    <definedName name="_xlnm.Print_Titles" localSheetId="14">'2.6'!$42:$46</definedName>
    <definedName name="_xlnm.Print_Titles" localSheetId="39">'5.1b,5.2'!$13:$13</definedName>
    <definedName name="s">'[2]2.11'!#REF!</definedName>
    <definedName name="Table2.1" localSheetId="10">'[3]2.11'!#REF!</definedName>
    <definedName name="Table2.1" localSheetId="12">'[3]2.11'!#REF!</definedName>
    <definedName name="Table2.1" localSheetId="52">'[2]2.11'!#REF!</definedName>
    <definedName name="Table2.1" localSheetId="57">'[2]2.11'!#REF!</definedName>
    <definedName name="Table2.1" localSheetId="73">'[2]2.11'!#REF!</definedName>
    <definedName name="Table2.1">'[1]2.11'!#REF!</definedName>
    <definedName name="Table2.10">#REF!</definedName>
    <definedName name="Table2.10a" localSheetId="10">'[3]2.11'!#REF!</definedName>
    <definedName name="Table2.10a" localSheetId="12">'[3]2.11'!#REF!</definedName>
    <definedName name="Table2.10a" localSheetId="52">'[2]2.11'!#REF!</definedName>
    <definedName name="Table2.10a" localSheetId="57">'[2]2.11'!#REF!</definedName>
    <definedName name="Table2.10a" localSheetId="73">'[2]2.11'!#REF!</definedName>
    <definedName name="Table2.10a">'[1]2.11'!#REF!</definedName>
    <definedName name="Table2.2">#REF!</definedName>
  </definedNames>
  <calcPr calcId="124519" fullCalcOnLoad="1"/>
</workbook>
</file>

<file path=xl/calcChain.xml><?xml version="1.0" encoding="utf-8"?>
<calcChain xmlns="http://schemas.openxmlformats.org/spreadsheetml/2006/main">
  <c r="N13" i="62"/>
  <c r="R13"/>
  <c r="N12"/>
  <c r="R12"/>
  <c r="N11"/>
  <c r="R11"/>
  <c r="N10"/>
  <c r="R10"/>
  <c r="K19" i="67"/>
  <c r="J19"/>
  <c r="I19"/>
  <c r="H19"/>
  <c r="G19"/>
  <c r="F19"/>
  <c r="E19"/>
  <c r="D19"/>
  <c r="C19"/>
  <c r="B19"/>
  <c r="E20" i="145"/>
  <c r="F20"/>
  <c r="I20"/>
  <c r="J20"/>
  <c r="H20"/>
  <c r="G20"/>
  <c r="D20"/>
  <c r="C20"/>
  <c r="J9"/>
  <c r="I9"/>
  <c r="F9"/>
  <c r="E9"/>
  <c r="H9"/>
  <c r="G9"/>
  <c r="D9"/>
  <c r="C9"/>
  <c r="I20" i="123"/>
  <c r="E31"/>
  <c r="N14" i="31"/>
  <c r="K10" i="50"/>
  <c r="J12"/>
  <c r="J11"/>
  <c r="J10"/>
  <c r="J9"/>
  <c r="J8"/>
  <c r="J7"/>
  <c r="K26" i="90"/>
  <c r="F26" i="59"/>
  <c r="E26"/>
  <c r="D26"/>
  <c r="C26"/>
  <c r="F15"/>
  <c r="E15"/>
  <c r="D15"/>
  <c r="C15"/>
  <c r="F10"/>
  <c r="F21"/>
  <c r="E10"/>
  <c r="E21"/>
  <c r="D10"/>
  <c r="D21"/>
  <c r="C10"/>
  <c r="C21"/>
  <c r="K32" i="78"/>
  <c r="E30" i="126"/>
  <c r="D27" i="124"/>
  <c r="D28"/>
  <c r="D25"/>
  <c r="D24"/>
  <c r="D23"/>
  <c r="D22"/>
  <c r="D21"/>
  <c r="D20"/>
  <c r="D14"/>
  <c r="D15"/>
  <c r="D16"/>
  <c r="D17"/>
  <c r="D18"/>
  <c r="D13"/>
  <c r="J31" i="140"/>
  <c r="L9" i="131"/>
  <c r="L8"/>
  <c r="L7"/>
  <c r="L6"/>
  <c r="F18" i="81"/>
  <c r="H18"/>
  <c r="J18"/>
  <c r="L18"/>
  <c r="D18"/>
  <c r="F4"/>
  <c r="H4"/>
  <c r="J4"/>
  <c r="L4"/>
  <c r="D4"/>
  <c r="H29" i="143"/>
  <c r="F29"/>
  <c r="D29"/>
  <c r="B29"/>
  <c r="D15"/>
  <c r="F15"/>
  <c r="H15"/>
  <c r="J15"/>
  <c r="B15"/>
  <c r="H5"/>
  <c r="I5"/>
  <c r="J5"/>
  <c r="K5"/>
  <c r="G5"/>
  <c r="C5"/>
  <c r="D5"/>
  <c r="E5"/>
  <c r="F5"/>
  <c r="B5"/>
  <c r="H21" i="78"/>
  <c r="I21"/>
  <c r="J21"/>
  <c r="K21"/>
  <c r="G21"/>
  <c r="C21"/>
  <c r="D21"/>
  <c r="E21"/>
  <c r="F21"/>
  <c r="B21"/>
  <c r="J32"/>
  <c r="I32"/>
  <c r="H32"/>
  <c r="G32"/>
  <c r="E32"/>
  <c r="D32"/>
  <c r="C32"/>
  <c r="B32"/>
  <c r="J16"/>
  <c r="I16"/>
  <c r="H14"/>
  <c r="H16"/>
  <c r="G14"/>
  <c r="G16"/>
  <c r="E16"/>
  <c r="D16"/>
  <c r="C16"/>
  <c r="B16"/>
  <c r="H5"/>
  <c r="I5"/>
  <c r="J5"/>
  <c r="K5"/>
  <c r="G5"/>
  <c r="C5"/>
  <c r="D5"/>
  <c r="E5"/>
  <c r="F5"/>
  <c r="B5"/>
  <c r="K27" i="93"/>
  <c r="K26"/>
  <c r="K25"/>
  <c r="K24"/>
  <c r="I8"/>
  <c r="I7"/>
  <c r="I6"/>
  <c r="M10" i="90"/>
  <c r="J10"/>
  <c r="G10"/>
  <c r="M9"/>
  <c r="J9"/>
  <c r="G9"/>
  <c r="M8"/>
  <c r="J8"/>
  <c r="G8"/>
  <c r="D8"/>
  <c r="M7"/>
  <c r="J7"/>
  <c r="G7"/>
  <c r="D7"/>
  <c r="E18" i="86"/>
  <c r="D18"/>
  <c r="C18"/>
  <c r="B18"/>
  <c r="E4" i="85"/>
  <c r="F4"/>
  <c r="D4"/>
  <c r="C20" i="75"/>
  <c r="D20"/>
  <c r="E20"/>
  <c r="F20"/>
  <c r="B20"/>
  <c r="E13"/>
  <c r="E25"/>
  <c r="D13"/>
  <c r="D25"/>
  <c r="C13"/>
  <c r="C25"/>
  <c r="B13"/>
  <c r="B25"/>
  <c r="C4"/>
  <c r="D4"/>
  <c r="E4"/>
  <c r="F4"/>
  <c r="B4"/>
  <c r="D6" i="148"/>
  <c r="E6"/>
  <c r="F6"/>
  <c r="G6"/>
  <c r="C6"/>
  <c r="J9" i="147"/>
  <c r="J8"/>
  <c r="J7"/>
  <c r="J6"/>
  <c r="C20" i="149"/>
  <c r="D20"/>
  <c r="E20"/>
  <c r="F20"/>
  <c r="B20"/>
  <c r="A11"/>
  <c r="A9"/>
  <c r="A10"/>
  <c r="A8"/>
  <c r="A7"/>
  <c r="P13" i="62"/>
  <c r="O12"/>
  <c r="Q12"/>
  <c r="M12"/>
  <c r="I12"/>
  <c r="E12"/>
  <c r="Q11"/>
  <c r="M11"/>
  <c r="I11"/>
  <c r="E11"/>
  <c r="O10"/>
  <c r="Q10"/>
  <c r="M10"/>
  <c r="I10"/>
  <c r="E10"/>
  <c r="P9"/>
  <c r="O9"/>
  <c r="Q9"/>
  <c r="N9"/>
  <c r="M9"/>
  <c r="I9"/>
  <c r="E9"/>
  <c r="G36" i="61"/>
  <c r="F36"/>
  <c r="E36"/>
  <c r="D36"/>
  <c r="C36"/>
  <c r="G35"/>
  <c r="F35"/>
  <c r="E35"/>
  <c r="D35"/>
  <c r="C35"/>
  <c r="G34"/>
  <c r="F34"/>
  <c r="E34"/>
  <c r="D34"/>
  <c r="C34"/>
  <c r="G33"/>
  <c r="F33"/>
  <c r="E33"/>
  <c r="D33"/>
  <c r="C33"/>
  <c r="A10" i="128"/>
  <c r="A8"/>
  <c r="A9"/>
  <c r="A7"/>
  <c r="A6"/>
  <c r="F9" i="56"/>
  <c r="F8"/>
  <c r="F7"/>
  <c r="F6"/>
  <c r="K10" i="54"/>
  <c r="K9"/>
  <c r="K8"/>
  <c r="K7"/>
  <c r="D3" i="130"/>
  <c r="E3"/>
  <c r="F3"/>
  <c r="G3"/>
  <c r="C3"/>
  <c r="J4" i="53"/>
  <c r="K4"/>
  <c r="L4"/>
  <c r="M4"/>
  <c r="I4"/>
  <c r="D4"/>
  <c r="E4"/>
  <c r="F4"/>
  <c r="G4"/>
  <c r="C4"/>
  <c r="K30" i="51"/>
  <c r="J30"/>
  <c r="I29"/>
  <c r="H29"/>
  <c r="F30"/>
  <c r="E30"/>
  <c r="D29"/>
  <c r="C29"/>
  <c r="K18"/>
  <c r="J18"/>
  <c r="I17"/>
  <c r="H17"/>
  <c r="F18"/>
  <c r="E18"/>
  <c r="D17"/>
  <c r="C17"/>
  <c r="I4"/>
  <c r="J4"/>
  <c r="K4"/>
  <c r="L4"/>
  <c r="H4"/>
  <c r="D4"/>
  <c r="E4"/>
  <c r="F4"/>
  <c r="G4"/>
  <c r="C4"/>
  <c r="D4" i="50"/>
  <c r="F4"/>
  <c r="H4"/>
  <c r="J4"/>
  <c r="B4"/>
  <c r="D4" i="49"/>
  <c r="E4"/>
  <c r="F4"/>
  <c r="G4"/>
  <c r="C4"/>
  <c r="F38" i="114"/>
  <c r="E38"/>
  <c r="D38"/>
  <c r="C38"/>
  <c r="F30"/>
  <c r="E30"/>
  <c r="D30"/>
  <c r="C30"/>
  <c r="F25"/>
  <c r="E25"/>
  <c r="D25"/>
  <c r="C25"/>
  <c r="F7"/>
  <c r="F15"/>
  <c r="F19"/>
  <c r="F20"/>
  <c r="E7"/>
  <c r="E15"/>
  <c r="E19"/>
  <c r="E20"/>
  <c r="D7"/>
  <c r="D15"/>
  <c r="D19"/>
  <c r="D20"/>
  <c r="C7"/>
  <c r="C15"/>
  <c r="C19"/>
  <c r="C20"/>
  <c r="D4"/>
  <c r="E4"/>
  <c r="F4"/>
  <c r="G4"/>
  <c r="C4"/>
  <c r="F50" i="46"/>
  <c r="E50"/>
  <c r="D50"/>
  <c r="C50"/>
  <c r="F42"/>
  <c r="E42"/>
  <c r="D42"/>
  <c r="C42"/>
  <c r="F37"/>
  <c r="E37"/>
  <c r="D37"/>
  <c r="C37"/>
  <c r="F19"/>
  <c r="F27"/>
  <c r="F32"/>
  <c r="F31"/>
  <c r="E19"/>
  <c r="E27"/>
  <c r="E32"/>
  <c r="E31"/>
  <c r="D19"/>
  <c r="D27"/>
  <c r="D32"/>
  <c r="D31"/>
  <c r="C19"/>
  <c r="C27"/>
  <c r="C32"/>
  <c r="C31"/>
  <c r="D16"/>
  <c r="E16"/>
  <c r="F16"/>
  <c r="G16"/>
  <c r="C16"/>
  <c r="G9"/>
  <c r="G8"/>
  <c r="G7"/>
  <c r="G6"/>
  <c r="D9" i="83"/>
  <c r="D8"/>
  <c r="D7"/>
  <c r="D6"/>
  <c r="H19" i="35"/>
  <c r="G19"/>
  <c r="F19"/>
  <c r="E19"/>
  <c r="F5"/>
  <c r="G5"/>
  <c r="H5"/>
  <c r="I5"/>
  <c r="E5"/>
  <c r="H8" i="34"/>
  <c r="H13"/>
  <c r="H7"/>
  <c r="H18"/>
  <c r="H25"/>
  <c r="H17"/>
  <c r="H35"/>
  <c r="G8"/>
  <c r="G13"/>
  <c r="G7"/>
  <c r="G18"/>
  <c r="G25"/>
  <c r="G17"/>
  <c r="F8"/>
  <c r="F13"/>
  <c r="F7"/>
  <c r="F35"/>
  <c r="F18"/>
  <c r="F25"/>
  <c r="F17"/>
  <c r="E8"/>
  <c r="E13"/>
  <c r="E7"/>
  <c r="E18"/>
  <c r="E25"/>
  <c r="E17"/>
  <c r="F5"/>
  <c r="G5"/>
  <c r="H5"/>
  <c r="I5"/>
  <c r="E5"/>
  <c r="H23" i="33"/>
  <c r="G23"/>
  <c r="F23"/>
  <c r="E23"/>
  <c r="H18"/>
  <c r="G18"/>
  <c r="F18"/>
  <c r="E18"/>
  <c r="H13"/>
  <c r="G13"/>
  <c r="F13"/>
  <c r="E13"/>
  <c r="H8"/>
  <c r="G8"/>
  <c r="F8"/>
  <c r="E8"/>
  <c r="H7"/>
  <c r="G7"/>
  <c r="F7"/>
  <c r="E7"/>
  <c r="F5"/>
  <c r="G5"/>
  <c r="H5"/>
  <c r="I5"/>
  <c r="E5"/>
  <c r="L20" i="32"/>
  <c r="K20"/>
  <c r="J20"/>
  <c r="I20"/>
  <c r="H20"/>
  <c r="G20"/>
  <c r="F20"/>
  <c r="E20"/>
  <c r="G5"/>
  <c r="I5"/>
  <c r="K5"/>
  <c r="M5"/>
  <c r="E5"/>
  <c r="L9" i="31"/>
  <c r="L14"/>
  <c r="L8"/>
  <c r="L19"/>
  <c r="L26"/>
  <c r="L18"/>
  <c r="K9"/>
  <c r="K14"/>
  <c r="K8"/>
  <c r="K19"/>
  <c r="K26"/>
  <c r="K18"/>
  <c r="J9"/>
  <c r="J14"/>
  <c r="J8"/>
  <c r="J36"/>
  <c r="J19"/>
  <c r="J26"/>
  <c r="J18"/>
  <c r="I9"/>
  <c r="I14"/>
  <c r="I8"/>
  <c r="I19"/>
  <c r="I26"/>
  <c r="I18"/>
  <c r="H9"/>
  <c r="H14"/>
  <c r="H8"/>
  <c r="H19"/>
  <c r="H26"/>
  <c r="H18"/>
  <c r="G9"/>
  <c r="G8"/>
  <c r="G19"/>
  <c r="G26"/>
  <c r="G18"/>
  <c r="F9"/>
  <c r="F14"/>
  <c r="F8"/>
  <c r="F36"/>
  <c r="F19"/>
  <c r="F26"/>
  <c r="F18"/>
  <c r="E9"/>
  <c r="E8"/>
  <c r="E36"/>
  <c r="E19"/>
  <c r="E26"/>
  <c r="E18"/>
  <c r="G5"/>
  <c r="I5"/>
  <c r="K5"/>
  <c r="M5"/>
  <c r="E5"/>
  <c r="L24" i="30"/>
  <c r="K24"/>
  <c r="J24"/>
  <c r="I24"/>
  <c r="H24"/>
  <c r="G24"/>
  <c r="F24"/>
  <c r="E24"/>
  <c r="L19"/>
  <c r="K19"/>
  <c r="J19"/>
  <c r="I19"/>
  <c r="H19"/>
  <c r="G19"/>
  <c r="F19"/>
  <c r="E19"/>
  <c r="L14"/>
  <c r="K14"/>
  <c r="J14"/>
  <c r="I14"/>
  <c r="H14"/>
  <c r="G14"/>
  <c r="F14"/>
  <c r="E14"/>
  <c r="L9"/>
  <c r="K9"/>
  <c r="J9"/>
  <c r="I9"/>
  <c r="H9"/>
  <c r="G9"/>
  <c r="F9"/>
  <c r="E9"/>
  <c r="L8"/>
  <c r="K8"/>
  <c r="J8"/>
  <c r="I8"/>
  <c r="H8"/>
  <c r="G8"/>
  <c r="F8"/>
  <c r="E8"/>
  <c r="G5"/>
  <c r="I5"/>
  <c r="K5"/>
  <c r="M5"/>
  <c r="E5"/>
  <c r="F19" i="29"/>
  <c r="E19"/>
  <c r="D19"/>
  <c r="C19"/>
  <c r="D5"/>
  <c r="E5"/>
  <c r="F5"/>
  <c r="G5"/>
  <c r="C5"/>
  <c r="H8" i="28"/>
  <c r="H13"/>
  <c r="H7"/>
  <c r="H18"/>
  <c r="H25"/>
  <c r="H17"/>
  <c r="H35"/>
  <c r="G8"/>
  <c r="G13"/>
  <c r="G7"/>
  <c r="G18"/>
  <c r="G25"/>
  <c r="G17"/>
  <c r="G35"/>
  <c r="F8"/>
  <c r="F13"/>
  <c r="F7"/>
  <c r="F18"/>
  <c r="F25"/>
  <c r="F17"/>
  <c r="E13"/>
  <c r="E7"/>
  <c r="E18"/>
  <c r="E25"/>
  <c r="E17"/>
  <c r="E35"/>
  <c r="F5"/>
  <c r="G5"/>
  <c r="H5"/>
  <c r="I5"/>
  <c r="E5"/>
  <c r="H23" i="27"/>
  <c r="G23"/>
  <c r="F23"/>
  <c r="E23"/>
  <c r="H18"/>
  <c r="G18"/>
  <c r="F18"/>
  <c r="E18"/>
  <c r="H13"/>
  <c r="G13"/>
  <c r="F13"/>
  <c r="E13"/>
  <c r="H8"/>
  <c r="G8"/>
  <c r="F8"/>
  <c r="E8"/>
  <c r="H7"/>
  <c r="G7"/>
  <c r="F7"/>
  <c r="E7"/>
  <c r="F5"/>
  <c r="G5"/>
  <c r="H5"/>
  <c r="I5"/>
  <c r="E5"/>
  <c r="D24" i="4"/>
  <c r="F24"/>
  <c r="H24"/>
  <c r="J24"/>
  <c r="B24"/>
  <c r="I19"/>
  <c r="H19"/>
  <c r="G19"/>
  <c r="F19"/>
  <c r="E19"/>
  <c r="D19"/>
  <c r="C19"/>
  <c r="B19"/>
  <c r="D4"/>
  <c r="F4"/>
  <c r="H4"/>
  <c r="J4"/>
  <c r="B4"/>
  <c r="E14" i="2"/>
  <c r="F14"/>
  <c r="G14"/>
  <c r="H14"/>
  <c r="D14"/>
  <c r="G28"/>
  <c r="F28"/>
  <c r="E28"/>
  <c r="D28"/>
  <c r="B12" i="141"/>
  <c r="A2" i="38"/>
  <c r="A2" i="180"/>
  <c r="B12"/>
  <c r="B19"/>
  <c r="B10"/>
  <c r="C12"/>
  <c r="C19"/>
  <c r="C10"/>
  <c r="D12"/>
  <c r="D19"/>
  <c r="D10"/>
  <c r="E12"/>
  <c r="E19"/>
  <c r="E10"/>
  <c r="F12"/>
  <c r="F19"/>
  <c r="F10"/>
  <c r="G12"/>
  <c r="G19"/>
  <c r="G10"/>
  <c r="B11"/>
  <c r="A2" i="179"/>
  <c r="B7"/>
  <c r="C7"/>
  <c r="D7"/>
  <c r="E7"/>
  <c r="F7"/>
  <c r="G7"/>
  <c r="H7"/>
  <c r="I7"/>
  <c r="J7"/>
  <c r="K7"/>
  <c r="L7"/>
  <c r="M7"/>
  <c r="P7"/>
  <c r="Q7"/>
  <c r="R7"/>
  <c r="S7"/>
  <c r="T7"/>
  <c r="U7"/>
  <c r="V7"/>
  <c r="W7"/>
  <c r="X7"/>
  <c r="B14"/>
  <c r="B26"/>
  <c r="C14"/>
  <c r="D14"/>
  <c r="E14"/>
  <c r="E26"/>
  <c r="F14"/>
  <c r="G14"/>
  <c r="G26"/>
  <c r="H14"/>
  <c r="I14"/>
  <c r="I26"/>
  <c r="J14"/>
  <c r="K14"/>
  <c r="K26"/>
  <c r="L14"/>
  <c r="L26"/>
  <c r="M14"/>
  <c r="M26"/>
  <c r="P14"/>
  <c r="Q14"/>
  <c r="R14"/>
  <c r="S14"/>
  <c r="S26"/>
  <c r="T14"/>
  <c r="T26"/>
  <c r="U14"/>
  <c r="V14"/>
  <c r="W14"/>
  <c r="X14"/>
  <c r="U26"/>
  <c r="D12" i="39"/>
  <c r="D19"/>
  <c r="D10"/>
  <c r="B20" i="126"/>
  <c r="C20"/>
  <c r="D20"/>
  <c r="G48" i="144"/>
  <c r="G45"/>
  <c r="G46"/>
  <c r="G47"/>
  <c r="G44"/>
  <c r="A2" i="102"/>
  <c r="A2" i="149"/>
  <c r="B18" i="144"/>
  <c r="B11"/>
  <c r="A2" i="29"/>
  <c r="D29" i="124"/>
  <c r="D31"/>
  <c r="A2" i="153"/>
  <c r="D62" i="1"/>
  <c r="D58"/>
  <c r="B62"/>
  <c r="B58"/>
  <c r="D61"/>
  <c r="H15" i="6"/>
  <c r="I25" i="34"/>
  <c r="I18"/>
  <c r="I13"/>
  <c r="I23" i="33"/>
  <c r="I18"/>
  <c r="I13"/>
  <c r="I21" i="140"/>
  <c r="H21"/>
  <c r="G21"/>
  <c r="F21"/>
  <c r="E21"/>
  <c r="D21"/>
  <c r="C21"/>
  <c r="B21"/>
  <c r="F11" i="149"/>
  <c r="D11"/>
  <c r="O13" i="62"/>
  <c r="J19" i="4"/>
  <c r="H12" i="128"/>
  <c r="H19"/>
  <c r="H10"/>
  <c r="I12"/>
  <c r="I19"/>
  <c r="I10"/>
  <c r="A2" i="103"/>
  <c r="E29" i="123"/>
  <c r="E28"/>
  <c r="E22"/>
  <c r="E23"/>
  <c r="E24"/>
  <c r="E25"/>
  <c r="E26"/>
  <c r="E27"/>
  <c r="E21"/>
  <c r="D20"/>
  <c r="C20"/>
  <c r="E15"/>
  <c r="E16"/>
  <c r="E17"/>
  <c r="E18"/>
  <c r="E19"/>
  <c r="E14"/>
  <c r="B23" i="134"/>
  <c r="B24"/>
  <c r="B9" i="1"/>
  <c r="B17"/>
  <c r="B49"/>
  <c r="F15" i="7"/>
  <c r="F14"/>
  <c r="F13"/>
  <c r="F12"/>
  <c r="F11"/>
  <c r="F10"/>
  <c r="F9"/>
  <c r="F8"/>
  <c r="C28" i="2"/>
  <c r="E22" i="149"/>
  <c r="E29"/>
  <c r="E39"/>
  <c r="D22"/>
  <c r="D29"/>
  <c r="D39"/>
  <c r="C22"/>
  <c r="C29"/>
  <c r="C39"/>
  <c r="B22"/>
  <c r="B29"/>
  <c r="B39"/>
  <c r="E14" i="130"/>
  <c r="F14"/>
  <c r="D14"/>
  <c r="C14"/>
  <c r="E31" i="126"/>
  <c r="E29"/>
  <c r="E28"/>
  <c r="E27"/>
  <c r="E26"/>
  <c r="E25"/>
  <c r="E24"/>
  <c r="E23"/>
  <c r="E22"/>
  <c r="E21"/>
  <c r="E15"/>
  <c r="E16"/>
  <c r="E17"/>
  <c r="E18"/>
  <c r="E19"/>
  <c r="E14"/>
  <c r="J32" i="140"/>
  <c r="J30"/>
  <c r="J29"/>
  <c r="J28"/>
  <c r="J27"/>
  <c r="J26"/>
  <c r="J25"/>
  <c r="J24"/>
  <c r="J23"/>
  <c r="J22"/>
  <c r="J20"/>
  <c r="J19"/>
  <c r="J18"/>
  <c r="J17"/>
  <c r="J16"/>
  <c r="J15"/>
  <c r="C11" i="93"/>
  <c r="I9"/>
  <c r="D18" i="144"/>
  <c r="F11"/>
  <c r="D11"/>
  <c r="A2" i="75"/>
  <c r="D15" i="18"/>
  <c r="E15"/>
  <c r="F15"/>
  <c r="D11"/>
  <c r="D19"/>
  <c r="D23"/>
  <c r="E11"/>
  <c r="E19"/>
  <c r="E23"/>
  <c r="F23"/>
  <c r="F11"/>
  <c r="F19"/>
  <c r="H8" i="142"/>
  <c r="B9"/>
  <c r="B10"/>
  <c r="B11"/>
  <c r="B12"/>
  <c r="B13"/>
  <c r="B14"/>
  <c r="B8"/>
  <c r="J8"/>
  <c r="F8"/>
  <c r="D8"/>
  <c r="B16"/>
  <c r="B17"/>
  <c r="B18"/>
  <c r="B19"/>
  <c r="B20"/>
  <c r="B21"/>
  <c r="B22"/>
  <c r="B23"/>
  <c r="B24"/>
  <c r="B25"/>
  <c r="B26"/>
  <c r="B15"/>
  <c r="R9"/>
  <c r="R10"/>
  <c r="R11"/>
  <c r="R8"/>
  <c r="R12"/>
  <c r="R13"/>
  <c r="R14"/>
  <c r="R16"/>
  <c r="R17"/>
  <c r="R18"/>
  <c r="R19"/>
  <c r="R20"/>
  <c r="R21"/>
  <c r="R22"/>
  <c r="R23"/>
  <c r="R24"/>
  <c r="R25"/>
  <c r="R26"/>
  <c r="R15"/>
  <c r="P8"/>
  <c r="P15"/>
  <c r="P27"/>
  <c r="N8"/>
  <c r="N15"/>
  <c r="N27"/>
  <c r="L8"/>
  <c r="L15"/>
  <c r="L27"/>
  <c r="N19" i="15"/>
  <c r="P19"/>
  <c r="R19"/>
  <c r="N8"/>
  <c r="P8"/>
  <c r="R8"/>
  <c r="N9"/>
  <c r="P9"/>
  <c r="R9"/>
  <c r="N10"/>
  <c r="P10"/>
  <c r="R10"/>
  <c r="N11"/>
  <c r="P11"/>
  <c r="R11"/>
  <c r="N12"/>
  <c r="P12"/>
  <c r="R12"/>
  <c r="N13"/>
  <c r="P13"/>
  <c r="R13"/>
  <c r="N14"/>
  <c r="P14"/>
  <c r="R14"/>
  <c r="N15"/>
  <c r="P15"/>
  <c r="R15"/>
  <c r="N16"/>
  <c r="P16"/>
  <c r="R16"/>
  <c r="N17"/>
  <c r="P17"/>
  <c r="R17"/>
  <c r="N18"/>
  <c r="P18"/>
  <c r="R18"/>
  <c r="N20"/>
  <c r="P20"/>
  <c r="R20"/>
  <c r="N21"/>
  <c r="P21"/>
  <c r="R21"/>
  <c r="N22"/>
  <c r="P22"/>
  <c r="R22"/>
  <c r="N23"/>
  <c r="P23"/>
  <c r="R23"/>
  <c r="N24"/>
  <c r="P24"/>
  <c r="R24"/>
  <c r="N25"/>
  <c r="P25"/>
  <c r="R25"/>
  <c r="P26"/>
  <c r="Q16"/>
  <c r="Q26"/>
  <c r="Q8"/>
  <c r="Q10"/>
  <c r="Q11"/>
  <c r="Q12"/>
  <c r="Q13"/>
  <c r="Q14"/>
  <c r="Q15"/>
  <c r="Q17"/>
  <c r="Q18"/>
  <c r="Q19"/>
  <c r="Q20"/>
  <c r="Q21"/>
  <c r="Q22"/>
  <c r="Q23"/>
  <c r="Q24"/>
  <c r="Q25"/>
  <c r="N26"/>
  <c r="O12"/>
  <c r="O8"/>
  <c r="O9"/>
  <c r="O26"/>
  <c r="O10"/>
  <c r="O11"/>
  <c r="O13"/>
  <c r="O14"/>
  <c r="O15"/>
  <c r="O16"/>
  <c r="O17"/>
  <c r="O18"/>
  <c r="O19"/>
  <c r="O20"/>
  <c r="O21"/>
  <c r="O22"/>
  <c r="O23"/>
  <c r="O24"/>
  <c r="O25"/>
  <c r="L20"/>
  <c r="M20"/>
  <c r="L8"/>
  <c r="L9"/>
  <c r="L10"/>
  <c r="L11"/>
  <c r="L12"/>
  <c r="L13"/>
  <c r="L14"/>
  <c r="L15"/>
  <c r="L16"/>
  <c r="L17"/>
  <c r="L18"/>
  <c r="L19"/>
  <c r="L21"/>
  <c r="L22"/>
  <c r="L23"/>
  <c r="L24"/>
  <c r="L25"/>
  <c r="L26"/>
  <c r="M16"/>
  <c r="M8"/>
  <c r="M22"/>
  <c r="D5" i="141"/>
  <c r="D12"/>
  <c r="D24"/>
  <c r="A2" i="152"/>
  <c r="D51" i="1"/>
  <c r="D50"/>
  <c r="D49"/>
  <c r="D17"/>
  <c r="J26" i="153"/>
  <c r="K25"/>
  <c r="H26"/>
  <c r="D26"/>
  <c r="E23"/>
  <c r="B26"/>
  <c r="C25"/>
  <c r="P25"/>
  <c r="N25"/>
  <c r="R25"/>
  <c r="L25"/>
  <c r="I25"/>
  <c r="F25"/>
  <c r="E25"/>
  <c r="P24"/>
  <c r="N24"/>
  <c r="R24"/>
  <c r="L24"/>
  <c r="I24"/>
  <c r="F24"/>
  <c r="E24"/>
  <c r="C24"/>
  <c r="P23"/>
  <c r="N23"/>
  <c r="R23"/>
  <c r="L23"/>
  <c r="K23"/>
  <c r="I23"/>
  <c r="F23"/>
  <c r="C23"/>
  <c r="P22"/>
  <c r="N22"/>
  <c r="R22"/>
  <c r="L22"/>
  <c r="I22"/>
  <c r="F22"/>
  <c r="E22"/>
  <c r="C22"/>
  <c r="P21"/>
  <c r="N21"/>
  <c r="R21"/>
  <c r="L21"/>
  <c r="K21"/>
  <c r="I21"/>
  <c r="F21"/>
  <c r="E21"/>
  <c r="C21"/>
  <c r="P20"/>
  <c r="N20"/>
  <c r="R20"/>
  <c r="L20"/>
  <c r="K20"/>
  <c r="I20"/>
  <c r="F20"/>
  <c r="E20"/>
  <c r="C20"/>
  <c r="P19"/>
  <c r="N19"/>
  <c r="R19"/>
  <c r="L19"/>
  <c r="K19"/>
  <c r="I19"/>
  <c r="F19"/>
  <c r="E19"/>
  <c r="C19"/>
  <c r="P18"/>
  <c r="N18"/>
  <c r="R18"/>
  <c r="L18"/>
  <c r="K18"/>
  <c r="I18"/>
  <c r="F18"/>
  <c r="E18"/>
  <c r="C18"/>
  <c r="P17"/>
  <c r="N17"/>
  <c r="R17"/>
  <c r="L17"/>
  <c r="K17"/>
  <c r="I17"/>
  <c r="F17"/>
  <c r="E17"/>
  <c r="C17"/>
  <c r="P16"/>
  <c r="N16"/>
  <c r="R16"/>
  <c r="L16"/>
  <c r="K16"/>
  <c r="I16"/>
  <c r="F16"/>
  <c r="E16"/>
  <c r="C16"/>
  <c r="P15"/>
  <c r="N15"/>
  <c r="R15"/>
  <c r="L15"/>
  <c r="K15"/>
  <c r="I15"/>
  <c r="F15"/>
  <c r="E15"/>
  <c r="C15"/>
  <c r="P14"/>
  <c r="N14"/>
  <c r="R14"/>
  <c r="L14"/>
  <c r="K14"/>
  <c r="I14"/>
  <c r="F14"/>
  <c r="E14"/>
  <c r="C14"/>
  <c r="P13"/>
  <c r="N13"/>
  <c r="R13"/>
  <c r="L13"/>
  <c r="K13"/>
  <c r="I13"/>
  <c r="F13"/>
  <c r="E13"/>
  <c r="C13"/>
  <c r="P12"/>
  <c r="N12"/>
  <c r="R12"/>
  <c r="L12"/>
  <c r="K12"/>
  <c r="I12"/>
  <c r="F12"/>
  <c r="E12"/>
  <c r="C12"/>
  <c r="P11"/>
  <c r="N11"/>
  <c r="R11"/>
  <c r="L11"/>
  <c r="K11"/>
  <c r="I11"/>
  <c r="F11"/>
  <c r="E11"/>
  <c r="C11"/>
  <c r="P10"/>
  <c r="N10"/>
  <c r="R10"/>
  <c r="L10"/>
  <c r="K10"/>
  <c r="I10"/>
  <c r="F10"/>
  <c r="E10"/>
  <c r="C10"/>
  <c r="P9"/>
  <c r="N9"/>
  <c r="R9"/>
  <c r="L9"/>
  <c r="K9"/>
  <c r="I9"/>
  <c r="F9"/>
  <c r="E9"/>
  <c r="C9"/>
  <c r="P8"/>
  <c r="P26"/>
  <c r="Q11"/>
  <c r="N8"/>
  <c r="N26"/>
  <c r="L8"/>
  <c r="L26"/>
  <c r="K8"/>
  <c r="I8"/>
  <c r="I26"/>
  <c r="F8"/>
  <c r="F26"/>
  <c r="E8"/>
  <c r="E26"/>
  <c r="C8"/>
  <c r="C26"/>
  <c r="I25" i="152"/>
  <c r="H25"/>
  <c r="J25"/>
  <c r="G25"/>
  <c r="D25"/>
  <c r="I24"/>
  <c r="H24"/>
  <c r="J24"/>
  <c r="G24"/>
  <c r="D24"/>
  <c r="I23"/>
  <c r="H23"/>
  <c r="J23"/>
  <c r="G23"/>
  <c r="D23"/>
  <c r="I22"/>
  <c r="H22"/>
  <c r="J22"/>
  <c r="G22"/>
  <c r="D22"/>
  <c r="I21"/>
  <c r="H21"/>
  <c r="J21"/>
  <c r="G21"/>
  <c r="D21"/>
  <c r="I20"/>
  <c r="H20"/>
  <c r="J20"/>
  <c r="G20"/>
  <c r="D20"/>
  <c r="I19"/>
  <c r="H19"/>
  <c r="J19"/>
  <c r="G19"/>
  <c r="D19"/>
  <c r="I18"/>
  <c r="H18"/>
  <c r="J18"/>
  <c r="G18"/>
  <c r="D18"/>
  <c r="I17"/>
  <c r="H17"/>
  <c r="J17"/>
  <c r="G17"/>
  <c r="D17"/>
  <c r="I16"/>
  <c r="H16"/>
  <c r="J16"/>
  <c r="G16"/>
  <c r="D16"/>
  <c r="I15"/>
  <c r="I14"/>
  <c r="H15"/>
  <c r="J15"/>
  <c r="J14"/>
  <c r="J26"/>
  <c r="G15"/>
  <c r="G14"/>
  <c r="G26"/>
  <c r="D15"/>
  <c r="F14"/>
  <c r="E14"/>
  <c r="C14"/>
  <c r="B14"/>
  <c r="D14"/>
  <c r="I13"/>
  <c r="H13"/>
  <c r="J13"/>
  <c r="G13"/>
  <c r="D13"/>
  <c r="I12"/>
  <c r="H12"/>
  <c r="J12"/>
  <c r="G12"/>
  <c r="D12"/>
  <c r="I11"/>
  <c r="H11"/>
  <c r="J11"/>
  <c r="G11"/>
  <c r="D11"/>
  <c r="I10"/>
  <c r="H10"/>
  <c r="J10"/>
  <c r="G10"/>
  <c r="D10"/>
  <c r="I9"/>
  <c r="H9"/>
  <c r="J9"/>
  <c r="G9"/>
  <c r="D9"/>
  <c r="I8"/>
  <c r="I7"/>
  <c r="I26"/>
  <c r="H8"/>
  <c r="J8"/>
  <c r="G8"/>
  <c r="D8"/>
  <c r="F7"/>
  <c r="F26"/>
  <c r="E7"/>
  <c r="E26"/>
  <c r="C7"/>
  <c r="C26"/>
  <c r="B7"/>
  <c r="D7"/>
  <c r="D26"/>
  <c r="A2" i="15"/>
  <c r="B26"/>
  <c r="C22"/>
  <c r="A2" i="21"/>
  <c r="H7"/>
  <c r="I7"/>
  <c r="J7"/>
  <c r="H8"/>
  <c r="H15"/>
  <c r="I8"/>
  <c r="J8"/>
  <c r="H9"/>
  <c r="I9"/>
  <c r="J9"/>
  <c r="H10"/>
  <c r="I10"/>
  <c r="J10"/>
  <c r="H11"/>
  <c r="I11"/>
  <c r="J11"/>
  <c r="H12"/>
  <c r="I12"/>
  <c r="J12"/>
  <c r="H13"/>
  <c r="I13"/>
  <c r="J13"/>
  <c r="H14"/>
  <c r="J14"/>
  <c r="I14"/>
  <c r="G7"/>
  <c r="G8"/>
  <c r="G9"/>
  <c r="G10"/>
  <c r="G11"/>
  <c r="G12"/>
  <c r="G13"/>
  <c r="G14"/>
  <c r="G15"/>
  <c r="F15"/>
  <c r="E15"/>
  <c r="D7"/>
  <c r="D8"/>
  <c r="D9"/>
  <c r="D10"/>
  <c r="D11"/>
  <c r="D15"/>
  <c r="D12"/>
  <c r="D13"/>
  <c r="D14"/>
  <c r="C15"/>
  <c r="B15"/>
  <c r="A2" i="19"/>
  <c r="F30" i="18"/>
  <c r="F34"/>
  <c r="F46"/>
  <c r="G30"/>
  <c r="F38"/>
  <c r="F42"/>
  <c r="A2"/>
  <c r="A2" i="142"/>
  <c r="A2" i="17"/>
  <c r="E10"/>
  <c r="E11"/>
  <c r="E9"/>
  <c r="E12"/>
  <c r="E13"/>
  <c r="F13"/>
  <c r="E14"/>
  <c r="E15"/>
  <c r="G15"/>
  <c r="E16"/>
  <c r="E17"/>
  <c r="E18"/>
  <c r="E19"/>
  <c r="E20"/>
  <c r="E21"/>
  <c r="F21"/>
  <c r="E22"/>
  <c r="E23"/>
  <c r="F23"/>
  <c r="E24"/>
  <c r="E25"/>
  <c r="G25"/>
  <c r="E26"/>
  <c r="E27"/>
  <c r="G27"/>
  <c r="E28"/>
  <c r="E29"/>
  <c r="E30"/>
  <c r="F30"/>
  <c r="E31"/>
  <c r="E32"/>
  <c r="F32"/>
  <c r="E33"/>
  <c r="E34"/>
  <c r="F34"/>
  <c r="E35"/>
  <c r="E36"/>
  <c r="G36"/>
  <c r="E37"/>
  <c r="D9"/>
  <c r="D38"/>
  <c r="C9"/>
  <c r="C38"/>
  <c r="E7"/>
  <c r="F7"/>
  <c r="E8"/>
  <c r="F8"/>
  <c r="G29"/>
  <c r="G31"/>
  <c r="G33"/>
  <c r="G35"/>
  <c r="F24"/>
  <c r="F26"/>
  <c r="F28"/>
  <c r="G22"/>
  <c r="F17"/>
  <c r="G18"/>
  <c r="G19"/>
  <c r="G20"/>
  <c r="G37"/>
  <c r="G14"/>
  <c r="G16"/>
  <c r="F12"/>
  <c r="A2" i="112"/>
  <c r="A2" i="141"/>
  <c r="B74" i="1"/>
  <c r="Q13" i="62"/>
  <c r="M13"/>
  <c r="I13"/>
  <c r="E13"/>
  <c r="P16" i="102"/>
  <c r="C14" i="2"/>
  <c r="A11"/>
  <c r="A2"/>
  <c r="H28"/>
  <c r="A7"/>
  <c r="A22" i="4"/>
  <c r="A2"/>
  <c r="K19"/>
  <c r="F13" i="75"/>
  <c r="F25"/>
  <c r="A18"/>
  <c r="A2" i="85"/>
  <c r="A2" i="134"/>
  <c r="F18" i="86"/>
  <c r="A2"/>
  <c r="J11" i="90"/>
  <c r="G11"/>
  <c r="M11"/>
  <c r="A18"/>
  <c r="A19" i="93"/>
  <c r="F10"/>
  <c r="K28"/>
  <c r="I12"/>
  <c r="I13"/>
  <c r="C10"/>
  <c r="I10"/>
  <c r="A2"/>
  <c r="A2" i="94"/>
  <c r="A14"/>
  <c r="A28"/>
  <c r="A2" i="78"/>
  <c r="K16"/>
  <c r="F16"/>
  <c r="F32"/>
  <c r="A2" i="143"/>
  <c r="K10"/>
  <c r="J29"/>
  <c r="K9"/>
  <c r="F9"/>
  <c r="K30"/>
  <c r="A13"/>
  <c r="A2" i="81"/>
  <c r="M22"/>
  <c r="A16"/>
  <c r="L10" i="131"/>
  <c r="A2"/>
  <c r="B19" i="84"/>
  <c r="B12"/>
  <c r="B10"/>
  <c r="D82" i="1"/>
  <c r="A2" i="84"/>
  <c r="B11"/>
  <c r="A2" i="98"/>
  <c r="R27" i="99"/>
  <c r="E27"/>
  <c r="G27"/>
  <c r="K27"/>
  <c r="O27"/>
  <c r="Q27"/>
  <c r="R26"/>
  <c r="E26"/>
  <c r="S26"/>
  <c r="G26"/>
  <c r="I26"/>
  <c r="K26"/>
  <c r="M26"/>
  <c r="O26"/>
  <c r="Q26"/>
  <c r="R25"/>
  <c r="E25"/>
  <c r="K25"/>
  <c r="M25"/>
  <c r="O25"/>
  <c r="R24"/>
  <c r="E24"/>
  <c r="S24"/>
  <c r="G24"/>
  <c r="I24"/>
  <c r="K24"/>
  <c r="M24"/>
  <c r="O24"/>
  <c r="Q24"/>
  <c r="R23"/>
  <c r="E23"/>
  <c r="K23"/>
  <c r="R22"/>
  <c r="E22"/>
  <c r="I22"/>
  <c r="M22"/>
  <c r="Q22"/>
  <c r="R21"/>
  <c r="E21"/>
  <c r="S21"/>
  <c r="G21"/>
  <c r="O21"/>
  <c r="R20"/>
  <c r="E20"/>
  <c r="I20"/>
  <c r="M20"/>
  <c r="Q20"/>
  <c r="R19"/>
  <c r="E19"/>
  <c r="K19"/>
  <c r="M19"/>
  <c r="O19"/>
  <c r="R18"/>
  <c r="E18"/>
  <c r="G18"/>
  <c r="O18"/>
  <c r="R17"/>
  <c r="E17"/>
  <c r="S17"/>
  <c r="G17"/>
  <c r="K17"/>
  <c r="O17"/>
  <c r="R16"/>
  <c r="E16"/>
  <c r="G16"/>
  <c r="K16"/>
  <c r="O16"/>
  <c r="R15"/>
  <c r="E15"/>
  <c r="K15"/>
  <c r="M15"/>
  <c r="O15"/>
  <c r="R14"/>
  <c r="E14"/>
  <c r="I14"/>
  <c r="M14"/>
  <c r="Q14"/>
  <c r="R13"/>
  <c r="E13"/>
  <c r="K13"/>
  <c r="O13"/>
  <c r="R12"/>
  <c r="E12"/>
  <c r="I12"/>
  <c r="M12"/>
  <c r="Q12"/>
  <c r="R11"/>
  <c r="E11"/>
  <c r="S11"/>
  <c r="G11"/>
  <c r="K11"/>
  <c r="M11"/>
  <c r="R10"/>
  <c r="E10"/>
  <c r="G10"/>
  <c r="K10"/>
  <c r="O10"/>
  <c r="R9"/>
  <c r="E9"/>
  <c r="K9"/>
  <c r="O9"/>
  <c r="Q9"/>
  <c r="R8"/>
  <c r="E8"/>
  <c r="I8"/>
  <c r="K8"/>
  <c r="M8"/>
  <c r="Q8"/>
  <c r="A2" i="100"/>
  <c r="A2" i="101"/>
  <c r="Q20" i="102"/>
  <c r="Q19"/>
  <c r="Q18"/>
  <c r="Q17"/>
  <c r="Q16"/>
  <c r="Q15"/>
  <c r="Q14"/>
  <c r="Q13"/>
  <c r="Q12"/>
  <c r="P7"/>
  <c r="Q8"/>
  <c r="Q9"/>
  <c r="Q10"/>
  <c r="Q11"/>
  <c r="Q21"/>
  <c r="Q7"/>
  <c r="P8"/>
  <c r="P9"/>
  <c r="P10"/>
  <c r="P11"/>
  <c r="P12"/>
  <c r="P13"/>
  <c r="P14"/>
  <c r="P15"/>
  <c r="P17"/>
  <c r="P18"/>
  <c r="P19"/>
  <c r="P20"/>
  <c r="P21"/>
  <c r="A2" i="6"/>
  <c r="G15"/>
  <c r="G8"/>
  <c r="B27"/>
  <c r="J8"/>
  <c r="J27"/>
  <c r="D10" i="1"/>
  <c r="R26" i="6"/>
  <c r="R25"/>
  <c r="R24"/>
  <c r="R23"/>
  <c r="R22"/>
  <c r="R21"/>
  <c r="R20"/>
  <c r="R19"/>
  <c r="R18"/>
  <c r="R17"/>
  <c r="R16"/>
  <c r="R10"/>
  <c r="R11"/>
  <c r="R12"/>
  <c r="R13"/>
  <c r="R14"/>
  <c r="R9"/>
  <c r="R8"/>
  <c r="R27"/>
  <c r="E15"/>
  <c r="F15"/>
  <c r="I15"/>
  <c r="J15"/>
  <c r="K15"/>
  <c r="L15"/>
  <c r="M15"/>
  <c r="N15"/>
  <c r="O15"/>
  <c r="P15"/>
  <c r="P8"/>
  <c r="P27"/>
  <c r="Q15"/>
  <c r="D15"/>
  <c r="E8"/>
  <c r="F8"/>
  <c r="F27"/>
  <c r="D15" i="1"/>
  <c r="H8" i="6"/>
  <c r="I8"/>
  <c r="I27"/>
  <c r="K8"/>
  <c r="K27"/>
  <c r="L8"/>
  <c r="L27"/>
  <c r="D11" i="1"/>
  <c r="M8" i="6"/>
  <c r="M27"/>
  <c r="N8"/>
  <c r="N27"/>
  <c r="O8"/>
  <c r="O27"/>
  <c r="Q8"/>
  <c r="D8"/>
  <c r="D27"/>
  <c r="D13" i="1"/>
  <c r="E27" i="6"/>
  <c r="G27"/>
  <c r="Q27"/>
  <c r="X25" i="139"/>
  <c r="X24"/>
  <c r="X23"/>
  <c r="X22"/>
  <c r="X21"/>
  <c r="X20"/>
  <c r="X19"/>
  <c r="X18"/>
  <c r="X17"/>
  <c r="X16"/>
  <c r="X15"/>
  <c r="X14"/>
  <c r="U25"/>
  <c r="U24"/>
  <c r="U22"/>
  <c r="U21"/>
  <c r="U20"/>
  <c r="U19"/>
  <c r="U18"/>
  <c r="U17"/>
  <c r="U15"/>
  <c r="U14"/>
  <c r="AB22"/>
  <c r="AC22"/>
  <c r="AD22"/>
  <c r="AB17"/>
  <c r="AC17"/>
  <c r="AD17"/>
  <c r="AB12"/>
  <c r="AC12"/>
  <c r="AD12"/>
  <c r="AB8"/>
  <c r="AB7"/>
  <c r="AC8"/>
  <c r="AB9"/>
  <c r="AC9"/>
  <c r="AD9"/>
  <c r="AB10"/>
  <c r="AC10"/>
  <c r="AD10"/>
  <c r="AB11"/>
  <c r="AC11"/>
  <c r="AD11"/>
  <c r="AB13"/>
  <c r="AC13"/>
  <c r="AD13"/>
  <c r="AB25"/>
  <c r="AC25"/>
  <c r="AD25"/>
  <c r="AB15"/>
  <c r="AC15"/>
  <c r="AD15"/>
  <c r="AB16"/>
  <c r="AC16"/>
  <c r="AD16"/>
  <c r="AB18"/>
  <c r="AC18"/>
  <c r="AD18"/>
  <c r="AB19"/>
  <c r="AC19"/>
  <c r="AD19"/>
  <c r="AB20"/>
  <c r="AC20"/>
  <c r="AD20"/>
  <c r="AB21"/>
  <c r="AB14"/>
  <c r="AB23"/>
  <c r="AB24"/>
  <c r="AC21"/>
  <c r="AD21"/>
  <c r="AC23"/>
  <c r="AD23"/>
  <c r="AC24"/>
  <c r="AD24"/>
  <c r="AA25"/>
  <c r="AA15"/>
  <c r="AA16"/>
  <c r="AA14"/>
  <c r="AA17"/>
  <c r="AA18"/>
  <c r="AA19"/>
  <c r="AA20"/>
  <c r="AA21"/>
  <c r="AA22"/>
  <c r="AA23"/>
  <c r="AA24"/>
  <c r="AA8"/>
  <c r="AA7"/>
  <c r="AA9"/>
  <c r="AA10"/>
  <c r="AA11"/>
  <c r="AA12"/>
  <c r="AA13"/>
  <c r="Z14"/>
  <c r="Z7"/>
  <c r="Z26"/>
  <c r="Y14"/>
  <c r="Y7"/>
  <c r="Y26"/>
  <c r="X9"/>
  <c r="X7"/>
  <c r="X26"/>
  <c r="X10"/>
  <c r="X11"/>
  <c r="X12"/>
  <c r="X13"/>
  <c r="W14"/>
  <c r="W7"/>
  <c r="W26"/>
  <c r="V14"/>
  <c r="V7"/>
  <c r="V26"/>
  <c r="U8"/>
  <c r="U9"/>
  <c r="U7"/>
  <c r="U26"/>
  <c r="U10"/>
  <c r="U12"/>
  <c r="T14"/>
  <c r="T7"/>
  <c r="T26"/>
  <c r="S14"/>
  <c r="S7"/>
  <c r="S26"/>
  <c r="R8"/>
  <c r="R9"/>
  <c r="R7"/>
  <c r="R10"/>
  <c r="R12"/>
  <c r="R13"/>
  <c r="R15"/>
  <c r="R14"/>
  <c r="R16"/>
  <c r="R17"/>
  <c r="R18"/>
  <c r="R19"/>
  <c r="R20"/>
  <c r="R21"/>
  <c r="R22"/>
  <c r="R23"/>
  <c r="R24"/>
  <c r="R25"/>
  <c r="Q7"/>
  <c r="Q14"/>
  <c r="Q26"/>
  <c r="P7"/>
  <c r="P14"/>
  <c r="P26"/>
  <c r="M11"/>
  <c r="M12"/>
  <c r="M13"/>
  <c r="M7"/>
  <c r="M15"/>
  <c r="M17"/>
  <c r="M14"/>
  <c r="M18"/>
  <c r="M19"/>
  <c r="M20"/>
  <c r="M21"/>
  <c r="M22"/>
  <c r="M23"/>
  <c r="M24"/>
  <c r="M25"/>
  <c r="L7"/>
  <c r="L14"/>
  <c r="L26"/>
  <c r="K7"/>
  <c r="K14"/>
  <c r="K26"/>
  <c r="J8"/>
  <c r="J9"/>
  <c r="J10"/>
  <c r="J7"/>
  <c r="J11"/>
  <c r="J12"/>
  <c r="J13"/>
  <c r="J15"/>
  <c r="J14"/>
  <c r="J16"/>
  <c r="J17"/>
  <c r="J18"/>
  <c r="J19"/>
  <c r="J20"/>
  <c r="J21"/>
  <c r="J22"/>
  <c r="J23"/>
  <c r="J24"/>
  <c r="J25"/>
  <c r="I7"/>
  <c r="I14"/>
  <c r="I26"/>
  <c r="H7"/>
  <c r="H14"/>
  <c r="H26"/>
  <c r="G8"/>
  <c r="G9"/>
  <c r="G10"/>
  <c r="G7"/>
  <c r="G11"/>
  <c r="G12"/>
  <c r="G13"/>
  <c r="G15"/>
  <c r="G14"/>
  <c r="G16"/>
  <c r="G17"/>
  <c r="G18"/>
  <c r="G19"/>
  <c r="G20"/>
  <c r="G21"/>
  <c r="G22"/>
  <c r="G23"/>
  <c r="G24"/>
  <c r="G25"/>
  <c r="F7"/>
  <c r="F14"/>
  <c r="F26"/>
  <c r="E7"/>
  <c r="E14"/>
  <c r="E26"/>
  <c r="D8"/>
  <c r="D9"/>
  <c r="D10"/>
  <c r="D7"/>
  <c r="D11"/>
  <c r="D12"/>
  <c r="D13"/>
  <c r="D15"/>
  <c r="D14"/>
  <c r="D16"/>
  <c r="D17"/>
  <c r="D18"/>
  <c r="D19"/>
  <c r="D20"/>
  <c r="D21"/>
  <c r="D22"/>
  <c r="D23"/>
  <c r="D24"/>
  <c r="D25"/>
  <c r="C7"/>
  <c r="C14"/>
  <c r="C26"/>
  <c r="B7"/>
  <c r="B14"/>
  <c r="B26"/>
  <c r="A2" i="7"/>
  <c r="F17"/>
  <c r="F16"/>
  <c r="A21"/>
  <c r="A29" i="141"/>
  <c r="H44"/>
  <c r="E44"/>
  <c r="I44"/>
  <c r="F44"/>
  <c r="C44"/>
  <c r="C35"/>
  <c r="C36"/>
  <c r="C37"/>
  <c r="C38"/>
  <c r="C39"/>
  <c r="C40"/>
  <c r="C41"/>
  <c r="C42"/>
  <c r="C43"/>
  <c r="C34"/>
  <c r="C33"/>
  <c r="E33"/>
  <c r="F33"/>
  <c r="H33"/>
  <c r="I33"/>
  <c r="E34"/>
  <c r="F34"/>
  <c r="H34"/>
  <c r="I34"/>
  <c r="E35"/>
  <c r="F35"/>
  <c r="H35"/>
  <c r="I35"/>
  <c r="E36"/>
  <c r="F36"/>
  <c r="H36"/>
  <c r="I36"/>
  <c r="E37"/>
  <c r="F37"/>
  <c r="H37"/>
  <c r="I37"/>
  <c r="E38"/>
  <c r="F38"/>
  <c r="H38"/>
  <c r="I38"/>
  <c r="E39"/>
  <c r="F39"/>
  <c r="H39"/>
  <c r="I39"/>
  <c r="E40"/>
  <c r="F40"/>
  <c r="H40"/>
  <c r="I40"/>
  <c r="E41"/>
  <c r="F41"/>
  <c r="H41"/>
  <c r="I41"/>
  <c r="E42"/>
  <c r="F42"/>
  <c r="H42"/>
  <c r="I42"/>
  <c r="E43"/>
  <c r="F43"/>
  <c r="H43"/>
  <c r="I43"/>
  <c r="B5"/>
  <c r="F5"/>
  <c r="F23"/>
  <c r="F22"/>
  <c r="F21"/>
  <c r="F20"/>
  <c r="F19"/>
  <c r="F18"/>
  <c r="F17"/>
  <c r="F16"/>
  <c r="F15"/>
  <c r="F14"/>
  <c r="F13"/>
  <c r="F12"/>
  <c r="F11"/>
  <c r="F10"/>
  <c r="F9"/>
  <c r="F8"/>
  <c r="F7"/>
  <c r="F6"/>
  <c r="H15" i="112"/>
  <c r="I15"/>
  <c r="H16"/>
  <c r="I16"/>
  <c r="J16"/>
  <c r="H17"/>
  <c r="H14"/>
  <c r="I17"/>
  <c r="J17"/>
  <c r="H18"/>
  <c r="I18"/>
  <c r="J18"/>
  <c r="H19"/>
  <c r="I19"/>
  <c r="J19"/>
  <c r="H20"/>
  <c r="I20"/>
  <c r="J20"/>
  <c r="H21"/>
  <c r="I21"/>
  <c r="J21"/>
  <c r="H22"/>
  <c r="I22"/>
  <c r="J22"/>
  <c r="H23"/>
  <c r="I23"/>
  <c r="J23"/>
  <c r="H24"/>
  <c r="I24"/>
  <c r="J24"/>
  <c r="H25"/>
  <c r="I25"/>
  <c r="J25"/>
  <c r="G15"/>
  <c r="G16"/>
  <c r="G17"/>
  <c r="G18"/>
  <c r="G19"/>
  <c r="G20"/>
  <c r="G21"/>
  <c r="G22"/>
  <c r="G23"/>
  <c r="G24"/>
  <c r="G25"/>
  <c r="F14"/>
  <c r="E14"/>
  <c r="C14"/>
  <c r="B14"/>
  <c r="E7"/>
  <c r="E26"/>
  <c r="F7"/>
  <c r="F26"/>
  <c r="I13"/>
  <c r="I12"/>
  <c r="I11"/>
  <c r="I10"/>
  <c r="I9"/>
  <c r="I8"/>
  <c r="I7"/>
  <c r="H13"/>
  <c r="J13"/>
  <c r="H12"/>
  <c r="J12"/>
  <c r="H11"/>
  <c r="J11"/>
  <c r="H10"/>
  <c r="J10"/>
  <c r="H9"/>
  <c r="J9"/>
  <c r="H8"/>
  <c r="J8"/>
  <c r="G13"/>
  <c r="G12"/>
  <c r="G11"/>
  <c r="G10"/>
  <c r="G9"/>
  <c r="G8"/>
  <c r="D23"/>
  <c r="D22"/>
  <c r="D21"/>
  <c r="D20"/>
  <c r="D25"/>
  <c r="D19"/>
  <c r="D24"/>
  <c r="D18"/>
  <c r="D17"/>
  <c r="D16"/>
  <c r="D15"/>
  <c r="D13"/>
  <c r="D12"/>
  <c r="D11"/>
  <c r="D10"/>
  <c r="D9"/>
  <c r="D8"/>
  <c r="G7"/>
  <c r="B7"/>
  <c r="B26"/>
  <c r="C7"/>
  <c r="C26"/>
  <c r="H26" i="15"/>
  <c r="I8"/>
  <c r="I25"/>
  <c r="I16"/>
  <c r="I20"/>
  <c r="I24"/>
  <c r="J26"/>
  <c r="K12"/>
  <c r="K9"/>
  <c r="K8"/>
  <c r="F11"/>
  <c r="F8"/>
  <c r="F9"/>
  <c r="F10"/>
  <c r="F12"/>
  <c r="F13"/>
  <c r="F14"/>
  <c r="F15"/>
  <c r="F16"/>
  <c r="F17"/>
  <c r="F18"/>
  <c r="F19"/>
  <c r="F20"/>
  <c r="F21"/>
  <c r="F22"/>
  <c r="F23"/>
  <c r="F24"/>
  <c r="F25"/>
  <c r="D26"/>
  <c r="E8"/>
  <c r="E11"/>
  <c r="E18"/>
  <c r="E22"/>
  <c r="C8"/>
  <c r="C26"/>
  <c r="C9"/>
  <c r="C10"/>
  <c r="C11"/>
  <c r="C12"/>
  <c r="C13"/>
  <c r="C14"/>
  <c r="C15"/>
  <c r="C16"/>
  <c r="C17"/>
  <c r="C18"/>
  <c r="C19"/>
  <c r="C20"/>
  <c r="C21"/>
  <c r="C23"/>
  <c r="C24"/>
  <c r="C25"/>
  <c r="G11" i="17"/>
  <c r="G10"/>
  <c r="O14" i="142"/>
  <c r="Q26"/>
  <c r="J15"/>
  <c r="J27"/>
  <c r="H15"/>
  <c r="I15"/>
  <c r="F15"/>
  <c r="D15"/>
  <c r="E15"/>
  <c r="O26"/>
  <c r="M26"/>
  <c r="K26"/>
  <c r="I26"/>
  <c r="G26"/>
  <c r="E26"/>
  <c r="C26"/>
  <c r="Q25"/>
  <c r="O25"/>
  <c r="M25"/>
  <c r="K25"/>
  <c r="I25"/>
  <c r="G25"/>
  <c r="E25"/>
  <c r="C25"/>
  <c r="Q24"/>
  <c r="O24"/>
  <c r="M24"/>
  <c r="K24"/>
  <c r="I24"/>
  <c r="G24"/>
  <c r="E24"/>
  <c r="C24"/>
  <c r="Q23"/>
  <c r="O23"/>
  <c r="M23"/>
  <c r="K23"/>
  <c r="I23"/>
  <c r="G23"/>
  <c r="E23"/>
  <c r="C23"/>
  <c r="Q22"/>
  <c r="O22"/>
  <c r="M22"/>
  <c r="K22"/>
  <c r="I22"/>
  <c r="G22"/>
  <c r="E22"/>
  <c r="C22"/>
  <c r="Q21"/>
  <c r="O21"/>
  <c r="M21"/>
  <c r="K21"/>
  <c r="I21"/>
  <c r="G21"/>
  <c r="E21"/>
  <c r="C21"/>
  <c r="Q20"/>
  <c r="O20"/>
  <c r="M20"/>
  <c r="K20"/>
  <c r="I20"/>
  <c r="G20"/>
  <c r="E20"/>
  <c r="C20"/>
  <c r="Q19"/>
  <c r="O19"/>
  <c r="M19"/>
  <c r="K19"/>
  <c r="I19"/>
  <c r="G19"/>
  <c r="E19"/>
  <c r="C19"/>
  <c r="Q18"/>
  <c r="O18"/>
  <c r="M18"/>
  <c r="K18"/>
  <c r="I18"/>
  <c r="G18"/>
  <c r="E18"/>
  <c r="C18"/>
  <c r="Q17"/>
  <c r="O17"/>
  <c r="M17"/>
  <c r="K17"/>
  <c r="I17"/>
  <c r="G17"/>
  <c r="E17"/>
  <c r="C17"/>
  <c r="Q16"/>
  <c r="O16"/>
  <c r="M16"/>
  <c r="K16"/>
  <c r="I16"/>
  <c r="G16"/>
  <c r="E16"/>
  <c r="C16"/>
  <c r="K15"/>
  <c r="G15"/>
  <c r="Q14"/>
  <c r="M14"/>
  <c r="K14"/>
  <c r="I14"/>
  <c r="G14"/>
  <c r="E14"/>
  <c r="Q13"/>
  <c r="O13"/>
  <c r="M13"/>
  <c r="K13"/>
  <c r="I13"/>
  <c r="G13"/>
  <c r="E13"/>
  <c r="C13"/>
  <c r="Q12"/>
  <c r="O12"/>
  <c r="M12"/>
  <c r="K12"/>
  <c r="I12"/>
  <c r="G12"/>
  <c r="E12"/>
  <c r="C12"/>
  <c r="Q11"/>
  <c r="O11"/>
  <c r="M11"/>
  <c r="K11"/>
  <c r="I11"/>
  <c r="G11"/>
  <c r="E11"/>
  <c r="C11"/>
  <c r="Q10"/>
  <c r="O10"/>
  <c r="M10"/>
  <c r="K10"/>
  <c r="I10"/>
  <c r="G10"/>
  <c r="E10"/>
  <c r="C10"/>
  <c r="Q9"/>
  <c r="O9"/>
  <c r="M9"/>
  <c r="K9"/>
  <c r="I9"/>
  <c r="G9"/>
  <c r="E9"/>
  <c r="C9"/>
  <c r="F43" i="18"/>
  <c r="F31"/>
  <c r="F35"/>
  <c r="F39"/>
  <c r="D44"/>
  <c r="E44"/>
  <c r="F44"/>
  <c r="D32"/>
  <c r="E32"/>
  <c r="F32"/>
  <c r="D36"/>
  <c r="E36"/>
  <c r="F36"/>
  <c r="D40"/>
  <c r="E40"/>
  <c r="F40"/>
  <c r="F18"/>
  <c r="D22"/>
  <c r="E22"/>
  <c r="F17"/>
  <c r="D21"/>
  <c r="E21"/>
  <c r="F14"/>
  <c r="F13"/>
  <c r="F10"/>
  <c r="F9"/>
  <c r="E46"/>
  <c r="E47"/>
  <c r="D46"/>
  <c r="D47"/>
  <c r="A32" i="19"/>
  <c r="E44"/>
  <c r="F43"/>
  <c r="F42"/>
  <c r="B44"/>
  <c r="C36"/>
  <c r="C37"/>
  <c r="G15"/>
  <c r="G16"/>
  <c r="G17"/>
  <c r="G18"/>
  <c r="G19"/>
  <c r="G20"/>
  <c r="G21"/>
  <c r="G22"/>
  <c r="G23"/>
  <c r="G24"/>
  <c r="G25"/>
  <c r="F14"/>
  <c r="E14"/>
  <c r="D15"/>
  <c r="D16"/>
  <c r="D17"/>
  <c r="D18"/>
  <c r="D19"/>
  <c r="D20"/>
  <c r="D21"/>
  <c r="D22"/>
  <c r="D23"/>
  <c r="D24"/>
  <c r="D25"/>
  <c r="C14"/>
  <c r="B14"/>
  <c r="C7"/>
  <c r="C26"/>
  <c r="D9"/>
  <c r="D8"/>
  <c r="D10"/>
  <c r="D11"/>
  <c r="D12"/>
  <c r="D13"/>
  <c r="D27"/>
  <c r="E7"/>
  <c r="E26"/>
  <c r="F7"/>
  <c r="F26"/>
  <c r="G8"/>
  <c r="G9"/>
  <c r="G10"/>
  <c r="G11"/>
  <c r="G12"/>
  <c r="G13"/>
  <c r="G27"/>
  <c r="B7"/>
  <c r="B26"/>
  <c r="E20" i="105"/>
  <c r="E19"/>
  <c r="E18"/>
  <c r="E17"/>
  <c r="E16"/>
  <c r="E15"/>
  <c r="E14"/>
  <c r="E13"/>
  <c r="E12"/>
  <c r="E11"/>
  <c r="E10"/>
  <c r="E9"/>
  <c r="E8"/>
  <c r="E7"/>
  <c r="E6"/>
  <c r="A2"/>
  <c r="A2" i="136"/>
  <c r="E22" i="107"/>
  <c r="G22"/>
  <c r="H22"/>
  <c r="I22"/>
  <c r="J22"/>
  <c r="F22"/>
  <c r="A2"/>
  <c r="A2" i="137"/>
  <c r="J21" i="140"/>
  <c r="A2"/>
  <c r="B14"/>
  <c r="B12"/>
  <c r="B13"/>
  <c r="L14"/>
  <c r="L21"/>
  <c r="L12"/>
  <c r="K14"/>
  <c r="K21"/>
  <c r="K12"/>
  <c r="D40" i="1"/>
  <c r="D41" s="1"/>
  <c r="D18"/>
  <c r="I14" i="140"/>
  <c r="I12"/>
  <c r="H14"/>
  <c r="H12"/>
  <c r="G14"/>
  <c r="G12"/>
  <c r="F14"/>
  <c r="F12"/>
  <c r="E14"/>
  <c r="E12"/>
  <c r="D14"/>
  <c r="D12"/>
  <c r="C14"/>
  <c r="C12"/>
  <c r="J14"/>
  <c r="H13" i="123"/>
  <c r="H20"/>
  <c r="H11"/>
  <c r="G13"/>
  <c r="G20"/>
  <c r="G11"/>
  <c r="A2"/>
  <c r="I13"/>
  <c r="I11"/>
  <c r="D13"/>
  <c r="D11"/>
  <c r="B12"/>
  <c r="E13"/>
  <c r="F13"/>
  <c r="F20"/>
  <c r="F11"/>
  <c r="C13"/>
  <c r="C11"/>
  <c r="B13"/>
  <c r="B20"/>
  <c r="B11"/>
  <c r="D38" i="1"/>
  <c r="E12" i="25"/>
  <c r="E19"/>
  <c r="E10"/>
  <c r="C12"/>
  <c r="C19"/>
  <c r="C10"/>
  <c r="C11"/>
  <c r="G12"/>
  <c r="D12"/>
  <c r="D19"/>
  <c r="D10"/>
  <c r="F19"/>
  <c r="F12"/>
  <c r="G19"/>
  <c r="B2"/>
  <c r="A2" i="124"/>
  <c r="B11"/>
  <c r="D12"/>
  <c r="D19"/>
  <c r="D10"/>
  <c r="B12"/>
  <c r="B19"/>
  <c r="B10"/>
  <c r="C12"/>
  <c r="C19"/>
  <c r="C10"/>
  <c r="A2" i="126"/>
  <c r="E13"/>
  <c r="D13"/>
  <c r="B12"/>
  <c r="C13"/>
  <c r="C11"/>
  <c r="E20"/>
  <c r="E11"/>
  <c r="B13"/>
  <c r="B11"/>
  <c r="D11"/>
  <c r="A2" i="27"/>
  <c r="I8"/>
  <c r="I13"/>
  <c r="I18"/>
  <c r="I23"/>
  <c r="A2" i="28"/>
  <c r="I18"/>
  <c r="I13"/>
  <c r="I25"/>
  <c r="I8"/>
  <c r="I17"/>
  <c r="I7"/>
  <c r="I36"/>
  <c r="G19" i="29"/>
  <c r="A2" i="30"/>
  <c r="M24"/>
  <c r="N24"/>
  <c r="M19"/>
  <c r="N19"/>
  <c r="M14"/>
  <c r="N14"/>
  <c r="M9"/>
  <c r="N9"/>
  <c r="M8"/>
  <c r="N8"/>
  <c r="A2" i="31"/>
  <c r="M14"/>
  <c r="M9"/>
  <c r="M19"/>
  <c r="M26"/>
  <c r="M18"/>
  <c r="N9"/>
  <c r="N19"/>
  <c r="N26"/>
  <c r="N18"/>
  <c r="N37"/>
  <c r="A2" i="32"/>
  <c r="M20"/>
  <c r="N20"/>
  <c r="A2" i="33"/>
  <c r="I8"/>
  <c r="I7"/>
  <c r="A2" i="34"/>
  <c r="I8"/>
  <c r="I7"/>
  <c r="I35"/>
  <c r="I36"/>
  <c r="A2" i="35"/>
  <c r="I19"/>
  <c r="A2" i="39"/>
  <c r="C12"/>
  <c r="C19"/>
  <c r="C10"/>
  <c r="B11"/>
  <c r="B12"/>
  <c r="B19"/>
  <c r="B10"/>
  <c r="D9" i="144"/>
  <c r="B9"/>
  <c r="F18"/>
  <c r="F9"/>
  <c r="B10"/>
  <c r="B42"/>
  <c r="B43"/>
  <c r="F42"/>
  <c r="E42"/>
  <c r="G42"/>
  <c r="D42"/>
  <c r="C42"/>
  <c r="A34"/>
  <c r="C49"/>
  <c r="D49"/>
  <c r="G49"/>
  <c r="E49"/>
  <c r="F49"/>
  <c r="A2"/>
  <c r="A14" i="83"/>
  <c r="B2"/>
  <c r="D10"/>
  <c r="M20"/>
  <c r="L20"/>
  <c r="N20"/>
  <c r="G10" i="46"/>
  <c r="G19"/>
  <c r="G27"/>
  <c r="G32"/>
  <c r="G31"/>
  <c r="A14"/>
  <c r="A2"/>
  <c r="G50"/>
  <c r="G42"/>
  <c r="G37"/>
  <c r="G25" i="114"/>
  <c r="A2"/>
  <c r="G19"/>
  <c r="G38"/>
  <c r="G30"/>
  <c r="G7"/>
  <c r="G15"/>
  <c r="G20"/>
  <c r="A2" i="49"/>
  <c r="A19" i="50"/>
  <c r="A2"/>
  <c r="L30" i="51"/>
  <c r="G30"/>
  <c r="L18"/>
  <c r="G18"/>
  <c r="A2"/>
  <c r="A2" i="53"/>
  <c r="A2" i="130"/>
  <c r="G14"/>
  <c r="B19" i="54"/>
  <c r="A2"/>
  <c r="K11"/>
  <c r="F10" i="56"/>
  <c r="B28"/>
  <c r="B15"/>
  <c r="B2"/>
  <c r="A2" i="59"/>
  <c r="G15"/>
  <c r="G10"/>
  <c r="G20"/>
  <c r="G26"/>
  <c r="J19" i="128"/>
  <c r="J12"/>
  <c r="J10"/>
  <c r="C11"/>
  <c r="C12"/>
  <c r="G12"/>
  <c r="G19"/>
  <c r="G10"/>
  <c r="A2"/>
  <c r="D19"/>
  <c r="D12"/>
  <c r="D10"/>
  <c r="E12"/>
  <c r="E10"/>
  <c r="F12"/>
  <c r="F19"/>
  <c r="F10"/>
  <c r="C19"/>
  <c r="C10"/>
  <c r="E19"/>
  <c r="G37" i="61"/>
  <c r="G49"/>
  <c r="E37"/>
  <c r="E49"/>
  <c r="D72" i="1"/>
  <c r="F37" i="61"/>
  <c r="F49"/>
  <c r="C37"/>
  <c r="C49"/>
  <c r="D70" i="1"/>
  <c r="A2" i="61"/>
  <c r="G48"/>
  <c r="D37"/>
  <c r="D49"/>
  <c r="D71" i="1"/>
  <c r="G47" i="61"/>
  <c r="G46"/>
  <c r="G45"/>
  <c r="F48"/>
  <c r="F47"/>
  <c r="F46"/>
  <c r="F45"/>
  <c r="E48"/>
  <c r="E47"/>
  <c r="E46"/>
  <c r="E45"/>
  <c r="D48"/>
  <c r="D47"/>
  <c r="D46"/>
  <c r="D45"/>
  <c r="C48"/>
  <c r="C47"/>
  <c r="C46"/>
  <c r="C45"/>
  <c r="C22" i="62"/>
  <c r="A2"/>
  <c r="A17" i="149"/>
  <c r="F22"/>
  <c r="F29"/>
  <c r="F39"/>
  <c r="D67" i="1"/>
  <c r="B10" i="65"/>
  <c r="D10"/>
  <c r="F24"/>
  <c r="F31"/>
  <c r="F41"/>
  <c r="E24"/>
  <c r="E31"/>
  <c r="E41"/>
  <c r="D24"/>
  <c r="D31"/>
  <c r="D41"/>
  <c r="C24"/>
  <c r="C31"/>
  <c r="C41"/>
  <c r="B24"/>
  <c r="B31"/>
  <c r="B41"/>
  <c r="A19"/>
  <c r="A2"/>
  <c r="A2" i="147"/>
  <c r="J10"/>
  <c r="A2" i="69"/>
  <c r="A4" i="148"/>
  <c r="A2" i="133"/>
  <c r="C24" i="145"/>
  <c r="B13"/>
  <c r="B2"/>
  <c r="N18"/>
  <c r="N19"/>
  <c r="M18"/>
  <c r="M19"/>
  <c r="L18"/>
  <c r="L19"/>
  <c r="L20"/>
  <c r="K18"/>
  <c r="K19"/>
  <c r="K20"/>
  <c r="N7"/>
  <c r="N8"/>
  <c r="M7"/>
  <c r="M8"/>
  <c r="L7"/>
  <c r="L8"/>
  <c r="L9"/>
  <c r="K7"/>
  <c r="K8"/>
  <c r="K9"/>
  <c r="B65" i="1"/>
  <c r="B40"/>
  <c r="B37"/>
  <c r="B26"/>
  <c r="B10"/>
  <c r="B6"/>
  <c r="D77"/>
  <c r="D43"/>
  <c r="D63"/>
  <c r="D59"/>
  <c r="D48"/>
  <c r="D80"/>
  <c r="D79"/>
  <c r="D78"/>
  <c r="D76"/>
  <c r="D74"/>
  <c r="D68"/>
  <c r="D65"/>
  <c r="B63"/>
  <c r="B59"/>
  <c r="D47"/>
  <c r="D46"/>
  <c r="D45"/>
  <c r="D44"/>
  <c r="D35"/>
  <c r="D34"/>
  <c r="D33"/>
  <c r="D28"/>
  <c r="D27"/>
  <c r="D26"/>
  <c r="B38"/>
  <c r="A54"/>
  <c r="A1"/>
  <c r="D12"/>
  <c r="D7"/>
  <c r="D6"/>
  <c r="D14"/>
  <c r="D9"/>
  <c r="D5"/>
  <c r="B76"/>
  <c r="B67"/>
  <c r="B43"/>
  <c r="B33"/>
  <c r="B30"/>
  <c r="B8"/>
  <c r="D83"/>
  <c r="A13" i="120"/>
  <c r="A8"/>
  <c r="C14" i="142"/>
  <c r="H27"/>
  <c r="F27"/>
  <c r="D27"/>
  <c r="G7" i="17"/>
  <c r="G8"/>
  <c r="F36"/>
  <c r="F35"/>
  <c r="G34"/>
  <c r="F33"/>
  <c r="G32"/>
  <c r="F31"/>
  <c r="G30"/>
  <c r="F29"/>
  <c r="G28"/>
  <c r="F27"/>
  <c r="G26"/>
  <c r="F25"/>
  <c r="G24"/>
  <c r="G23"/>
  <c r="F22"/>
  <c r="G21"/>
  <c r="F20"/>
  <c r="F18"/>
  <c r="F37"/>
  <c r="F19"/>
  <c r="G17"/>
  <c r="F16"/>
  <c r="G13"/>
  <c r="F15"/>
  <c r="F14"/>
  <c r="G12"/>
  <c r="F11"/>
  <c r="F10"/>
  <c r="G14" i="112"/>
  <c r="G26"/>
  <c r="D14"/>
  <c r="H7"/>
  <c r="H26"/>
  <c r="D7"/>
  <c r="D26"/>
  <c r="O15" i="142"/>
  <c r="C15"/>
  <c r="Q15"/>
  <c r="M15"/>
  <c r="C42" i="19"/>
  <c r="C40"/>
  <c r="C38"/>
  <c r="F37"/>
  <c r="F39"/>
  <c r="F41"/>
  <c r="K25" i="15"/>
  <c r="K23"/>
  <c r="K21"/>
  <c r="K19"/>
  <c r="K17"/>
  <c r="K15"/>
  <c r="K13"/>
  <c r="K10"/>
  <c r="I15"/>
  <c r="I13"/>
  <c r="I11"/>
  <c r="I9"/>
  <c r="I14" i="112"/>
  <c r="M9" i="99"/>
  <c r="I9"/>
  <c r="Q11"/>
  <c r="I11"/>
  <c r="Q13"/>
  <c r="M13"/>
  <c r="I13"/>
  <c r="Q15"/>
  <c r="I15"/>
  <c r="Q17"/>
  <c r="M17"/>
  <c r="I17"/>
  <c r="Q19"/>
  <c r="I19"/>
  <c r="Q21"/>
  <c r="M21"/>
  <c r="I21"/>
  <c r="Q23"/>
  <c r="M23"/>
  <c r="I23"/>
  <c r="Q25"/>
  <c r="I25"/>
  <c r="K24" i="15"/>
  <c r="K20"/>
  <c r="K16"/>
  <c r="K11"/>
  <c r="E25"/>
  <c r="E23"/>
  <c r="E21"/>
  <c r="E19"/>
  <c r="E17"/>
  <c r="E13"/>
  <c r="E9"/>
  <c r="E16"/>
  <c r="E14"/>
  <c r="E12"/>
  <c r="E10"/>
  <c r="F26"/>
  <c r="G21"/>
  <c r="G18"/>
  <c r="G19"/>
  <c r="G16"/>
  <c r="G14" i="19"/>
  <c r="G7"/>
  <c r="D14"/>
  <c r="D7"/>
  <c r="F47" i="18"/>
  <c r="G31"/>
  <c r="G35"/>
  <c r="D48"/>
  <c r="G43"/>
  <c r="F22"/>
  <c r="G10"/>
  <c r="G22"/>
  <c r="F21"/>
  <c r="G17"/>
  <c r="G18"/>
  <c r="G11" i="15"/>
  <c r="G20"/>
  <c r="G12"/>
  <c r="G23"/>
  <c r="G15"/>
  <c r="G22"/>
  <c r="G14"/>
  <c r="G17"/>
  <c r="G25"/>
  <c r="G10"/>
  <c r="G13"/>
  <c r="G26" i="19"/>
  <c r="G28"/>
  <c r="D26"/>
  <c r="D28"/>
  <c r="R8" i="153"/>
  <c r="G7" i="152"/>
  <c r="H14"/>
  <c r="B26"/>
  <c r="R15" i="6"/>
  <c r="H27"/>
  <c r="D8" i="1"/>
  <c r="G13" i="18"/>
  <c r="G14"/>
  <c r="C39" i="19"/>
  <c r="F36"/>
  <c r="F40"/>
  <c r="K22" i="15"/>
  <c r="K14"/>
  <c r="AC14" i="139"/>
  <c r="H7" i="152"/>
  <c r="M17" i="15"/>
  <c r="M15"/>
  <c r="M13"/>
  <c r="M11"/>
  <c r="M9"/>
  <c r="Q9"/>
  <c r="Q10" i="99"/>
  <c r="M10"/>
  <c r="I10"/>
  <c r="S10"/>
  <c r="O11"/>
  <c r="Q16"/>
  <c r="M16"/>
  <c r="I16"/>
  <c r="S16"/>
  <c r="Q18"/>
  <c r="M18"/>
  <c r="I18"/>
  <c r="K21"/>
  <c r="J7" i="152"/>
  <c r="H26"/>
  <c r="J12" i="140"/>
  <c r="D37" i="1"/>
  <c r="G10" i="25"/>
  <c r="F10"/>
  <c r="E20" i="123"/>
  <c r="E11"/>
  <c r="D39" i="1"/>
  <c r="I17" i="34"/>
  <c r="N8" i="31"/>
  <c r="N36"/>
  <c r="M8"/>
  <c r="M36"/>
  <c r="I35" i="28"/>
  <c r="X26" i="179"/>
  <c r="W26"/>
  <c r="V26"/>
  <c r="R26"/>
  <c r="Q26"/>
  <c r="P26"/>
  <c r="J26"/>
  <c r="H26"/>
  <c r="F26"/>
  <c r="C26"/>
  <c r="I7" i="27"/>
  <c r="H17" i="141"/>
  <c r="H21"/>
  <c r="H11"/>
  <c r="H18"/>
  <c r="F24"/>
  <c r="D19" i="1"/>
  <c r="D22"/>
  <c r="G15" i="18"/>
  <c r="G19"/>
  <c r="G35" i="34"/>
  <c r="M18" i="153"/>
  <c r="M22"/>
  <c r="M8"/>
  <c r="M14"/>
  <c r="Q9"/>
  <c r="Q13"/>
  <c r="Q10"/>
  <c r="Q14"/>
  <c r="Q17"/>
  <c r="Q19"/>
  <c r="Q21"/>
  <c r="Q23"/>
  <c r="Q25"/>
  <c r="F48" i="18"/>
  <c r="G32"/>
  <c r="G11"/>
  <c r="G23"/>
  <c r="E35" i="34"/>
  <c r="C41" i="19"/>
  <c r="C44"/>
  <c r="F38"/>
  <c r="F44"/>
  <c r="E24" i="15"/>
  <c r="E20"/>
  <c r="E15"/>
  <c r="E26"/>
  <c r="I23"/>
  <c r="I21"/>
  <c r="I19"/>
  <c r="I17"/>
  <c r="I14"/>
  <c r="I10"/>
  <c r="O8" i="99"/>
  <c r="G8"/>
  <c r="S8"/>
  <c r="O14"/>
  <c r="K14"/>
  <c r="G14"/>
  <c r="S14"/>
  <c r="G19"/>
  <c r="S19"/>
  <c r="G25"/>
  <c r="S25"/>
  <c r="M27"/>
  <c r="I27"/>
  <c r="S27"/>
  <c r="I15" i="21"/>
  <c r="M25" i="15"/>
  <c r="M23"/>
  <c r="M21"/>
  <c r="M18"/>
  <c r="M14"/>
  <c r="M10"/>
  <c r="G40" i="18"/>
  <c r="G44"/>
  <c r="D21" i="1"/>
  <c r="D23"/>
  <c r="G34" i="18"/>
  <c r="G38"/>
  <c r="G42"/>
  <c r="M13" i="153"/>
  <c r="M11"/>
  <c r="M15"/>
  <c r="H14" i="141"/>
  <c r="H23"/>
  <c r="H10"/>
  <c r="H20"/>
  <c r="H9"/>
  <c r="H19"/>
  <c r="H7"/>
  <c r="H15"/>
  <c r="H24"/>
  <c r="R26" i="15"/>
  <c r="Q8" i="142"/>
  <c r="C8"/>
  <c r="R27"/>
  <c r="O8"/>
  <c r="M8"/>
  <c r="F9" i="17"/>
  <c r="G9"/>
  <c r="AB26" i="139"/>
  <c r="S22" i="15"/>
  <c r="S15"/>
  <c r="D24" i="1"/>
  <c r="Q8" i="153"/>
  <c r="Q24"/>
  <c r="Q22"/>
  <c r="Q20"/>
  <c r="Q18"/>
  <c r="Q16"/>
  <c r="Q12"/>
  <c r="Q15"/>
  <c r="M16"/>
  <c r="M12"/>
  <c r="M9"/>
  <c r="M25"/>
  <c r="M23"/>
  <c r="M21"/>
  <c r="M19"/>
  <c r="M17"/>
  <c r="H8" i="141"/>
  <c r="H22"/>
  <c r="H13"/>
  <c r="H6"/>
  <c r="H5"/>
  <c r="H16"/>
  <c r="J15" i="21"/>
  <c r="S24" i="15"/>
  <c r="S20"/>
  <c r="S13"/>
  <c r="S19"/>
  <c r="F35" i="28"/>
  <c r="I36" i="31"/>
  <c r="K36"/>
  <c r="G9" i="99"/>
  <c r="S9"/>
  <c r="G9" i="18"/>
  <c r="G21"/>
  <c r="E48"/>
  <c r="K18" i="15"/>
  <c r="K26"/>
  <c r="J15" i="112"/>
  <c r="J14"/>
  <c r="M24" i="15"/>
  <c r="M19"/>
  <c r="M12"/>
  <c r="M26"/>
  <c r="O27" i="142"/>
  <c r="M27"/>
  <c r="Q27"/>
  <c r="D31" i="1"/>
  <c r="S16" i="15"/>
  <c r="S17"/>
  <c r="S8"/>
  <c r="S26"/>
  <c r="S12"/>
  <c r="S21"/>
  <c r="S25"/>
  <c r="S18"/>
  <c r="S11"/>
  <c r="S10"/>
  <c r="S14"/>
  <c r="S23"/>
  <c r="Q26" i="153"/>
  <c r="H12" i="141"/>
  <c r="S9" i="15"/>
  <c r="G46" i="18"/>
  <c r="D26" i="179"/>
  <c r="N20" i="145"/>
  <c r="M20"/>
  <c r="N9"/>
  <c r="M9"/>
  <c r="M20" i="153"/>
  <c r="M24"/>
  <c r="M10"/>
  <c r="AA26" i="139"/>
  <c r="G36" i="31"/>
  <c r="I26" i="112"/>
  <c r="J7"/>
  <c r="J26"/>
  <c r="E38" i="17"/>
  <c r="G38"/>
  <c r="F38"/>
  <c r="G11" i="153"/>
  <c r="G15"/>
  <c r="G19"/>
  <c r="G23"/>
  <c r="G10"/>
  <c r="G14"/>
  <c r="G18"/>
  <c r="G22"/>
  <c r="G8"/>
  <c r="G9"/>
  <c r="G13"/>
  <c r="G17"/>
  <c r="G21"/>
  <c r="G25"/>
  <c r="G12"/>
  <c r="G16"/>
  <c r="G20"/>
  <c r="G24"/>
  <c r="O8"/>
  <c r="O10"/>
  <c r="O14"/>
  <c r="O18"/>
  <c r="O22"/>
  <c r="O9"/>
  <c r="O13"/>
  <c r="O17"/>
  <c r="O21"/>
  <c r="O25"/>
  <c r="O12"/>
  <c r="O16"/>
  <c r="O20"/>
  <c r="O24"/>
  <c r="O11"/>
  <c r="O15"/>
  <c r="O19"/>
  <c r="O23"/>
  <c r="R26"/>
  <c r="S10"/>
  <c r="B27" i="142"/>
  <c r="I8"/>
  <c r="K8"/>
  <c r="G8"/>
  <c r="E8"/>
  <c r="I27"/>
  <c r="G36" i="18"/>
  <c r="G48"/>
  <c r="K27" i="142"/>
  <c r="D26" i="139"/>
  <c r="G26"/>
  <c r="J26"/>
  <c r="M26"/>
  <c r="R26"/>
  <c r="AD14"/>
  <c r="S11" i="153"/>
  <c r="S19"/>
  <c r="S24"/>
  <c r="H36" i="31"/>
  <c r="L36"/>
  <c r="G39" i="18"/>
  <c r="G47"/>
  <c r="G24" i="15"/>
  <c r="G8"/>
  <c r="G9"/>
  <c r="I22"/>
  <c r="I18"/>
  <c r="I12"/>
  <c r="AC7" i="139"/>
  <c r="AC26"/>
  <c r="AD8"/>
  <c r="AD7"/>
  <c r="AD26"/>
  <c r="O12" i="99"/>
  <c r="K12"/>
  <c r="G12"/>
  <c r="S12"/>
  <c r="G13"/>
  <c r="S13"/>
  <c r="G15"/>
  <c r="S15"/>
  <c r="K18"/>
  <c r="S18"/>
  <c r="O20"/>
  <c r="K20"/>
  <c r="G20"/>
  <c r="S20"/>
  <c r="O22"/>
  <c r="K22"/>
  <c r="G22"/>
  <c r="S22"/>
  <c r="O23"/>
  <c r="G23"/>
  <c r="S23"/>
  <c r="K22" i="153"/>
  <c r="K26"/>
  <c r="K24"/>
  <c r="C27" i="142"/>
  <c r="D30" i="1"/>
  <c r="E27" i="142"/>
  <c r="G27"/>
  <c r="S18" i="153"/>
  <c r="S15"/>
  <c r="S20"/>
  <c r="S16"/>
  <c r="S8"/>
  <c r="S13"/>
  <c r="S9"/>
  <c r="S14"/>
  <c r="S23"/>
  <c r="S22"/>
  <c r="S25"/>
  <c r="S12"/>
  <c r="S21"/>
  <c r="I26" i="15"/>
  <c r="G26"/>
  <c r="O26" i="153"/>
  <c r="G26"/>
  <c r="S17"/>
  <c r="M26"/>
  <c r="S26"/>
</calcChain>
</file>

<file path=xl/sharedStrings.xml><?xml version="1.0" encoding="utf-8"?>
<sst xmlns="http://schemas.openxmlformats.org/spreadsheetml/2006/main" count="6424" uniqueCount="1683">
  <si>
    <t>Urdu</t>
  </si>
  <si>
    <t>Reporting Area</t>
  </si>
  <si>
    <t>Climate :</t>
  </si>
  <si>
    <t>8509 (P)</t>
  </si>
  <si>
    <t>Net area sown</t>
  </si>
  <si>
    <t>Marginal</t>
  </si>
  <si>
    <t xml:space="preserve"> Super / Director of the respective </t>
  </si>
  <si>
    <t>Super of Railway Hospital, Malda</t>
  </si>
  <si>
    <t>Super of District Correctional Home, Malda</t>
  </si>
  <si>
    <t>Small</t>
  </si>
  <si>
    <t>Semi-medium</t>
  </si>
  <si>
    <t>Medium</t>
  </si>
  <si>
    <t>Large</t>
  </si>
  <si>
    <t>C.D.Block / M</t>
  </si>
  <si>
    <t>3) Chairmen, English Bazar(M) &amp; Old Malda(M)</t>
  </si>
  <si>
    <t>Health &amp; Family Welfare Deptt., Govt. of  W.B.</t>
  </si>
  <si>
    <t xml:space="preserve"> Dy. C.M.O.H.-I &amp; II, Malda</t>
  </si>
  <si>
    <t>Others 
(C.C.+ O.P.+ M.T.P. etc.)</t>
  </si>
  <si>
    <t xml:space="preserve"> Sub-Division/
C.D.Block / M</t>
  </si>
  <si>
    <t>Super / Director of the respective
(L.S.G./Private) Hospitals, Malda</t>
  </si>
  <si>
    <t>of Health-III, Malda</t>
  </si>
  <si>
    <t>Total Deliveries performed</t>
  </si>
  <si>
    <t>Super / Director of the respective (L.S.G./Private) Hospitals, Malda</t>
  </si>
  <si>
    <t>(a) D.I.(Primary+Junior Basic)</t>
  </si>
  <si>
    <t>(a) D.I.(Secondary)</t>
  </si>
  <si>
    <t>Reformatory or certified Institutions or Welfare Homes under Social Welfare Deptt. for the Juveniles or destitute children or the children of red-light areas</t>
  </si>
  <si>
    <t>Head of each Centre of Rabindra Mukta Vidyalaya</t>
  </si>
  <si>
    <t>Education cell under Zilla Parishad</t>
  </si>
  <si>
    <t>District Panchayat &amp; Rural Dev. Officer 
&amp; District Nodal Office of S.S.K., Malda</t>
  </si>
  <si>
    <t>All other Commercial &amp; Vocational Institutions 
(Affiliated to W.B. State Council of Technical Education)</t>
  </si>
  <si>
    <t>Reformatory or certified Institutions or Welfare Homes under Social Welfare Deptt. for the Juveniles or destitute children or the children of  red-light areas</t>
  </si>
  <si>
    <t>1) District Panchayat &amp; Rural Dev. Officer 
    &amp; District Nodal Office of S.S.K., Malda</t>
  </si>
  <si>
    <t>6) Head of each Centre of Rabindra Mukta Vidyalaya</t>
  </si>
  <si>
    <t>7) Education cell under Zilla Parishad</t>
  </si>
  <si>
    <t>(a) D.I.(Primary + Junior Basic)</t>
  </si>
  <si>
    <t>Sub-Division / C.D.Block / M</t>
  </si>
  <si>
    <t>Area of land distributed (Hectare)</t>
  </si>
  <si>
    <t>Number of Beneficiaries</t>
  </si>
  <si>
    <t>Thousand 
cu. metre</t>
  </si>
  <si>
    <t>Rs. in thousand</t>
  </si>
  <si>
    <t>Govt. Canal</t>
  </si>
  <si>
    <t>1) Irrigation &amp; Waterways Directorate, Govt. of W.B.</t>
  </si>
  <si>
    <t>2) Principal Agricultural Officer, Malda</t>
  </si>
  <si>
    <t>3) Asstt. Engineers, (Agri. Mech.) &amp; ( Agri. Irri.), Malda</t>
  </si>
  <si>
    <t>No. of 
Cultivators
 benefitted</t>
  </si>
  <si>
    <t>Horses and Ponies</t>
  </si>
  <si>
    <t>Type of Society / 
Year</t>
  </si>
  <si>
    <t>Semi-urban</t>
  </si>
  <si>
    <t>No. of
 policies</t>
  </si>
  <si>
    <t xml:space="preserve">2) Manager, (M.B. Actt. &amp; Planning) (D.M.), Jalpaiguri Div. </t>
  </si>
  <si>
    <t>Chief Executive Officer, Malda District 
Central Co-op. Bank Ltd.</t>
  </si>
  <si>
    <t>1) Branch Managers, L.I.C. of India, Chanchal,Malda-I &amp; Malda-II Branches</t>
  </si>
  <si>
    <t>S   I   Z   E    -    C   L   A   S   S</t>
  </si>
  <si>
    <t>(Area in hectare)</t>
  </si>
  <si>
    <t xml:space="preserve">Note : </t>
  </si>
  <si>
    <t>Below 1.0 hectare</t>
  </si>
  <si>
    <t>Madhyamik Siksha Kendras</t>
  </si>
  <si>
    <t xml:space="preserve">Foodgrains : </t>
  </si>
  <si>
    <t>1.</t>
  </si>
  <si>
    <t>2.</t>
  </si>
  <si>
    <t>3.</t>
  </si>
  <si>
    <t>4.</t>
  </si>
  <si>
    <t>5.</t>
  </si>
  <si>
    <t>6.</t>
  </si>
  <si>
    <t>7.</t>
  </si>
  <si>
    <t>8.</t>
  </si>
  <si>
    <t>Crops</t>
  </si>
  <si>
    <t>Rice</t>
  </si>
  <si>
    <t>Aus</t>
  </si>
  <si>
    <t>Aman</t>
  </si>
  <si>
    <t>Boro</t>
  </si>
  <si>
    <t>Wheat</t>
  </si>
  <si>
    <t>Barley</t>
  </si>
  <si>
    <t>Maize</t>
  </si>
  <si>
    <t>Other Cereals</t>
  </si>
  <si>
    <t>80 (P)</t>
  </si>
  <si>
    <t>3169 (P)</t>
  </si>
  <si>
    <t>#</t>
  </si>
  <si>
    <t># Programme closed</t>
  </si>
  <si>
    <t>* Figure of 'Saakshar Bharat'</t>
  </si>
  <si>
    <t>Total Cereals</t>
  </si>
  <si>
    <t>Tur</t>
  </si>
  <si>
    <t>Other Pulses</t>
  </si>
  <si>
    <t>Total Pulses</t>
  </si>
  <si>
    <t>Total Foodgrains</t>
  </si>
  <si>
    <t>Other Oil seeds</t>
  </si>
  <si>
    <t>Total Oil seeds</t>
  </si>
  <si>
    <t>Jute</t>
  </si>
  <si>
    <t>Mesta</t>
  </si>
  <si>
    <t>Sugarcane</t>
  </si>
  <si>
    <t>Outgrowth</t>
  </si>
  <si>
    <t xml:space="preserve">Total 
Population </t>
  </si>
  <si>
    <t>CENTRES OF OPEN UNIVERSITIES</t>
  </si>
  <si>
    <t>(d) Industrial Training Centres (ITC)</t>
  </si>
  <si>
    <t xml:space="preserve">* * * * * * * * </t>
  </si>
  <si>
    <t>Sadar 
Sub-Division</t>
  </si>
  <si>
    <t>Total 
Popu-
lation</t>
  </si>
  <si>
    <t>10.0 hectares and above. It includes mostly institutional holdings</t>
  </si>
  <si>
    <t>' 000 
hectares</t>
  </si>
  <si>
    <t>Name of
 Flowers</t>
  </si>
  <si>
    <t xml:space="preserve">           BCG = Bacillus Calmette Guerin</t>
  </si>
  <si>
    <t>Primary Land Mortgage Bank</t>
  </si>
  <si>
    <t>Potato</t>
  </si>
  <si>
    <t>Tobacco</t>
  </si>
  <si>
    <t>Tea</t>
  </si>
  <si>
    <t>Chillies (dry)</t>
  </si>
  <si>
    <t>No. of holdings</t>
  </si>
  <si>
    <t>*As per census data, Sultanganj inhabitted village is situated partly in Kaliachak-I block &amp; partly in Kaliachak-III block; hence counted as one.</t>
  </si>
  <si>
    <t xml:space="preserve">* included in Old Malda Block </t>
  </si>
  <si>
    <t>Average size of holdings (Hect.)</t>
  </si>
  <si>
    <t>Directorate of Animal Resources &amp; Animal Health, Govt. of  W.B.</t>
  </si>
  <si>
    <t>Source : B.A.E. &amp; S., Govt. of  W.B.</t>
  </si>
  <si>
    <t>Value of Production (Thousand rupees)</t>
  </si>
  <si>
    <t>BLOCK LEVEL STATISTICS</t>
  </si>
  <si>
    <t xml:space="preserve"> Til</t>
  </si>
  <si>
    <t>Ginger</t>
  </si>
  <si>
    <t>Total Miscellaneous crops</t>
  </si>
  <si>
    <t>Sources :</t>
  </si>
  <si>
    <t>1.1</t>
  </si>
  <si>
    <t>1.2</t>
  </si>
  <si>
    <t>1.3</t>
  </si>
  <si>
    <t>1.4</t>
  </si>
  <si>
    <t>2.1</t>
  </si>
  <si>
    <t>2.1(a)</t>
  </si>
  <si>
    <t>2.1(b)</t>
  </si>
  <si>
    <t>2.2</t>
  </si>
  <si>
    <t>2.3</t>
  </si>
  <si>
    <t>2.4(a)</t>
  </si>
  <si>
    <t>2.4(b)</t>
  </si>
  <si>
    <t>2.5(a)</t>
  </si>
  <si>
    <t>2.5(b)</t>
  </si>
  <si>
    <t>2.6</t>
  </si>
  <si>
    <t>2.7</t>
  </si>
  <si>
    <t>2.8</t>
  </si>
  <si>
    <t>2.9</t>
  </si>
  <si>
    <t>2.10</t>
  </si>
  <si>
    <t>2.10(a)</t>
  </si>
  <si>
    <t>2.11</t>
  </si>
  <si>
    <t>3.1</t>
  </si>
  <si>
    <t>3.2</t>
  </si>
  <si>
    <t>3.2(a)</t>
  </si>
  <si>
    <t>3.3</t>
  </si>
  <si>
    <t>3.3(a)</t>
  </si>
  <si>
    <t>4.1(a)</t>
  </si>
  <si>
    <t>4.1(b)</t>
  </si>
  <si>
    <t>4.1(c)</t>
  </si>
  <si>
    <t>4.2(a)</t>
  </si>
  <si>
    <t>4.2(b)</t>
  </si>
  <si>
    <t>4.2(c)</t>
  </si>
  <si>
    <t>4.3(a)</t>
  </si>
  <si>
    <t>4.3(b)</t>
  </si>
  <si>
    <t>4.3(c)</t>
  </si>
  <si>
    <t>4.4</t>
  </si>
  <si>
    <t>4.5</t>
  </si>
  <si>
    <t>4.6</t>
  </si>
  <si>
    <t>4.7</t>
  </si>
  <si>
    <t>4.8</t>
  </si>
  <si>
    <t>5.1(a)</t>
  </si>
  <si>
    <t>5.1(b)</t>
  </si>
  <si>
    <t>5.3(a)</t>
  </si>
  <si>
    <t>5.3(b)</t>
  </si>
  <si>
    <t>5.3(c)</t>
  </si>
  <si>
    <t>5.3(d)</t>
  </si>
  <si>
    <t>5.3(e)</t>
  </si>
  <si>
    <t>5.5(a)</t>
  </si>
  <si>
    <t>8.2(a)</t>
  </si>
  <si>
    <t>9.2(a)</t>
  </si>
  <si>
    <t>9.2(b)</t>
  </si>
  <si>
    <t>11.1(a)</t>
  </si>
  <si>
    <t>Upto</t>
  </si>
  <si>
    <t>(Kilogram per hectare)</t>
  </si>
  <si>
    <t>District</t>
  </si>
  <si>
    <t>West Bengal</t>
  </si>
  <si>
    <t>Area (Thousand hectares)</t>
  </si>
  <si>
    <t>Mango</t>
  </si>
  <si>
    <t>Banana</t>
  </si>
  <si>
    <t>Pineapple</t>
  </si>
  <si>
    <t>Papaya</t>
  </si>
  <si>
    <t>Name of Fruits/ 
Vegetables</t>
  </si>
  <si>
    <t>Guava</t>
  </si>
  <si>
    <t>Jackfruit</t>
  </si>
  <si>
    <t>Litchi</t>
  </si>
  <si>
    <t>Mandarin Orange</t>
  </si>
  <si>
    <t>Other Citrus</t>
  </si>
  <si>
    <t>Sapota</t>
  </si>
  <si>
    <t>B.</t>
  </si>
  <si>
    <t>Tomato</t>
  </si>
  <si>
    <t>Cabbage</t>
  </si>
  <si>
    <t>Cauliflower</t>
  </si>
  <si>
    <t>Peas</t>
  </si>
  <si>
    <t>Brinjal</t>
  </si>
  <si>
    <t>Onion</t>
  </si>
  <si>
    <t>Cucurbits</t>
  </si>
  <si>
    <t>Ladies Finger</t>
  </si>
  <si>
    <t>Radish</t>
  </si>
  <si>
    <t>Production (Thousand tonnes)</t>
  </si>
  <si>
    <t>Production</t>
  </si>
  <si>
    <t>Rose</t>
  </si>
  <si>
    <t>Chrysanthemum</t>
  </si>
  <si>
    <t>Gladiolus</t>
  </si>
  <si>
    <t>Tuberose</t>
  </si>
  <si>
    <t>Marigold</t>
  </si>
  <si>
    <t>Jasmine</t>
  </si>
  <si>
    <t>Block Primary
 Health
 Centres</t>
  </si>
  <si>
    <t>Total
 No. of
 Doctors</t>
  </si>
  <si>
    <t>Seasonal Flower</t>
  </si>
  <si>
    <t>Item</t>
  </si>
  <si>
    <t>Reserved forest</t>
  </si>
  <si>
    <t>Protected forest</t>
  </si>
  <si>
    <t>Unclassed state forest</t>
  </si>
  <si>
    <t>Khas forest</t>
  </si>
  <si>
    <t>Forest owned by civil authorities</t>
  </si>
  <si>
    <t>Forest owned by private individuals</t>
  </si>
  <si>
    <t>Forest owned by corporate bodies</t>
  </si>
  <si>
    <t>Forest Produce</t>
  </si>
  <si>
    <t>Special &amp; Non-
formal Education</t>
  </si>
  <si>
    <t>(Contd.)</t>
  </si>
  <si>
    <t>(d) Railway (ER/SER) / DVC etc.</t>
  </si>
  <si>
    <t xml:space="preserve">Timber </t>
  </si>
  <si>
    <t>Fuel</t>
  </si>
  <si>
    <t>Pulpwood</t>
  </si>
  <si>
    <t>Pole</t>
  </si>
  <si>
    <t>Post</t>
  </si>
  <si>
    <t>Registered Working Factories (Daily Average)</t>
  </si>
  <si>
    <t>Revenue &amp; Expenditure</t>
  </si>
  <si>
    <t>Revenue</t>
  </si>
  <si>
    <t>Expenditure</t>
  </si>
  <si>
    <t>Tank</t>
  </si>
  <si>
    <t>HDTW</t>
  </si>
  <si>
    <t>MDTW</t>
  </si>
  <si>
    <t>LDTW</t>
  </si>
  <si>
    <t>STW</t>
  </si>
  <si>
    <t>RLI</t>
  </si>
  <si>
    <t>ODW</t>
  </si>
  <si>
    <t>Area irrigated by</t>
  </si>
  <si>
    <t>ODW =</t>
  </si>
  <si>
    <t>NIC ' 08
 Code</t>
  </si>
  <si>
    <t>Assembly and Parliamentary Constituencies</t>
  </si>
  <si>
    <t>Students by sex in different type of General Educational Institutions</t>
  </si>
  <si>
    <t>Chief Executive Officer, Malda Co-op. 
Agriculture &amp; Rural Dev. Bank Ltd.</t>
  </si>
  <si>
    <t>Amount of loan (Rs. in thousand)</t>
  </si>
  <si>
    <t>P.C. of 
advances 
to deposits</t>
  </si>
  <si>
    <t>51 (R)</t>
  </si>
  <si>
    <t>52 (R)</t>
  </si>
  <si>
    <t>Inhabited 
Villages
(2011)</t>
  </si>
  <si>
    <t>Aas on</t>
  </si>
  <si>
    <t>30.06.2013</t>
  </si>
  <si>
    <t>31.03.2014</t>
  </si>
  <si>
    <t>30.09.2010</t>
  </si>
  <si>
    <t>30.09.2011</t>
  </si>
  <si>
    <t>30.09.2012</t>
  </si>
  <si>
    <t>N.B.: For Live-stock Census 2012, Other Live-stock covers Mules, Donkeys, Camels, Mithun and Yak</t>
  </si>
  <si>
    <t xml:space="preserve">No. of persons
 engaged in the
 profession* </t>
  </si>
  <si>
    <t>* Persons engaged in Water bodies</t>
  </si>
  <si>
    <t xml:space="preserve">1) Divisional Engineer (O &amp; M), W.B.S.E.D.C.L., Malda </t>
  </si>
  <si>
    <t>2) R.C. Camp Office, W.B.S.E.D.C.L., Malda</t>
  </si>
  <si>
    <t>(Thousand K.W.H.)</t>
  </si>
  <si>
    <t>Source:</t>
  </si>
  <si>
    <t xml:space="preserve">Divisional Engineer (O &amp; M), W.B.S.E.D.C.L., Malda </t>
  </si>
  <si>
    <t>Brinjal (Deshi)</t>
  </si>
  <si>
    <t xml:space="preserve">Source : </t>
  </si>
  <si>
    <t>Students by sex in different type of Professional &amp; Technical Educational Institutions</t>
  </si>
  <si>
    <t>Sub-Division /
 C.D.Block  / M</t>
  </si>
  <si>
    <t>Sl.
No.</t>
  </si>
  <si>
    <t>30-11-2010</t>
  </si>
  <si>
    <t>30-11-2011</t>
  </si>
  <si>
    <t>Students by sex in different type of Special &amp; Non-formal Educational Institutions</t>
  </si>
  <si>
    <t>2011-12</t>
  </si>
  <si>
    <t>30-11-2012</t>
  </si>
  <si>
    <t>148*</t>
  </si>
  <si>
    <t xml:space="preserve">Teachers in different type of Professional &amp; Technical Educational Institutions </t>
  </si>
  <si>
    <t>Teachers in different type of Special &amp; Non-formal Educational Institutions</t>
  </si>
  <si>
    <t xml:space="preserve">                                     Female</t>
  </si>
  <si>
    <t>No. of Tourist Lodges
(Govt.)</t>
  </si>
  <si>
    <t xml:space="preserve">                                     Rural</t>
  </si>
  <si>
    <t xml:space="preserve">                                     Urban</t>
  </si>
  <si>
    <t xml:space="preserve">                                     Male</t>
  </si>
  <si>
    <t>Yield rate of Rice</t>
  </si>
  <si>
    <t>Sub-market
 Yard</t>
  </si>
  <si>
    <t>N.B. : Literacy relates to  population aged 7 years and above</t>
  </si>
  <si>
    <t>District Literacy Cell, Malda</t>
  </si>
  <si>
    <t>District Library Officer, Malda</t>
  </si>
  <si>
    <t>Source : Agricultural Income Tax Officer, Malda</t>
  </si>
  <si>
    <t xml:space="preserve"> Source : Dist. Information &amp; Cultural Officer, Malda</t>
  </si>
  <si>
    <t>Note : Marginal -</t>
  </si>
  <si>
    <t>Small -</t>
  </si>
  <si>
    <t>Semi-medium -</t>
  </si>
  <si>
    <t>Medium -</t>
  </si>
  <si>
    <t>Large -</t>
  </si>
  <si>
    <t>1 Acre =</t>
  </si>
  <si>
    <t>0.404686 hectare</t>
  </si>
  <si>
    <t>Permanent 
pastures &amp; 
other 
grazing 
land</t>
  </si>
  <si>
    <t>2) B.A.E.&amp; S., Govt. of  W.B.</t>
  </si>
  <si>
    <t>Current 
fallow</t>
  </si>
  <si>
    <t>Area under 
non-
agricultural 
use</t>
  </si>
  <si>
    <t>Barren &amp; 
unculturable 
land</t>
  </si>
  <si>
    <t>Culturable 
waste land</t>
  </si>
  <si>
    <t>Public
 lighting</t>
  </si>
  <si>
    <t xml:space="preserve">Agricultural irrigation
 &amp; dewatering    </t>
  </si>
  <si>
    <t>Note : HDTW =</t>
  </si>
  <si>
    <t>High capacity Deep Tubewell</t>
  </si>
  <si>
    <t>Middle capacity Deep Tubewell</t>
  </si>
  <si>
    <t>LDTW =</t>
  </si>
  <si>
    <t>Low capacity Deep Tubewell</t>
  </si>
  <si>
    <t>STW =</t>
  </si>
  <si>
    <t>Density of Population</t>
  </si>
  <si>
    <r>
      <t xml:space="preserve">Percentage of Population </t>
    </r>
    <r>
      <rPr>
        <b/>
        <sz val="10"/>
        <color indexed="48"/>
        <rFont val="Arial"/>
        <family val="2"/>
      </rPr>
      <t>:</t>
    </r>
  </si>
  <si>
    <t>Family Welfare Centres</t>
  </si>
  <si>
    <t>Registered Working Factories</t>
  </si>
  <si>
    <t>State Government Offices</t>
  </si>
  <si>
    <t>Agricultural Meteorologist,</t>
  </si>
  <si>
    <t>(c) I.C.S.E./ C.B.S.E./ Anglo-Indian &amp; Missionaries etc.</t>
  </si>
  <si>
    <t>RLI =</t>
  </si>
  <si>
    <t>Nitrogen (N)</t>
  </si>
  <si>
    <t>Phosphate (P)</t>
  </si>
  <si>
    <t>Potash (K)</t>
  </si>
  <si>
    <t xml:space="preserve"> Source :</t>
  </si>
  <si>
    <t>Buffaloes :</t>
  </si>
  <si>
    <t>(b) Junior Govt. Polytechnics</t>
  </si>
  <si>
    <t>Cattle :</t>
  </si>
  <si>
    <t>Poultry :</t>
  </si>
  <si>
    <t>Source :</t>
  </si>
  <si>
    <t>Assistant Registrar of Co-operative 
Societies, Malda</t>
  </si>
  <si>
    <t>Note : After the introduction of the Micro, Small &amp; Medium Enterprises Development Act in Oct '06 the registration system has been abolished</t>
  </si>
  <si>
    <t>Manufacture of Tobacco Products</t>
  </si>
  <si>
    <t>Miscellaneous</t>
  </si>
  <si>
    <t>Registered Factories
(Registered under Factory Act)</t>
  </si>
  <si>
    <t>Source : Employment Exchanges, Chanchal &amp; Malda</t>
  </si>
  <si>
    <t>Base : 1982 = 100</t>
  </si>
  <si>
    <t>Centre : English Bazar</t>
  </si>
  <si>
    <t>D.L. &amp; L.R.O., Malda</t>
  </si>
  <si>
    <t>District Registrar, Malda</t>
  </si>
  <si>
    <t>District Magistrate, Malda</t>
  </si>
  <si>
    <t>Agricultural Income Tax Officer, 
Malda</t>
  </si>
  <si>
    <t>Dy. Director, Animal Resources &amp; 
Development Parishad Office, Malda</t>
  </si>
  <si>
    <t>Year 
(as on 31st March)</t>
  </si>
  <si>
    <t>TABLE 13.1 (concld.)</t>
  </si>
  <si>
    <t>Superintendent</t>
  </si>
  <si>
    <t>Dy. Superintendent</t>
  </si>
  <si>
    <t>S.D.P.O.</t>
  </si>
  <si>
    <t>Inspector</t>
  </si>
  <si>
    <t>Maize^</t>
  </si>
  <si>
    <t>^ Bhadui Maize only</t>
  </si>
  <si>
    <t>**In bales per hectare</t>
  </si>
  <si>
    <t>* In thousand bales of 180 kgs. each</t>
  </si>
  <si>
    <t>Sub-Inspector</t>
  </si>
  <si>
    <t>Sergeant (Armed S.I.)</t>
  </si>
  <si>
    <t>J.C.O.</t>
  </si>
  <si>
    <t>Head Constable</t>
  </si>
  <si>
    <t>Naik (N.K.)</t>
  </si>
  <si>
    <t>Constable</t>
  </si>
  <si>
    <t xml:space="preserve"> Sources :</t>
  </si>
  <si>
    <t>N.B.:</t>
  </si>
  <si>
    <t>1) Principal Agricultural Officer, Malda</t>
  </si>
  <si>
    <t>No. of Originating /</t>
  </si>
  <si>
    <t>Centre : Malda</t>
  </si>
  <si>
    <t>No. of Constituencies reserved for</t>
  </si>
  <si>
    <t xml:space="preserve">Population </t>
  </si>
  <si>
    <t>Urban
Population</t>
  </si>
  <si>
    <t>Population served
 per Bank office 
(Commercial &amp; Gramin)
 (No. in ' 000)*</t>
  </si>
  <si>
    <t>* As per Census 2011 Population</t>
  </si>
  <si>
    <t>Rural
Population</t>
  </si>
  <si>
    <t>Total Workers
(TW)</t>
  </si>
  <si>
    <t>Total Population (A+B) :</t>
  </si>
  <si>
    <t>All Religions</t>
  </si>
  <si>
    <t>*</t>
  </si>
  <si>
    <t>Hospitals</t>
  </si>
  <si>
    <t>No. of Cases treated</t>
  </si>
  <si>
    <t>Shallow Tubewell</t>
  </si>
  <si>
    <t>River Lift Irrigation</t>
  </si>
  <si>
    <t>Open Dug Well</t>
  </si>
  <si>
    <t>Capacity (MT)</t>
  </si>
  <si>
    <t>Railway Traction
 &amp; Non-traction</t>
  </si>
  <si>
    <r>
      <t xml:space="preserve">Amount disbursed </t>
    </r>
    <r>
      <rPr>
        <sz val="10"/>
        <color indexed="57"/>
        <rFont val="Arial Narrow"/>
        <family val="2"/>
      </rPr>
      <t>(in thousand rupees)</t>
    </r>
  </si>
  <si>
    <t>Name of Municipality</t>
  </si>
  <si>
    <t>Goats</t>
  </si>
  <si>
    <t>Pigs</t>
  </si>
  <si>
    <t>Fowls</t>
  </si>
  <si>
    <t>Ducks</t>
  </si>
  <si>
    <t>1) Exe. Engineer, P.W.D.(Roads), Malda</t>
  </si>
  <si>
    <t xml:space="preserve">2) Exe. Engineer, Zilla Parishad, Malda  </t>
  </si>
  <si>
    <t>4) Exe. Engineer, N.H. Division - VII, Malda</t>
  </si>
  <si>
    <t>5) Exe. Engineer, W.B.S.R.D.A., Malda Division</t>
  </si>
  <si>
    <t>BAHC</t>
  </si>
  <si>
    <t>ABAHC</t>
  </si>
  <si>
    <t>ADAC</t>
  </si>
  <si>
    <t>MAHC</t>
  </si>
  <si>
    <t>Note : SAHC  -  State Animal Health Centre</t>
  </si>
  <si>
    <t xml:space="preserve">          BAHC  -  Block Animal Health Centre</t>
  </si>
  <si>
    <t xml:space="preserve">          ABAHC  -  Additional Block Animal Health Centre</t>
  </si>
  <si>
    <t xml:space="preserve">          ADAC  -  Animal Development Aid Centre</t>
  </si>
  <si>
    <t>Central Bank</t>
  </si>
  <si>
    <t>All Credit Societies (1 + 2 + 3 + 4)</t>
  </si>
  <si>
    <t xml:space="preserve">
2.</t>
  </si>
  <si>
    <t>Chief Inspector of Factories, Govt. of  W.B.</t>
  </si>
  <si>
    <t>B.A.E.&amp; S., Govt. of  W.B.</t>
  </si>
  <si>
    <t xml:space="preserve">During the year </t>
  </si>
  <si>
    <t xml:space="preserve">Upto the year </t>
  </si>
  <si>
    <t>Total of All Credit &amp; Non-Credit Societies (5 + 6)</t>
  </si>
  <si>
    <t>Year (as on the last Friday of June)</t>
  </si>
  <si>
    <t>Urban / Metropolitan</t>
  </si>
  <si>
    <t xml:space="preserve">Old Malda </t>
  </si>
  <si>
    <t>(a) "Rural" includes all centres having population of 10,000 or less</t>
  </si>
  <si>
    <t>(b) "Semi-urban" includes all centres with population over 10,000 and upto 1 lakh</t>
  </si>
  <si>
    <t>(c) "Urban" includes all centres with population over 1 lakh and upto 10 lakhs</t>
  </si>
  <si>
    <t>New Business</t>
  </si>
  <si>
    <t>Loan Distributed</t>
  </si>
  <si>
    <t>1st year's premium including 1st premium</t>
  </si>
  <si>
    <t>Employment</t>
  </si>
  <si>
    <t xml:space="preserve"> Note : TT  = Tetanus Toxoid</t>
  </si>
  <si>
    <t>Sub-Division / 
C.D. Block / M</t>
  </si>
  <si>
    <t>(d) Polytechnics (Govt.+ Private)</t>
  </si>
  <si>
    <t>(c) Management Colleges (Govt.+ Private)</t>
  </si>
  <si>
    <t>(b) Engineering Colleges (Govt.+ Private)</t>
  </si>
  <si>
    <t>(a) Teachers' Training (B.Ed.+ Phy.Ed.) Colleges</t>
  </si>
  <si>
    <t>Domestic</t>
  </si>
  <si>
    <r>
      <t xml:space="preserve">                 ..</t>
    </r>
    <r>
      <rPr>
        <sz val="10"/>
        <color indexed="19"/>
        <rFont val="Arial"/>
        <family val="2"/>
      </rPr>
      <t xml:space="preserve"> </t>
    </r>
    <r>
      <rPr>
        <sz val="10"/>
        <color indexed="10"/>
        <rFont val="Arial"/>
        <family val="2"/>
      </rPr>
      <t xml:space="preserve"> =</t>
    </r>
  </si>
  <si>
    <r>
      <t xml:space="preserve">                 P  </t>
    </r>
    <r>
      <rPr>
        <sz val="10"/>
        <color indexed="10"/>
        <rFont val="Arial"/>
        <family val="2"/>
      </rPr>
      <t>=</t>
    </r>
  </si>
  <si>
    <r>
      <t xml:space="preserve">                 C  </t>
    </r>
    <r>
      <rPr>
        <sz val="10"/>
        <color indexed="10"/>
        <rFont val="Arial"/>
        <family val="2"/>
      </rPr>
      <t>=</t>
    </r>
  </si>
  <si>
    <r>
      <t xml:space="preserve">                 R </t>
    </r>
    <r>
      <rPr>
        <sz val="10"/>
        <color indexed="10"/>
        <rFont val="Arial"/>
        <family val="2"/>
      </rPr>
      <t xml:space="preserve"> =</t>
    </r>
  </si>
  <si>
    <r>
      <t xml:space="preserve">                 I  </t>
    </r>
    <r>
      <rPr>
        <sz val="10"/>
        <color indexed="10"/>
        <rFont val="Arial"/>
        <family val="2"/>
      </rPr>
      <t xml:space="preserve"> =</t>
    </r>
  </si>
  <si>
    <r>
      <t xml:space="preserve">                 E  </t>
    </r>
    <r>
      <rPr>
        <sz val="10"/>
        <color indexed="10"/>
        <rFont val="Arial"/>
        <family val="2"/>
      </rPr>
      <t>=</t>
    </r>
  </si>
  <si>
    <t>Note : After the introduction of the Micro, 
Small &amp; Medium Enterprises Development
 Act in Oct '06 the registration
 system has been abolished</t>
  </si>
  <si>
    <t>Chief Inspector of Factories, 
Govt. of W.B.</t>
  </si>
  <si>
    <t>N.B.:1) C.D. Block / M.C./ M / N.A.-wise figures of area
         for Census 2011 are not available at present</t>
  </si>
  <si>
    <t>B.A.E.&amp; S.,Govt. of W.B.</t>
  </si>
  <si>
    <t>Directorate of Cottage &amp; Small Scale Industries, Govt. of W.B.</t>
  </si>
  <si>
    <t>Directorate of Micro &amp; Small Scale Enterprises, Govt. of W.B.</t>
  </si>
  <si>
    <t>Non-
agricultural</t>
  </si>
  <si>
    <t>1) Dist. Social Welfare Officer, Malda</t>
  </si>
  <si>
    <t>Price as on February (in Rs.)</t>
  </si>
  <si>
    <t>No. of accidents occurred</t>
  </si>
  <si>
    <t>Motor car
 &amp; Jeep</t>
  </si>
  <si>
    <t>Motor cycle
 &amp; Scooter</t>
  </si>
  <si>
    <t>Mini
 Bus</t>
  </si>
  <si>
    <t>Stage
Carriage</t>
  </si>
  <si>
    <t>Taxi &amp; Contract
 Carriage</t>
  </si>
  <si>
    <r>
      <t xml:space="preserve">                 P.C.</t>
    </r>
    <r>
      <rPr>
        <sz val="10"/>
        <color indexed="10"/>
        <rFont val="Arial"/>
        <family val="2"/>
      </rPr>
      <t xml:space="preserve"> =</t>
    </r>
  </si>
  <si>
    <r>
      <t xml:space="preserve">                 M.C. </t>
    </r>
    <r>
      <rPr>
        <sz val="10"/>
        <color indexed="10"/>
        <rFont val="Arial"/>
        <family val="2"/>
      </rPr>
      <t>=</t>
    </r>
  </si>
  <si>
    <r>
      <t xml:space="preserve">                 M  </t>
    </r>
    <r>
      <rPr>
        <sz val="10"/>
        <color indexed="10"/>
        <rFont val="Arial"/>
        <family val="2"/>
      </rPr>
      <t>=</t>
    </r>
  </si>
  <si>
    <t>Census 
Town
(2011)</t>
  </si>
  <si>
    <t>Out-
growth
(2011)</t>
  </si>
  <si>
    <r>
      <t xml:space="preserve">                 O.G. </t>
    </r>
    <r>
      <rPr>
        <sz val="10"/>
        <color indexed="10"/>
        <rFont val="Arial"/>
        <family val="2"/>
      </rPr>
      <t>=</t>
    </r>
  </si>
  <si>
    <r>
      <t xml:space="preserve">                 C.T. </t>
    </r>
    <r>
      <rPr>
        <sz val="10"/>
        <color indexed="10"/>
        <rFont val="Arial"/>
        <family val="2"/>
      </rPr>
      <t>=</t>
    </r>
  </si>
  <si>
    <r>
      <t xml:space="preserve">                 N.A. </t>
    </r>
    <r>
      <rPr>
        <sz val="10"/>
        <color indexed="10"/>
        <rFont val="Arial"/>
        <family val="2"/>
      </rPr>
      <t>=</t>
    </r>
  </si>
  <si>
    <r>
      <t xml:space="preserve">                 </t>
    </r>
    <r>
      <rPr>
        <sz val="10"/>
        <color indexed="19"/>
        <rFont val="Arial"/>
        <family val="2"/>
      </rPr>
      <t xml:space="preserve"> - </t>
    </r>
    <r>
      <rPr>
        <sz val="10"/>
        <color indexed="10"/>
        <rFont val="Arial"/>
        <family val="2"/>
      </rPr>
      <t xml:space="preserve"> =</t>
    </r>
  </si>
  <si>
    <t>Sub-Division /
 C.D.Block / M</t>
  </si>
  <si>
    <t>Industrial</t>
  </si>
  <si>
    <t>handbook for the year</t>
  </si>
  <si>
    <t>Source : Collectorate (Election Deptt.), Malda</t>
  </si>
  <si>
    <t xml:space="preserve">1. </t>
  </si>
  <si>
    <t xml:space="preserve">2. </t>
  </si>
  <si>
    <t>Note : Pukhuria P.S. established on 20.1.2014 and English Bazar Women P.S. established on 7.2.2014</t>
  </si>
  <si>
    <t>Source : District Census Handbook, 1961</t>
  </si>
  <si>
    <t>Source : Agricultural Census, West Bengal</t>
  </si>
  <si>
    <t>TABLE  7.1</t>
  </si>
  <si>
    <t>Source : Asstt. Director of Fisheries, Malda</t>
  </si>
  <si>
    <t>Harishhandrapur-II</t>
  </si>
  <si>
    <t xml:space="preserve">Harishchandrapur-I </t>
  </si>
  <si>
    <t>Harish-chandrapur-I</t>
  </si>
  <si>
    <t>Harish-chandrapur-II</t>
  </si>
  <si>
    <t>Live-stock</t>
  </si>
  <si>
    <t xml:space="preserve">Harishchandrapur-I    </t>
  </si>
  <si>
    <t xml:space="preserve">Harishchandrapur-II </t>
  </si>
  <si>
    <t>Sl.
No</t>
  </si>
  <si>
    <t>Forest 
Area</t>
  </si>
  <si>
    <t xml:space="preserve"> less than 50 hectares</t>
  </si>
  <si>
    <t>Source : R.T.A., Malda</t>
  </si>
  <si>
    <t>Mulberry</t>
  </si>
  <si>
    <t>Tasar</t>
  </si>
  <si>
    <t>Eri</t>
  </si>
  <si>
    <t>Muga</t>
  </si>
  <si>
    <t>Sector</t>
  </si>
  <si>
    <t>Sectors</t>
  </si>
  <si>
    <t>Agricultural</t>
  </si>
  <si>
    <t>Non-agricultural</t>
  </si>
  <si>
    <t>Combined</t>
  </si>
  <si>
    <t>Females employed</t>
  </si>
  <si>
    <t>Occupational Group</t>
  </si>
  <si>
    <t>Clerical</t>
  </si>
  <si>
    <t>Educational</t>
  </si>
  <si>
    <t>Unskilled</t>
  </si>
  <si>
    <t>All groups</t>
  </si>
  <si>
    <t>Fresh registration during the year</t>
  </si>
  <si>
    <t>Placement effected during the year</t>
  </si>
  <si>
    <t>Vacancies notified during the year</t>
  </si>
  <si>
    <t>25º32'08"N</t>
  </si>
  <si>
    <t>24º40'20"N</t>
  </si>
  <si>
    <t>88º28'10"E</t>
  </si>
  <si>
    <t>87º45'50"E</t>
  </si>
  <si>
    <t>English Bazar</t>
  </si>
  <si>
    <t>25º00'14"N</t>
  </si>
  <si>
    <t>88º11'20"E</t>
  </si>
  <si>
    <t>Chanchal</t>
  </si>
  <si>
    <t>Harishchandrapur</t>
  </si>
  <si>
    <t>Harishchandrapur-II</t>
  </si>
  <si>
    <t xml:space="preserve">      The present issue of the District Statistical Handbook seeks to provide statistical information on various socio-economic aspects of the district in a compact form. Attempts have been made to incorporate up-to-date information so that continuity of the time series of the data published in earlier issues is maintained. Data at the Block level have also been incorporated as far as available, so that those could be effectively used by planners, policymakers and researchers.
       I express my gratitude to the different offices situated in the district for active co-operation received from their end in timely supply of data. I like to put in my appreciation to the officials of the Handbook, Co-ordination &amp; Nucleus (Compilation) units of the Head Office and  District  office of the Bureau of Applied Economics &amp;  Statistics for their sincere and sustained effort in bringing out the publication.
      Suggestions for any improvement of the publication will be highly appreciated. </t>
  </si>
  <si>
    <t>Notified 
Area</t>
  </si>
  <si>
    <t>Scheduled Caste</t>
  </si>
  <si>
    <t>Scheduled Tribe</t>
  </si>
  <si>
    <t>No. of Family 
Welfare Centres</t>
  </si>
  <si>
    <t>49*</t>
  </si>
  <si>
    <t>65*</t>
  </si>
  <si>
    <t>Administrative Set-up :</t>
  </si>
  <si>
    <t>Primary Schools</t>
  </si>
  <si>
    <t>Middle Schools</t>
  </si>
  <si>
    <t>High Schools</t>
  </si>
  <si>
    <t>Higher Secondary Schools</t>
  </si>
  <si>
    <t>General Colleges</t>
  </si>
  <si>
    <t>Universities (Gen. &amp; Tech.)</t>
  </si>
  <si>
    <t>Percentage of Irrigated area 
to Cultivated area</t>
  </si>
  <si>
    <t>Banking :</t>
  </si>
  <si>
    <t>Baksinagar</t>
  </si>
  <si>
    <t>Super / Director of the
respective (L.S.G./Private)
Hospitals, Malda</t>
  </si>
  <si>
    <t>Education cell under each Municipality / Local Body</t>
  </si>
  <si>
    <r>
      <t xml:space="preserve">Recognized </t>
    </r>
    <r>
      <rPr>
        <b/>
        <u/>
        <sz val="10"/>
        <color indexed="48"/>
        <rFont val="Arial"/>
        <family val="2"/>
      </rPr>
      <t>Primary Schools</t>
    </r>
    <r>
      <rPr>
        <b/>
        <sz val="10"/>
        <color indexed="48"/>
        <rFont val="Arial"/>
        <family val="2"/>
      </rPr>
      <t xml:space="preserve"> under the control of or of the type of</t>
    </r>
  </si>
  <si>
    <r>
      <t xml:space="preserve">Recognized </t>
    </r>
    <r>
      <rPr>
        <b/>
        <u/>
        <sz val="10"/>
        <color indexed="48"/>
        <rFont val="Arial"/>
        <family val="2"/>
      </rPr>
      <t>Middle Schools</t>
    </r>
    <r>
      <rPr>
        <b/>
        <sz val="10"/>
        <color indexed="48"/>
        <rFont val="Arial"/>
        <family val="2"/>
      </rPr>
      <t xml:space="preserve"> under the control of or of the type of</t>
    </r>
  </si>
  <si>
    <t>Source : Dy. Director, Animal Resources and Dev. Parishad Office, Malda</t>
  </si>
  <si>
    <t>1) Census of India, 2011</t>
  </si>
  <si>
    <t>Area
( Sq. Km.)
(2001)</t>
  </si>
  <si>
    <r>
      <t xml:space="preserve">Recognized </t>
    </r>
    <r>
      <rPr>
        <b/>
        <u/>
        <sz val="10"/>
        <color indexed="48"/>
        <rFont val="Arial"/>
        <family val="2"/>
      </rPr>
      <t>High Schools</t>
    </r>
    <r>
      <rPr>
        <b/>
        <sz val="10"/>
        <color indexed="48"/>
        <rFont val="Arial"/>
        <family val="2"/>
      </rPr>
      <t xml:space="preserve"> under the control of or of the type of</t>
    </r>
  </si>
  <si>
    <r>
      <t xml:space="preserve">Recognized </t>
    </r>
    <r>
      <rPr>
        <b/>
        <u/>
        <sz val="10"/>
        <color indexed="48"/>
        <rFont val="Arial"/>
        <family val="2"/>
      </rPr>
      <t>Higher Secondary Schools</t>
    </r>
    <r>
      <rPr>
        <b/>
        <sz val="10"/>
        <color indexed="48"/>
        <rFont val="Arial"/>
        <family val="2"/>
      </rPr>
      <t xml:space="preserve"> under the control of 
or of the type of</t>
    </r>
  </si>
  <si>
    <t>GENERAL UNIVERSITIES (excluding completely 
Technical Universities)</t>
  </si>
  <si>
    <t>Towns</t>
  </si>
  <si>
    <t>Panchayats</t>
  </si>
  <si>
    <r>
      <t xml:space="preserve">Recognized </t>
    </r>
    <r>
      <rPr>
        <b/>
        <u/>
        <sz val="10"/>
        <color indexed="12"/>
        <rFont val="Arial"/>
        <family val="2"/>
      </rPr>
      <t>High Schools</t>
    </r>
    <r>
      <rPr>
        <b/>
        <sz val="10"/>
        <color indexed="12"/>
        <rFont val="Arial"/>
        <family val="2"/>
      </rPr>
      <t xml:space="preserve"> under the control of or of the type of</t>
    </r>
  </si>
  <si>
    <r>
      <t xml:space="preserve">Recognized </t>
    </r>
    <r>
      <rPr>
        <b/>
        <u/>
        <sz val="10"/>
        <color indexed="12"/>
        <rFont val="Arial"/>
        <family val="2"/>
      </rPr>
      <t>Middle Schools</t>
    </r>
    <r>
      <rPr>
        <b/>
        <sz val="10"/>
        <color indexed="12"/>
        <rFont val="Arial"/>
        <family val="2"/>
      </rPr>
      <t xml:space="preserve"> under the control of or of the type of</t>
    </r>
  </si>
  <si>
    <r>
      <t xml:space="preserve">Recognized </t>
    </r>
    <r>
      <rPr>
        <b/>
        <u/>
        <sz val="10"/>
        <color indexed="12"/>
        <rFont val="Arial"/>
        <family val="2"/>
      </rPr>
      <t>Primary Schools</t>
    </r>
    <r>
      <rPr>
        <b/>
        <sz val="10"/>
        <color indexed="12"/>
        <rFont val="Arial"/>
        <family val="2"/>
      </rPr>
      <t xml:space="preserve"> under the control of or of the type of</t>
    </r>
  </si>
  <si>
    <r>
      <t xml:space="preserve">Recognized </t>
    </r>
    <r>
      <rPr>
        <b/>
        <u/>
        <sz val="10"/>
        <color indexed="12"/>
        <rFont val="Arial"/>
        <family val="2"/>
      </rPr>
      <t>Higher Secondary Schools</t>
    </r>
    <r>
      <rPr>
        <b/>
        <sz val="10"/>
        <color indexed="12"/>
        <rFont val="Arial"/>
        <family val="2"/>
      </rPr>
      <t xml:space="preserve"> under the control of 
or of the type of</t>
    </r>
  </si>
  <si>
    <t>Popu-
lation</t>
  </si>
  <si>
    <t>Name of 
Block</t>
  </si>
  <si>
    <t>Chanchal-I</t>
  </si>
  <si>
    <t>Chanchal-II</t>
  </si>
  <si>
    <t>Ratua-I</t>
  </si>
  <si>
    <t>No. of Medical Institutions in</t>
  </si>
  <si>
    <t>Local Bodies</t>
  </si>
  <si>
    <t>Rural 
Hospitals</t>
  </si>
  <si>
    <t>Primary Health Centres</t>
  </si>
  <si>
    <t>Gram Panchayat &amp; 
Panchayat Samity</t>
  </si>
  <si>
    <t>Upto Sept.2006</t>
  </si>
  <si>
    <t>Oct.2006 - Mar.2007</t>
  </si>
  <si>
    <t>425 *</t>
  </si>
  <si>
    <t>733 **</t>
  </si>
  <si>
    <t>2346 *</t>
  </si>
  <si>
    <t>3782 **</t>
  </si>
  <si>
    <t>TABLE 1.3</t>
  </si>
  <si>
    <t>TABLE 1.4</t>
  </si>
  <si>
    <t>TABLE 3.3(a)</t>
  </si>
  <si>
    <t>Language</t>
  </si>
  <si>
    <t>2.0 hectares and above but less than 4.0 hectares</t>
  </si>
  <si>
    <t xml:space="preserve">Manufacture of Food Products </t>
  </si>
  <si>
    <t>Manufacture of paper and paper products</t>
  </si>
  <si>
    <t>Manufacture of other non-metallic mineral products</t>
  </si>
  <si>
    <t>55**</t>
  </si>
  <si>
    <t>Warehousing and support activities for transportation</t>
  </si>
  <si>
    <t>Source : Census of India, 2001 &amp; 2011</t>
  </si>
  <si>
    <t>4.0 hectares and above but less than 10.0 hectares</t>
  </si>
  <si>
    <t>2) Directorate of Agri., Govt. of  W.B.</t>
  </si>
  <si>
    <t>Pradhan Mantri
Gram Sadak Yojana</t>
  </si>
  <si>
    <t>=Open Dug Well</t>
  </si>
  <si>
    <t xml:space="preserve">OLD Census Year </t>
  </si>
  <si>
    <t>Land under 
misc. tree 
groves not 
included in 
Net area 
sown</t>
  </si>
  <si>
    <t>Fallow land 
other than 
Current fallow</t>
  </si>
  <si>
    <t>31-10-2013 (P)</t>
  </si>
  <si>
    <t>No. of gram panchayat offices
 with telephone facilities</t>
  </si>
  <si>
    <t>No. of
 fertilizer depots</t>
  </si>
  <si>
    <t>No. of
 seed stores</t>
  </si>
  <si>
    <t>No. of fair
 price shops</t>
  </si>
  <si>
    <t>All B.D.O.s, Malda</t>
  </si>
  <si>
    <t xml:space="preserve">Pradhan Mantri
Gram Sadak Yojana </t>
  </si>
  <si>
    <t>Source : Asstt. Director of Agricultural Marketing (Administrative), Malda</t>
  </si>
  <si>
    <t>Public Water Works &amp; Sewerage Pump</t>
  </si>
  <si>
    <t xml:space="preserve"> Director</t>
  </si>
  <si>
    <t>Ratua-II</t>
  </si>
  <si>
    <t>Ratua</t>
  </si>
  <si>
    <t>Sadar</t>
  </si>
  <si>
    <t>Gazole</t>
  </si>
  <si>
    <t>Habibpur</t>
  </si>
  <si>
    <t>Old Malda</t>
  </si>
  <si>
    <t>English Bazar(M)</t>
  </si>
  <si>
    <t>Manikchak</t>
  </si>
  <si>
    <t>All Group Combined Index</t>
  </si>
  <si>
    <t>Base : 2006-07= 100</t>
  </si>
  <si>
    <t>Kaliachak</t>
  </si>
  <si>
    <t>Police
 Station</t>
  </si>
  <si>
    <t>Kaliachak-I</t>
  </si>
  <si>
    <t>Kaliachak-II</t>
  </si>
  <si>
    <t>Kaliachak-III</t>
  </si>
  <si>
    <t>Baishnabnagar</t>
  </si>
  <si>
    <t>15/2</t>
  </si>
  <si>
    <t>6/0</t>
  </si>
  <si>
    <t>9/2</t>
  </si>
  <si>
    <t>On live-register at the end of the year</t>
  </si>
  <si>
    <t>Old-age assistance</t>
  </si>
  <si>
    <t>Recipients (No.)</t>
  </si>
  <si>
    <t>Widow assistance</t>
  </si>
  <si>
    <t>Handicapped assistance</t>
  </si>
  <si>
    <t>Class of Offence</t>
  </si>
  <si>
    <t>Murder</t>
  </si>
  <si>
    <t>Dacoity</t>
  </si>
  <si>
    <t>Robbery</t>
  </si>
  <si>
    <t>Burglary</t>
  </si>
  <si>
    <t>Rioting</t>
  </si>
  <si>
    <t>Theft</t>
  </si>
  <si>
    <t>Offences Reported</t>
  </si>
  <si>
    <t>Cases Tried</t>
  </si>
  <si>
    <t>Persons Convicted</t>
  </si>
  <si>
    <t>Persons Acquitted</t>
  </si>
  <si>
    <t>Name of Zilla Parishad</t>
  </si>
  <si>
    <t>Date of Establishment</t>
  </si>
  <si>
    <t>Land Revenue</t>
  </si>
  <si>
    <t>Excise Revenue</t>
  </si>
  <si>
    <t>Taxes on Vehicles</t>
  </si>
  <si>
    <t>Electricity Duty</t>
  </si>
  <si>
    <t>Establishments with hired workers</t>
  </si>
  <si>
    <t>Own Account Establishments</t>
  </si>
  <si>
    <t>Total Miscellaneous 
    crops</t>
  </si>
  <si>
    <t>SAHC+
 DVH</t>
  </si>
  <si>
    <t>Other Taxes</t>
  </si>
  <si>
    <t>Vested waste land</t>
  </si>
  <si>
    <t>Warehouses</t>
  </si>
  <si>
    <t>Cold Storages</t>
  </si>
  <si>
    <t>Bulls and Bullocks</t>
  </si>
  <si>
    <t>Total Cattle</t>
  </si>
  <si>
    <t>Total Buffaloes</t>
  </si>
  <si>
    <t>Other Live-stock</t>
  </si>
  <si>
    <t>Total Poultry</t>
  </si>
  <si>
    <t>Agricultural Credit Societies</t>
  </si>
  <si>
    <t>Non-Agricultural Credit Societies</t>
  </si>
  <si>
    <t>Non-Credit Societies</t>
  </si>
  <si>
    <t xml:space="preserve"> Malda Zilla
 Parishad</t>
  </si>
  <si>
    <t>Sl.No.</t>
  </si>
  <si>
    <t>Table No.</t>
  </si>
  <si>
    <t>Page No.</t>
  </si>
  <si>
    <t>Maximum and Minimum Temperature by month</t>
  </si>
  <si>
    <t>Mean Maximum and Mean Minimum Temperature by month</t>
  </si>
  <si>
    <t xml:space="preserve">Number of Seats in Municipal Corporations, Municipalities and Panchayats </t>
  </si>
  <si>
    <t>Area, Population and Density of Population</t>
  </si>
  <si>
    <t>Growth of Population by sex</t>
  </si>
  <si>
    <t>Distribution of Rural &amp; Urban Population by sex, 2001</t>
  </si>
  <si>
    <t>Distribution of Population by sex &amp; by age group, 2001</t>
  </si>
  <si>
    <t xml:space="preserve">No. of
 Vehicle </t>
  </si>
  <si>
    <t>Out-posts</t>
  </si>
  <si>
    <t>=River Lift Irrigation</t>
  </si>
  <si>
    <t>2) Asstt. Engr. (Agri. Irrigation), Malda</t>
  </si>
  <si>
    <t xml:space="preserve">1) Directorate of Agriculture, Govt. of  W.B.
</t>
  </si>
  <si>
    <t>P.C. to TW</t>
  </si>
  <si>
    <t xml:space="preserve">            P.C. to TW = Percentage to respective total workers</t>
  </si>
  <si>
    <t>N.G.O. /
Private Bodies
(Nursing Homes)</t>
  </si>
  <si>
    <t>(L.S.G. /Private) Hospitals, Malda</t>
  </si>
  <si>
    <t>Distribution of Population by sex in different towns</t>
  </si>
  <si>
    <t>Distribution of Population over different categories of workers and non-workers</t>
  </si>
  <si>
    <t>Distribution of Population over different categories of workers and non-workers by sex</t>
  </si>
  <si>
    <t>Scheduled Caste and Scheduled Tribe Population by sex</t>
  </si>
  <si>
    <t>Population by religion &amp; by sex</t>
  </si>
  <si>
    <t>Births and Deaths in different Hospitals &amp; Health Centres</t>
  </si>
  <si>
    <t>General Educational Institutions by type</t>
  </si>
  <si>
    <t>Professional &amp; Technical Educational Institutions by type</t>
  </si>
  <si>
    <t xml:space="preserve">Special &amp; Non-formal Educational Institutions by type </t>
  </si>
  <si>
    <t>Public Libraries, Reading Rooms and Mass Literacy Centres</t>
  </si>
  <si>
    <t>Classification of Land Utilization Statistics</t>
  </si>
  <si>
    <t>Distribution of Operational Holdings over size-classes</t>
  </si>
  <si>
    <t>Area under Principal Crops</t>
  </si>
  <si>
    <t>Production of Principal Crops</t>
  </si>
  <si>
    <t>Yield rates of Principal Crops</t>
  </si>
  <si>
    <t>Yield rates of some Selected Crops</t>
  </si>
  <si>
    <t>Index Numbers of Agricultural Area, Production and Productivity (Base :1981-82 = 100)</t>
  </si>
  <si>
    <t>Area and Production of Flowers</t>
  </si>
  <si>
    <t xml:space="preserve">Classification of Forest Area, Out-turn of Forest Produce, Revenue &amp; Expenditure </t>
  </si>
  <si>
    <t>Area Irrigated by different sources</t>
  </si>
  <si>
    <t>Sources of Irrigation</t>
  </si>
  <si>
    <t>Fertilizer Consumed</t>
  </si>
  <si>
    <t>Warehousing and Cold Storage Facilities</t>
  </si>
  <si>
    <t>Estimated Production of Milk and Egg</t>
  </si>
  <si>
    <t>Contents (Concld.)</t>
  </si>
  <si>
    <t>Live-stock and Poultry</t>
  </si>
  <si>
    <t>Veterinary Hospitals, Veterinary Personnel &amp; Cases treated</t>
  </si>
  <si>
    <t>Progress of Co-operative Movement</t>
  </si>
  <si>
    <t>Micro &amp; Small Scale Enterprises with corresponding Employment</t>
  </si>
  <si>
    <t>Mouzas Electrified</t>
  </si>
  <si>
    <t>Source : 18th All India Live-stock Census, 2007</t>
  </si>
  <si>
    <t>Consumption of Electricity by different sectors</t>
  </si>
  <si>
    <t>Selected Characteristics of Factories by industry group</t>
  </si>
  <si>
    <t>Production in Sericulture Industry</t>
  </si>
  <si>
    <t xml:space="preserve">Employment in Registered Factories &amp; State Government Offices </t>
  </si>
  <si>
    <t>Number of Establishments in rural and urban areas</t>
  </si>
  <si>
    <t>Number of Persons usually working in rural and urban Establishments</t>
  </si>
  <si>
    <t>Percentage of Hired Workers &amp; Females employed in Non-agricultural Establishments</t>
  </si>
  <si>
    <t>Applicants on the Live-register of Employment Exchanges</t>
  </si>
  <si>
    <t>Registration and Placement effected by Employment Exchanges</t>
  </si>
  <si>
    <t>Regulated Market by category</t>
  </si>
  <si>
    <t xml:space="preserve">Registered Factories 
( Registered under Factory Act )
(As on 31st December)
</t>
  </si>
  <si>
    <t>Consumer Price Index Numbers for Families of all Expenditure Groups Combined</t>
  </si>
  <si>
    <t>Consumer Price Index Numbers for Industrial Workers</t>
  </si>
  <si>
    <t>Progress of Statutory and Modified Ration Shops</t>
  </si>
  <si>
    <t>Length of Roads maintained by P.W.D., Zilla Parishad &amp; Panchayat</t>
  </si>
  <si>
    <t>Length of different classes of Roads maintained by P.W.D.</t>
  </si>
  <si>
    <t>Registered Motor Vehicles</t>
  </si>
  <si>
    <t>Accidents on Roads</t>
  </si>
  <si>
    <t>Post &amp; Telegraph Offices</t>
  </si>
  <si>
    <t>Offences reported, Cases tried, Persons convicted and acquitted</t>
  </si>
  <si>
    <t>Strength of Police Force by category</t>
  </si>
  <si>
    <t xml:space="preserve">Net Collection from Small Savings </t>
  </si>
  <si>
    <t>Some Basic Statistics about the Blocks</t>
  </si>
  <si>
    <t>Persons Engaged in Agriculture in the Blocks</t>
  </si>
  <si>
    <t>Area, Production and Yield rates of Major Crops in the Blocks</t>
  </si>
  <si>
    <t>Source of Irrigation and Area Irrigated by different sources in the Blocks</t>
  </si>
  <si>
    <t>Particulars of Fisheries in the Blocks</t>
  </si>
  <si>
    <t>Length of Roads maintained by different agencies in the Blocks</t>
  </si>
  <si>
    <t>Transport Facilities in the Blocks</t>
  </si>
  <si>
    <t>Sub-divisions</t>
  </si>
  <si>
    <t>Mouzas</t>
  </si>
  <si>
    <t>Municipal Corporations</t>
  </si>
  <si>
    <t>Blocks</t>
  </si>
  <si>
    <t>Annual Rainfall</t>
  </si>
  <si>
    <t xml:space="preserve">                        Minimum</t>
  </si>
  <si>
    <t>Zilla Parishad, Malda</t>
  </si>
  <si>
    <t>Exe. Engineer, N.H. Division - VII, Malda</t>
  </si>
  <si>
    <t>646.00*</t>
  </si>
  <si>
    <t>Sub-centres</t>
  </si>
  <si>
    <t>Micro &amp; Small Scale Enterprises</t>
  </si>
  <si>
    <t>Applicants on Live-register</t>
  </si>
  <si>
    <t>Net Collection from Small Savings</t>
  </si>
  <si>
    <t>Progress of L.I.C.</t>
  </si>
  <si>
    <t>District Total- 2</t>
  </si>
  <si>
    <t>Professional &amp; Technical 
Schools, Colleges &amp; Universities</t>
  </si>
  <si>
    <t>Entertain-
ment Tax</t>
  </si>
  <si>
    <t>Profes-
sional Tax</t>
  </si>
  <si>
    <t>Commodity</t>
  </si>
  <si>
    <t>Market</t>
  </si>
  <si>
    <t>5) District Social Education Officer, Malda</t>
  </si>
  <si>
    <t>8) Each Sanskrit Tol</t>
  </si>
  <si>
    <t>3) Education cell under each Municipality/Local Body</t>
  </si>
  <si>
    <t>Symbols Used</t>
  </si>
  <si>
    <t>Nil or negligible</t>
  </si>
  <si>
    <t>Not available</t>
  </si>
  <si>
    <t>Provisional</t>
  </si>
  <si>
    <t>Revised</t>
  </si>
  <si>
    <t>Incomplete</t>
  </si>
  <si>
    <t>Estimated</t>
  </si>
  <si>
    <t>Percentage</t>
  </si>
  <si>
    <t>4) District Programme Officer (ICDS), Malda</t>
  </si>
  <si>
    <t xml:space="preserve">Month </t>
  </si>
  <si>
    <t>Annual average</t>
  </si>
  <si>
    <t>(Kilometre)</t>
  </si>
  <si>
    <t>P.W.D.</t>
  </si>
  <si>
    <t>Zilla Parishad</t>
  </si>
  <si>
    <t>Musur</t>
  </si>
  <si>
    <t>Sl. 
No.</t>
  </si>
  <si>
    <t>National Highways</t>
  </si>
  <si>
    <t>State Highways</t>
  </si>
  <si>
    <t>District Roads</t>
  </si>
  <si>
    <t>Village Roads</t>
  </si>
  <si>
    <t>Pukhuria</t>
  </si>
  <si>
    <t>English Bazar
 &amp; English
 Bazar Women</t>
  </si>
  <si>
    <t>Source : Economic Census, 2005 &amp; 2013</t>
  </si>
  <si>
    <t>Public*</t>
  </si>
  <si>
    <t>* Figures have been revised as RH and PHC
 have also been included alongwith BPHC</t>
  </si>
  <si>
    <t>10</t>
  </si>
  <si>
    <t>11</t>
  </si>
  <si>
    <t>12</t>
  </si>
  <si>
    <t>13</t>
  </si>
  <si>
    <t>16</t>
  </si>
  <si>
    <t>17</t>
  </si>
  <si>
    <t>19</t>
  </si>
  <si>
    <t>20</t>
  </si>
  <si>
    <t>23</t>
  </si>
  <si>
    <t>25</t>
  </si>
  <si>
    <t>28</t>
  </si>
  <si>
    <t>30</t>
  </si>
  <si>
    <t>52</t>
  </si>
  <si>
    <t>Selected Characteristics of Factories by industry group in the district of Malda for the year 2011-12</t>
  </si>
  <si>
    <t>Manufacture of wood and products of wood and cork, except furniture; manufacture of articles of straw and plaiting materials</t>
  </si>
  <si>
    <t>I. LOCATION, RAINFALL AND CLIMATE (4 Tables)</t>
  </si>
  <si>
    <t>II. AREA AND POPULATION (16 Tables)</t>
  </si>
  <si>
    <t>III. PUBLIC HEALTH (5 Tables)</t>
  </si>
  <si>
    <t>IV. EDUCATION AND CULTURE (14 Tables)</t>
  </si>
  <si>
    <t>V. AGRICULTURE &amp; ALLIED SECTORS (16 Tables)</t>
  </si>
  <si>
    <t>VI. LIVE-STOCK (2 Tables)</t>
  </si>
  <si>
    <t>VII. CO-OPERATIVE, BANKING &amp; INSURANCE (3 Tables)</t>
  </si>
  <si>
    <t>IX. EMPLOYMENT AND LABOUR (4 Tables)</t>
  </si>
  <si>
    <t>X. EMPLOYMENT EXCHANGE AND SOCIAL SERVICE (3 Tables)</t>
  </si>
  <si>
    <t>XI. PRICE (5 Tables)</t>
  </si>
  <si>
    <t>XII. TRANSPORT AND COMMUNICATION (7 Tables)</t>
  </si>
  <si>
    <t>XIII. JUDICIAL AND POLICE (3 Tables)</t>
  </si>
  <si>
    <t>XIV. LOCAL-BODIES (2 Tables)</t>
  </si>
  <si>
    <t>XV. FINANCE (2 Tables)</t>
  </si>
  <si>
    <t>BLOCK LEVEL STATISTICS (11 Tables)</t>
  </si>
  <si>
    <t>VIII. INDUSTRY (5 Tables)</t>
  </si>
  <si>
    <t>Tapas Kumar Debnath</t>
  </si>
  <si>
    <t>31.12.2014</t>
  </si>
  <si>
    <t>Education :</t>
  </si>
  <si>
    <r>
      <t xml:space="preserve">Literates </t>
    </r>
    <r>
      <rPr>
        <b/>
        <sz val="10"/>
        <color indexed="48"/>
        <rFont val="Arial"/>
        <family val="2"/>
      </rPr>
      <t xml:space="preserve"> :  </t>
    </r>
    <r>
      <rPr>
        <sz val="10"/>
        <color indexed="48"/>
        <rFont val="Arial"/>
        <family val="2"/>
      </rPr>
      <t>Male</t>
    </r>
  </si>
  <si>
    <t xml:space="preserve">                   Female</t>
  </si>
  <si>
    <t xml:space="preserve">                   Total</t>
  </si>
  <si>
    <t>Surfaced Road</t>
  </si>
  <si>
    <t>Unsurfaced Road</t>
  </si>
  <si>
    <t>CC : Conventional Contraceptive</t>
  </si>
  <si>
    <t>OP : Oral Pill</t>
  </si>
  <si>
    <t>MTP : Medical Termination of Pregnancy</t>
  </si>
  <si>
    <t>Average population per office*
(in ' 000)</t>
  </si>
  <si>
    <r>
      <t>26</t>
    </r>
    <r>
      <rPr>
        <vertAlign val="superscript"/>
        <sz val="10"/>
        <rFont val="Arial"/>
        <family val="2"/>
      </rPr>
      <t>#</t>
    </r>
  </si>
  <si>
    <t>1918 (R)</t>
  </si>
  <si>
    <t>As on 31.01.2014</t>
  </si>
  <si>
    <t>Year (as on 31st March)</t>
  </si>
  <si>
    <t>Goods Vehicles</t>
  </si>
  <si>
    <t>Auto Rickshaw</t>
  </si>
  <si>
    <t>(d) "Metropolitan" includes all centres with population over 10 lakhs</t>
  </si>
  <si>
    <t>Oil Seeds :</t>
  </si>
  <si>
    <t>Miscellaneous crops :</t>
  </si>
  <si>
    <t>a) working factories</t>
  </si>
  <si>
    <t>b) average daily employment</t>
  </si>
  <si>
    <t>Commercial</t>
  </si>
  <si>
    <t>=Shallow Tubewell</t>
  </si>
  <si>
    <t>(23)</t>
  </si>
  <si>
    <t>(24)</t>
  </si>
  <si>
    <t>(25)</t>
  </si>
  <si>
    <t>(26)</t>
  </si>
  <si>
    <t>(27)</t>
  </si>
  <si>
    <t>(28)</t>
  </si>
  <si>
    <t>(29)</t>
  </si>
  <si>
    <t>(30)</t>
  </si>
  <si>
    <t>(31)</t>
  </si>
  <si>
    <t>(32)</t>
  </si>
  <si>
    <t>(33)</t>
  </si>
  <si>
    <t>(34)</t>
  </si>
  <si>
    <t>(35)</t>
  </si>
  <si>
    <t>(36)</t>
  </si>
  <si>
    <t>(38)</t>
  </si>
  <si>
    <t>(37)</t>
  </si>
  <si>
    <t>(39)</t>
  </si>
  <si>
    <t>(40)</t>
  </si>
  <si>
    <t>(41)</t>
  </si>
  <si>
    <t>(42)</t>
  </si>
  <si>
    <t>(43)</t>
  </si>
  <si>
    <t>(44)</t>
  </si>
  <si>
    <t xml:space="preserve">District Total </t>
  </si>
  <si>
    <t>TABLE 2.10(a) (Concld.)</t>
  </si>
  <si>
    <t>No. of persons injured</t>
  </si>
  <si>
    <t>Post Office</t>
  </si>
  <si>
    <t>Telegraph Office</t>
  </si>
  <si>
    <t>Combined Office</t>
  </si>
  <si>
    <t xml:space="preserve">Cows  </t>
  </si>
  <si>
    <t>Cows</t>
  </si>
  <si>
    <t>3) Dist. Panchayat Office, Malda</t>
  </si>
  <si>
    <t>No. of Unreserved 
Constituencies</t>
  </si>
  <si>
    <t>P.C. of population to district population</t>
  </si>
  <si>
    <t>No. of female per 100 males</t>
  </si>
  <si>
    <t>P.C. of rural population to total population</t>
  </si>
  <si>
    <t>M / C.T.</t>
  </si>
  <si>
    <t>M</t>
  </si>
  <si>
    <t>Source : Post Master General, West Bengal Circle</t>
  </si>
  <si>
    <t>Name of Block</t>
  </si>
  <si>
    <t>Bargadars</t>
  </si>
  <si>
    <t>Sub-Division / 
C.D.Block / M</t>
  </si>
  <si>
    <t>TECHNICAL SCHOOLS</t>
  </si>
  <si>
    <t>TECHNICAL COLLEGES</t>
  </si>
  <si>
    <t>TABLE 2.1</t>
  </si>
  <si>
    <t>TABLE 11.3</t>
  </si>
  <si>
    <t>TABLE 12.2</t>
  </si>
  <si>
    <t xml:space="preserve">TABLE 12.1 </t>
  </si>
  <si>
    <t>TABLE 12.3</t>
  </si>
  <si>
    <t>TABLE 12.4</t>
  </si>
  <si>
    <t xml:space="preserve">TABLE 12.6 </t>
  </si>
  <si>
    <t>TABLE 12.5</t>
  </si>
  <si>
    <t>TABLE 19.1</t>
  </si>
  <si>
    <t>TABLE 20.1</t>
  </si>
  <si>
    <t>TABLE 21.1</t>
  </si>
  <si>
    <t>Source : Census of India, 2011</t>
  </si>
  <si>
    <t xml:space="preserve">Chanchal </t>
  </si>
  <si>
    <t xml:space="preserve">Bandhail </t>
  </si>
  <si>
    <t xml:space="preserve">Rangabhita </t>
  </si>
  <si>
    <t xml:space="preserve">Jhangra </t>
  </si>
  <si>
    <t xml:space="preserve">Chhatianmor </t>
  </si>
  <si>
    <t>0/1</t>
  </si>
  <si>
    <t xml:space="preserve">Krishnapur </t>
  </si>
  <si>
    <t xml:space="preserve">Jagannathpur </t>
  </si>
  <si>
    <t xml:space="preserve">Birodhi </t>
  </si>
  <si>
    <t xml:space="preserve">Karari Chandpur </t>
  </si>
  <si>
    <t xml:space="preserve">Alipur </t>
  </si>
  <si>
    <t xml:space="preserve">Baliadanga </t>
  </si>
  <si>
    <t xml:space="preserve">Silampur </t>
  </si>
  <si>
    <t xml:space="preserve">Jadupur </t>
  </si>
  <si>
    <t xml:space="preserve">Bamangram </t>
  </si>
  <si>
    <t xml:space="preserve">Jalalpur </t>
  </si>
  <si>
    <t xml:space="preserve">Chaspara </t>
  </si>
  <si>
    <t xml:space="preserve">Bara Suzapur </t>
  </si>
  <si>
    <t xml:space="preserve">Nazirpur </t>
  </si>
  <si>
    <t xml:space="preserve">Chhota Suzapur </t>
  </si>
  <si>
    <t xml:space="preserve">Bagbari </t>
  </si>
  <si>
    <t xml:space="preserve">Sonatala </t>
  </si>
  <si>
    <t xml:space="preserve">Milki </t>
  </si>
  <si>
    <t xml:space="preserve">Sahapur </t>
  </si>
  <si>
    <t>2/26</t>
  </si>
  <si>
    <t>2/27</t>
  </si>
  <si>
    <t>Mental Illness</t>
  </si>
  <si>
    <t>Mental Retardation</t>
  </si>
  <si>
    <t>Other Disability</t>
  </si>
  <si>
    <t>Multiple Disability</t>
  </si>
  <si>
    <t>District Total    2011</t>
  </si>
  <si>
    <t>Source : Census of India,  2011</t>
  </si>
  <si>
    <t>Population (2011)</t>
  </si>
  <si>
    <t>House- 
holds
(2011)</t>
  </si>
  <si>
    <t>1) Census of India, 2001 &amp; 2011</t>
  </si>
  <si>
    <t>Distribution of Rural &amp; Urban Population by sex, 2011</t>
  </si>
  <si>
    <t>Distribution of Population by sex &amp; by age group, 2011</t>
  </si>
  <si>
    <t>No. of Deaths</t>
  </si>
  <si>
    <t>* As per 2011 census population</t>
  </si>
  <si>
    <r>
      <rPr>
        <vertAlign val="superscript"/>
        <sz val="9"/>
        <color indexed="8"/>
        <rFont val="Arial"/>
        <family val="2"/>
      </rPr>
      <t>#</t>
    </r>
    <r>
      <rPr>
        <sz val="9"/>
        <color indexed="8"/>
        <rFont val="Arial"/>
        <family val="2"/>
      </rPr>
      <t xml:space="preserve"> As per 2001 census population</t>
    </r>
  </si>
  <si>
    <t>Principal 
Market Yard</t>
  </si>
  <si>
    <t>TABLE 21.2</t>
  </si>
  <si>
    <t>TABLE 16.1</t>
  </si>
  <si>
    <t xml:space="preserve">           DPT = Diphtheria Pertussis Tetanus</t>
  </si>
  <si>
    <t xml:space="preserve">  Source : Dy. C.M.O.H.-III, Malda</t>
  </si>
  <si>
    <t>General College &amp; University 
(Excluding Open University)</t>
  </si>
  <si>
    <t>*  In bales / hectare</t>
  </si>
  <si>
    <t xml:space="preserve"> Source : Dy. Director of Sericulture, Malda</t>
  </si>
  <si>
    <t xml:space="preserve">*  Upto Sept'2006 </t>
  </si>
  <si>
    <t xml:space="preserve">** From Oct'2006 to March'2007 </t>
  </si>
  <si>
    <t xml:space="preserve"> Source : Superintendent of Police, Malda</t>
  </si>
  <si>
    <t>TECHNICAL UNIVERSITIES</t>
  </si>
  <si>
    <t>District Total</t>
  </si>
  <si>
    <t>Maskalai</t>
  </si>
  <si>
    <t>Mustard</t>
  </si>
  <si>
    <t>Linseed</t>
  </si>
  <si>
    <t>Prod.</t>
  </si>
  <si>
    <t>Yield</t>
  </si>
  <si>
    <t>Prod.*</t>
  </si>
  <si>
    <t>Yield**</t>
  </si>
  <si>
    <t>Canal</t>
  </si>
  <si>
    <t>Area</t>
  </si>
  <si>
    <t>HDTW =High Capacity Deep Tubewell</t>
  </si>
  <si>
    <t>MDTW =Middle Capacity Deep Tubewell</t>
  </si>
  <si>
    <t xml:space="preserve"> </t>
  </si>
  <si>
    <t>LDTW  =Low Capacity Deep Tubewell</t>
  </si>
  <si>
    <t>Cattle</t>
  </si>
  <si>
    <t>Buffaloes</t>
  </si>
  <si>
    <t>Poultry Birds</t>
  </si>
  <si>
    <t>Number of Bank offices</t>
  </si>
  <si>
    <t>Gramin Bank</t>
  </si>
  <si>
    <t>Malda</t>
  </si>
  <si>
    <t>Unsurfaced</t>
  </si>
  <si>
    <t xml:space="preserve">Distance of the nearest </t>
  </si>
  <si>
    <t>Number of Cinema House</t>
  </si>
  <si>
    <t>Number of</t>
  </si>
  <si>
    <t>' 000 Rs.</t>
  </si>
  <si>
    <t>Source : Meteorological Department, Govt. of India</t>
  </si>
  <si>
    <t>Sources : 1)</t>
  </si>
  <si>
    <t>2)</t>
  </si>
  <si>
    <t>Department of Statistics &amp; Programme Implementation</t>
  </si>
  <si>
    <t>Education cell under each Municipality/Local Body</t>
  </si>
  <si>
    <t>4)</t>
  </si>
  <si>
    <t>5)</t>
  </si>
  <si>
    <t>6)</t>
  </si>
  <si>
    <t>7)</t>
  </si>
  <si>
    <t>3)</t>
  </si>
  <si>
    <t>(b) Less than 50 tonnes</t>
  </si>
  <si>
    <t>Each Madrasah</t>
  </si>
  <si>
    <t>Colleges of each University</t>
  </si>
  <si>
    <t>8)</t>
  </si>
  <si>
    <t>District Social Welfare Officer, Malda</t>
  </si>
  <si>
    <t>District Mass Education Extension Officer, Malda</t>
  </si>
  <si>
    <t>District Programme Officer (ICDS), Malda</t>
  </si>
  <si>
    <t>District Social Education Officer, Malda</t>
  </si>
  <si>
    <t>Each Sanskrit Tol</t>
  </si>
  <si>
    <t>Other Colleges / Institutions</t>
  </si>
  <si>
    <t>Terminating Bus</t>
  </si>
  <si>
    <t>Khesari</t>
  </si>
  <si>
    <t>Sl.  No.</t>
  </si>
  <si>
    <t>' 000 K.W.H.</t>
  </si>
  <si>
    <t>Receipt</t>
  </si>
  <si>
    <t>13
14
15</t>
  </si>
  <si>
    <t xml:space="preserve"> English Bazar</t>
  </si>
  <si>
    <t>01-04-1869</t>
  </si>
  <si>
    <t xml:space="preserve">Gazole     </t>
  </si>
  <si>
    <t>1940(E)</t>
  </si>
  <si>
    <t>GENERAL RECOGNIZED SCHOOLS</t>
  </si>
  <si>
    <t>GENERAL DEGREE COLLEGES</t>
  </si>
  <si>
    <t>(Degree Celsius)</t>
  </si>
  <si>
    <t>1) Collectorate (Election Deptt.), Malda</t>
  </si>
  <si>
    <t>Household 
Ind. Workers</t>
  </si>
  <si>
    <t>Water Investigation &amp; Development 
Department, Govt. of  W.B.</t>
  </si>
  <si>
    <t>2) Asstt. Director of Fisheries, Malda</t>
  </si>
  <si>
    <t>Source : Census of India</t>
  </si>
  <si>
    <t>(Number in thousand)</t>
  </si>
  <si>
    <t>Manik Chak</t>
  </si>
  <si>
    <t>Upto the year 
(as on 31st March)</t>
  </si>
  <si>
    <t>(f) Institute of Radiology / Pathology / Bio-Chemistry / Laboratory Technology / Radiography / Physiotherapy / Radiotherapy / ECG</t>
  </si>
  <si>
    <t>No. of persons died</t>
  </si>
  <si>
    <t>All crops combined</t>
  </si>
  <si>
    <t>New Factories registered with Directorate
 of Cottage and Small Scale Industries
 (as on 31st March)</t>
  </si>
  <si>
    <t>2005-06</t>
  </si>
  <si>
    <t xml:space="preserve"> (Degree Celsius)</t>
  </si>
  <si>
    <t>Progress in Tourism</t>
  </si>
  <si>
    <t xml:space="preserve">Co-operative Societies in the Blocks </t>
  </si>
  <si>
    <t>Bureau  of  Applied  Economics  &amp;  Statistics</t>
  </si>
  <si>
    <t>Government  of  West Bengal</t>
  </si>
  <si>
    <t>Current Calendar Year</t>
  </si>
  <si>
    <t>Current Financial Year</t>
  </si>
  <si>
    <t xml:space="preserve">Census Year </t>
  </si>
  <si>
    <t>Contents</t>
  </si>
  <si>
    <t>Panchayat Samity</t>
  </si>
  <si>
    <t>' 000 Hectares</t>
  </si>
  <si>
    <t>Upto 5 years</t>
  </si>
  <si>
    <t>Cinema Houses</t>
  </si>
  <si>
    <t>Newspapers and Periodicals published</t>
  </si>
  <si>
    <t>Skilled &amp; Semi-skilled</t>
  </si>
  <si>
    <t>No. of Tourists
 Staying in 
Tourist Lodges</t>
  </si>
  <si>
    <t>Addl. Superintendent</t>
  </si>
  <si>
    <t>Govt. of India
 including
 Central Govt.
Undertaking</t>
  </si>
  <si>
    <t>Premium Income (Rs. in thousand)</t>
  </si>
  <si>
    <t>Directorate of Cottage and Small Scale Industries, Govt. of W.B.</t>
  </si>
  <si>
    <t>Directorate of Micro and Small Scale Enterprises, Govt. of W.B.</t>
  </si>
  <si>
    <t xml:space="preserve">Upto 31st  March </t>
  </si>
  <si>
    <t>30-11-2009</t>
  </si>
  <si>
    <t>Area and Production of Fruits and Vegetables</t>
  </si>
  <si>
    <t>per cent</t>
  </si>
  <si>
    <t>Progress of Commercial Banking</t>
  </si>
  <si>
    <t>Consumption of Electricity</t>
  </si>
  <si>
    <t>P.C. of Col.(9) to respective total workers</t>
  </si>
  <si>
    <t xml:space="preserve">                                                                          </t>
  </si>
  <si>
    <t>Police Stations and Out-posts</t>
  </si>
  <si>
    <t xml:space="preserve"> Source : Census of India, 2001 &amp; 1991</t>
  </si>
  <si>
    <t>Sadar Sub-
Division</t>
  </si>
  <si>
    <t>Receipt and Expenditure of Zilla Parishad</t>
  </si>
  <si>
    <t>Population by religion in the Blocks</t>
  </si>
  <si>
    <t>Commercial and Gramin Banks in the Blocks</t>
  </si>
  <si>
    <t>Geographical Location</t>
  </si>
  <si>
    <t>Monthly Rainfall</t>
  </si>
  <si>
    <t>Dy. Chief Medical Officer of 
Health-II, Malda</t>
  </si>
  <si>
    <t>Source : Land and Land Reforms Department , Govt. of  W.B.</t>
  </si>
  <si>
    <t>1) Directorate of Agriculture, Govt. of  W.B.</t>
  </si>
  <si>
    <t>Source : Directorate of Agriculture (Evaluation) , Govt. of  W.B.</t>
  </si>
  <si>
    <t>Source : Live-stock Census Report, Govt. of  West Bengal</t>
  </si>
  <si>
    <t>Source : Bureau of Applied Economics &amp; Statistics, Govt. of  W.B.</t>
  </si>
  <si>
    <t>8906*</t>
  </si>
  <si>
    <t>13000*</t>
  </si>
  <si>
    <t>Directorate of Agriculture, Govt. of  W.B.</t>
  </si>
  <si>
    <t>Net area available
 for pisciculture
(Hect.)</t>
  </si>
  <si>
    <t>Net area under
 effective pisciculture
(Hect.)</t>
  </si>
  <si>
    <t>Approx. annual
 production
(Qtl.)</t>
  </si>
  <si>
    <t>1) D.I. of Schools (Primary)</t>
  </si>
  <si>
    <t>2) D.I. of Schools (Secondary)</t>
  </si>
  <si>
    <t>7) Each Study Centre of Open University</t>
  </si>
  <si>
    <t>Source : Directorate of Food Processing Industries and Horticulture, Govt. of  W.B.</t>
  </si>
  <si>
    <t>1) Directorate of Rationing, Govt. of  W.B.</t>
  </si>
  <si>
    <t>2) Directorate of District Distribution,
    Procurement and Supply, Govt. of  W.B.</t>
  </si>
  <si>
    <t>Population by religion</t>
  </si>
  <si>
    <t>Achievement of Universal Immunization Programme</t>
  </si>
  <si>
    <t>Teachers in different type of General Educational Institutions</t>
  </si>
  <si>
    <t>Above 5 years</t>
  </si>
  <si>
    <t>Harishchandrapur-I</t>
  </si>
  <si>
    <t>Manufacture of Textiles</t>
  </si>
  <si>
    <t>Harishchandrapur-I
Harishchandrapur-II</t>
  </si>
  <si>
    <t>Ratua-I
Ratua-II</t>
  </si>
  <si>
    <t>Chanchal-I
Chanchal-II</t>
  </si>
  <si>
    <t>Kaliachak-I
Kaliachak-II
Kaliachak-III</t>
  </si>
  <si>
    <t>Rice(Aman fine)</t>
  </si>
  <si>
    <t>Paddy(Aman fine)</t>
  </si>
  <si>
    <t>Chanchal Hat</t>
  </si>
  <si>
    <t>Qtl.</t>
  </si>
  <si>
    <t xml:space="preserve">   "</t>
  </si>
  <si>
    <t>3) Asstt. Engr. (Agri. Mech.), Malda</t>
  </si>
  <si>
    <t>Expenditure
('000 Rs.)</t>
  </si>
  <si>
    <t>No. of Govt.
Schemes 
operated</t>
  </si>
  <si>
    <t>Assistance to
 needy fishermen
('000 Rs.)</t>
  </si>
  <si>
    <t xml:space="preserve">Rice(Aman Common)   </t>
  </si>
  <si>
    <t xml:space="preserve">Wheat  </t>
  </si>
  <si>
    <t>Potato (Nainital)</t>
  </si>
  <si>
    <t xml:space="preserve">  Samsi (Ratanpurhat) </t>
  </si>
  <si>
    <t>Per 100</t>
  </si>
  <si>
    <t xml:space="preserve"> Each</t>
  </si>
  <si>
    <t>Samsi (Ratanpurhat)</t>
  </si>
  <si>
    <t>Centre : Malda, Uttar &amp; Dakshin Dinajpur</t>
  </si>
  <si>
    <t xml:space="preserve">  March</t>
  </si>
  <si>
    <t xml:space="preserve">  April</t>
  </si>
  <si>
    <t xml:space="preserve">  May</t>
  </si>
  <si>
    <t xml:space="preserve">  June</t>
  </si>
  <si>
    <t xml:space="preserve">  July</t>
  </si>
  <si>
    <t xml:space="preserve">English Bazar </t>
  </si>
  <si>
    <t>Source : All Municipalities, Malda</t>
  </si>
  <si>
    <t>Minor Offences</t>
  </si>
  <si>
    <t>MAHC  -  Mobile Animal Health Centre</t>
  </si>
  <si>
    <t xml:space="preserve">AIC  -  Artificial Insemination Centre </t>
  </si>
  <si>
    <t>DVH - District Veterinary Hospital</t>
  </si>
  <si>
    <t>Base : Triennium ending crop year 1981-82 = 100</t>
  </si>
  <si>
    <t>Cereals</t>
  </si>
  <si>
    <t>Productivity</t>
  </si>
  <si>
    <t xml:space="preserve">Description </t>
  </si>
  <si>
    <t>Year</t>
  </si>
  <si>
    <t>Unit</t>
  </si>
  <si>
    <t xml:space="preserve"> Particulars</t>
  </si>
  <si>
    <t>District Head Quarters</t>
  </si>
  <si>
    <t>Number</t>
  </si>
  <si>
    <t>2012-13</t>
  </si>
  <si>
    <t>Inhabited Villages</t>
  </si>
  <si>
    <t>Municipal Corporation</t>
  </si>
  <si>
    <t>Municipality</t>
  </si>
  <si>
    <t>Scheduled 
Caste</t>
  </si>
  <si>
    <t>Scheduled 
Tribe</t>
  </si>
  <si>
    <t>Industrial Supervisory</t>
  </si>
  <si>
    <t>Revenue collected from different sources</t>
  </si>
  <si>
    <r>
      <t xml:space="preserve">Recognized </t>
    </r>
    <r>
      <rPr>
        <b/>
        <u/>
        <sz val="10"/>
        <color indexed="12"/>
        <rFont val="Arial"/>
        <family val="2"/>
      </rPr>
      <t>Higher Secondary Schools</t>
    </r>
    <r>
      <rPr>
        <b/>
        <sz val="10"/>
        <color indexed="12"/>
        <rFont val="Arial"/>
        <family val="2"/>
      </rPr>
      <t xml:space="preserve"> under the control of or of the type of</t>
    </r>
  </si>
  <si>
    <r>
      <t xml:space="preserve">Recognized </t>
    </r>
    <r>
      <rPr>
        <b/>
        <u/>
        <sz val="10"/>
        <color indexed="12"/>
        <rFont val="Arial"/>
        <family val="2"/>
      </rPr>
      <t>Primary Schools</t>
    </r>
    <r>
      <rPr>
        <b/>
        <sz val="10"/>
        <color indexed="12"/>
        <rFont val="Arial"/>
        <family val="2"/>
      </rPr>
      <t xml:space="preserve"> under the control of 
or of the type of</t>
    </r>
  </si>
  <si>
    <r>
      <t xml:space="preserve">Recognized </t>
    </r>
    <r>
      <rPr>
        <b/>
        <u/>
        <sz val="10"/>
        <color indexed="12"/>
        <rFont val="Arial"/>
        <family val="2"/>
      </rPr>
      <t>Middle Schools</t>
    </r>
    <r>
      <rPr>
        <b/>
        <sz val="10"/>
        <color indexed="12"/>
        <rFont val="Arial"/>
        <family val="2"/>
      </rPr>
      <t xml:space="preserve"> under the control of 
or of the type of</t>
    </r>
  </si>
  <si>
    <r>
      <t xml:space="preserve">Recognized </t>
    </r>
    <r>
      <rPr>
        <b/>
        <u/>
        <sz val="10"/>
        <color indexed="12"/>
        <rFont val="Arial"/>
        <family val="2"/>
      </rPr>
      <t>High Schools</t>
    </r>
    <r>
      <rPr>
        <b/>
        <sz val="10"/>
        <color indexed="12"/>
        <rFont val="Arial"/>
        <family val="2"/>
      </rPr>
      <t xml:space="preserve"> under the control of 
or of the type of</t>
    </r>
  </si>
  <si>
    <t>Source : Directorate of Agricultural Marketing, Govt. of W.B.</t>
  </si>
  <si>
    <t>2) D.L .&amp; L.R.O, Malda</t>
  </si>
  <si>
    <t>Cocoons Production (MT)</t>
  </si>
  <si>
    <t>Litre</t>
  </si>
  <si>
    <t>Sheep(Alive) (10 Kg. Wt.)</t>
  </si>
  <si>
    <t xml:space="preserve">Goat (Alive) (10 Kg. Wt.)  </t>
  </si>
  <si>
    <t>Gur (Akhi-Chaki)</t>
  </si>
  <si>
    <t>Jute (T.D.-5)</t>
  </si>
  <si>
    <t>Category of Police Force</t>
  </si>
  <si>
    <t>Asstt. Sub-Inspector 
/ Asstt. Sergeant</t>
  </si>
  <si>
    <t>Agri. Income Tax</t>
  </si>
  <si>
    <t>Dy. Director of Small Savings, Malda</t>
  </si>
  <si>
    <t>Directorate of Small Savings, Govt. of  W.B.</t>
  </si>
  <si>
    <t>1) B.D.O.s, Malda</t>
  </si>
  <si>
    <t>2) S.A.O.s, Malda</t>
  </si>
  <si>
    <t>3) S.D.C.(F &amp; S), Malda</t>
  </si>
  <si>
    <t>4) Supdt. of Post Offices, Malda</t>
  </si>
  <si>
    <t>5) A.D.O.s, Malda</t>
  </si>
  <si>
    <t>P.C. to total population of the district</t>
  </si>
  <si>
    <t>* As per Agricultural Census, W.B. (2010-11)</t>
  </si>
  <si>
    <t>3) Agricultural Census, W.B. (2010-11)</t>
  </si>
  <si>
    <t>1) B.A.E.&amp; S., Govt. of  W.B.</t>
  </si>
  <si>
    <t>Note : Area in Hectare, Production in Thousand MT and Yield in Kg./ hect.</t>
  </si>
  <si>
    <t>Asstt. Engineer (Agri. Mech.), Malda</t>
  </si>
  <si>
    <t>Asstt. Engineer (Agri. Irrigation), Malda</t>
  </si>
  <si>
    <t>DTW = Deep Tubewell = HDTW+MDTW+LDTW</t>
  </si>
  <si>
    <t>Sl. No.</t>
  </si>
  <si>
    <t xml:space="preserve"> Source : District Manager, Lead Bank, UBI, Malda</t>
  </si>
  <si>
    <t>3) All Gram Panchayat &amp; Panchayat Samity, Malda</t>
  </si>
  <si>
    <t>Rly. Stn. from the</t>
  </si>
  <si>
    <t>Block H.Q. (K.M.)</t>
  </si>
  <si>
    <t>Source : All Block Development Officers, Malda</t>
  </si>
  <si>
    <t>Department of Statistical Analysis
and Computer Services, 
Reserve Bank of India, Mumbai</t>
  </si>
  <si>
    <t>Ind. = Industry</t>
  </si>
  <si>
    <t>Fixed
 Capital
(Rs. in Lakh)</t>
  </si>
  <si>
    <t>Invested
 Capital
(Rs. in Lakh)</t>
  </si>
  <si>
    <t>Mandays
 employed
 (in thousand)</t>
  </si>
  <si>
    <t>Emolu-
ments
(Rs. in Lakh)</t>
  </si>
  <si>
    <t>Values of Output
(Rs. in Lakh)</t>
  </si>
  <si>
    <t>Net value added 
(Rs. in Lakh)</t>
  </si>
  <si>
    <t>Net
 income
(Rs. in Lakh)</t>
  </si>
  <si>
    <t>All Industry</t>
  </si>
  <si>
    <t>Tractor 
&amp; Trailer</t>
  </si>
  <si>
    <t>Transport &amp; Communication :</t>
  </si>
  <si>
    <t>Employment Situation :</t>
  </si>
  <si>
    <t>Employment In :</t>
  </si>
  <si>
    <t>Industry :</t>
  </si>
  <si>
    <t>Agriculture and Irrigation :</t>
  </si>
  <si>
    <t>Sadar Sub-Division</t>
  </si>
  <si>
    <t>Chanchal Sub-Division</t>
  </si>
  <si>
    <t xml:space="preserve"> 5-9</t>
  </si>
  <si>
    <t>All ages</t>
  </si>
  <si>
    <t>Kachu Pukur</t>
  </si>
  <si>
    <t>C.T.</t>
  </si>
  <si>
    <t>Offences against Women</t>
  </si>
  <si>
    <t>Kendua</t>
  </si>
  <si>
    <t>Aiho</t>
  </si>
  <si>
    <t>Gram Panchayat</t>
  </si>
  <si>
    <t>Gram Sansad</t>
  </si>
  <si>
    <t>Fruits:</t>
  </si>
  <si>
    <t>Vegetables:</t>
  </si>
  <si>
    <t>Area and Population :</t>
  </si>
  <si>
    <t>Hospitals, Health Centres etc.</t>
  </si>
  <si>
    <t xml:space="preserve">Area </t>
  </si>
  <si>
    <t>Population</t>
  </si>
  <si>
    <t>"</t>
  </si>
  <si>
    <t>m.m.</t>
  </si>
  <si>
    <t>Misc. Flower</t>
  </si>
  <si>
    <t>' 000 MT</t>
  </si>
  <si>
    <t>Egg (Numbers in Thousand)</t>
  </si>
  <si>
    <t>As on</t>
  </si>
  <si>
    <t>31.10.2010</t>
  </si>
  <si>
    <t>30.11.2011</t>
  </si>
  <si>
    <t>30.11.2012</t>
  </si>
  <si>
    <t>16.12.2013</t>
  </si>
  <si>
    <t>Temperature : Maximum</t>
  </si>
  <si>
    <t>Degree Celsius</t>
  </si>
  <si>
    <t>..</t>
  </si>
  <si>
    <t>Workers :</t>
  </si>
  <si>
    <t>Non-workers</t>
  </si>
  <si>
    <t>Cropped area</t>
  </si>
  <si>
    <t>Electricity :</t>
  </si>
  <si>
    <t>Co-operative Societies :</t>
  </si>
  <si>
    <t>Societies</t>
  </si>
  <si>
    <t>Members</t>
  </si>
  <si>
    <t>Working Capital</t>
  </si>
  <si>
    <t>Commercial Bank</t>
  </si>
  <si>
    <t>Post Offices</t>
  </si>
  <si>
    <t>Post &amp; Telegraph Offices(Combined)</t>
  </si>
  <si>
    <t>Renewal 
Premium</t>
  </si>
  <si>
    <t>3) Dy. Director of Agriculture (Admin.), Malda</t>
  </si>
  <si>
    <t>Paddy(Aman Common)</t>
  </si>
  <si>
    <t xml:space="preserve">Sub-Division
 / C.D.Block </t>
  </si>
  <si>
    <t>Surfaced</t>
  </si>
  <si>
    <t>Finance :</t>
  </si>
  <si>
    <t>Name of the district</t>
  </si>
  <si>
    <t>Latitude</t>
  </si>
  <si>
    <t>Longitude</t>
  </si>
  <si>
    <t xml:space="preserve"> North</t>
  </si>
  <si>
    <t>South</t>
  </si>
  <si>
    <t xml:space="preserve"> East  </t>
  </si>
  <si>
    <t>West</t>
  </si>
  <si>
    <t>(1)</t>
  </si>
  <si>
    <t>(2)</t>
  </si>
  <si>
    <t>(3)</t>
  </si>
  <si>
    <t>(4)</t>
  </si>
  <si>
    <t>(5)</t>
  </si>
  <si>
    <t>(6)</t>
  </si>
  <si>
    <t>(7)</t>
  </si>
  <si>
    <t>Month</t>
  </si>
  <si>
    <t>Normal</t>
  </si>
  <si>
    <t>146*</t>
  </si>
  <si>
    <t>* Only Pranibandhu</t>
  </si>
  <si>
    <t>** Only Doctors</t>
  </si>
  <si>
    <t>Actual</t>
  </si>
  <si>
    <t>January</t>
  </si>
  <si>
    <t>February</t>
  </si>
  <si>
    <t>March</t>
  </si>
  <si>
    <t>April</t>
  </si>
  <si>
    <t>May</t>
  </si>
  <si>
    <t>June</t>
  </si>
  <si>
    <t>July</t>
  </si>
  <si>
    <t>August</t>
  </si>
  <si>
    <t>September</t>
  </si>
  <si>
    <t>October</t>
  </si>
  <si>
    <t>November</t>
  </si>
  <si>
    <t>December</t>
  </si>
  <si>
    <t>Total</t>
  </si>
  <si>
    <t xml:space="preserve">Tasar </t>
  </si>
  <si>
    <t xml:space="preserve">Eri </t>
  </si>
  <si>
    <t xml:space="preserve">Muga </t>
  </si>
  <si>
    <t>TABLE 9.2(a)</t>
  </si>
  <si>
    <t xml:space="preserve">Length of Roads maintained by P.W.D., Zilla Parishad and Panchayat in the district of Malda </t>
  </si>
  <si>
    <t>Police Stations</t>
  </si>
  <si>
    <t>Collection</t>
  </si>
  <si>
    <t>No. of Co-operative Societies</t>
  </si>
  <si>
    <t>No. of 
Members</t>
  </si>
  <si>
    <t>routes</t>
  </si>
  <si>
    <t>(8)</t>
  </si>
  <si>
    <t>(9)</t>
  </si>
  <si>
    <t>(10)</t>
  </si>
  <si>
    <t>(11)</t>
  </si>
  <si>
    <t>Mean</t>
  </si>
  <si>
    <t>For the year</t>
  </si>
  <si>
    <t>Sub-Division</t>
  </si>
  <si>
    <t>Samity</t>
  </si>
  <si>
    <t>Gram</t>
  </si>
  <si>
    <t>(Number)</t>
  </si>
  <si>
    <t>No.</t>
  </si>
  <si>
    <t>Ward</t>
  </si>
  <si>
    <t>Notified Area</t>
  </si>
  <si>
    <t>Census Town</t>
  </si>
  <si>
    <t>Constituency</t>
  </si>
  <si>
    <t>Assembly</t>
  </si>
  <si>
    <t>Parliamentary</t>
  </si>
  <si>
    <t>(Millimetre)</t>
  </si>
  <si>
    <t>Municipalities</t>
  </si>
  <si>
    <t>Source : Census of India, 1991 &amp; 2001</t>
  </si>
  <si>
    <t>Index with 1901 as base</t>
  </si>
  <si>
    <t>Male</t>
  </si>
  <si>
    <t>Female</t>
  </si>
  <si>
    <t>Urban</t>
  </si>
  <si>
    <t>Rural</t>
  </si>
  <si>
    <t>Age group (Years)</t>
  </si>
  <si>
    <t>P.C.</t>
  </si>
  <si>
    <t>(12)</t>
  </si>
  <si>
    <t>(13)</t>
  </si>
  <si>
    <t>(14)</t>
  </si>
  <si>
    <t>(15)</t>
  </si>
  <si>
    <t>(16)</t>
  </si>
  <si>
    <t>(17)</t>
  </si>
  <si>
    <t>(19)</t>
  </si>
  <si>
    <t>(18)</t>
  </si>
  <si>
    <t>0-4</t>
  </si>
  <si>
    <t>10-14</t>
  </si>
  <si>
    <t>15-19</t>
  </si>
  <si>
    <t>20-24</t>
  </si>
  <si>
    <t>25-29</t>
  </si>
  <si>
    <t>30-34</t>
  </si>
  <si>
    <t>35-39</t>
  </si>
  <si>
    <t>40-44</t>
  </si>
  <si>
    <t>45-49</t>
  </si>
  <si>
    <t>50-54</t>
  </si>
  <si>
    <t>55-59</t>
  </si>
  <si>
    <t>60-64</t>
  </si>
  <si>
    <t>65-69</t>
  </si>
  <si>
    <t>Total
 No. of
 Beds</t>
  </si>
  <si>
    <t>Old Malda(M)*</t>
  </si>
  <si>
    <t>(b) High Madrasahs</t>
  </si>
  <si>
    <t>(b) Junior Madrasahs</t>
  </si>
  <si>
    <t>Km.</t>
  </si>
  <si>
    <t>(a) Medical (Allopathic, Dental, Homeopathic, Ayurvedic) Colleges</t>
  </si>
  <si>
    <t>* In 1000 bales of 180 kgs each</t>
  </si>
  <si>
    <t>Age not stated</t>
  </si>
  <si>
    <t>1) Marginal farmer possesses agricultural
    land measuring upto 1 hectare</t>
  </si>
  <si>
    <t>2) Small farmer  possesses agricultural
    land measuring more than
   1 hectare and upto 2 hectares</t>
  </si>
  <si>
    <t>Musur (Deshi,Whole)</t>
  </si>
  <si>
    <t>Musur (Small)</t>
  </si>
  <si>
    <t>Matar (Deshi,Whole)</t>
  </si>
  <si>
    <t>Khesari (Whole)</t>
  </si>
  <si>
    <t>Urid (Deshi,Whole)</t>
  </si>
  <si>
    <t xml:space="preserve">Cow (Skin) (Average size) </t>
  </si>
  <si>
    <t>Onion (Deshi)</t>
  </si>
  <si>
    <t>Tamarind (Deshi)</t>
  </si>
  <si>
    <t>Mustard (Red)</t>
  </si>
  <si>
    <t>Egg (Hen)</t>
  </si>
  <si>
    <t>Cow (Milk)</t>
  </si>
  <si>
    <t>* The decline in length of roads is due to transfer 
   of authority of maintenance to other agencies</t>
  </si>
  <si>
    <t>70-74</t>
  </si>
  <si>
    <t>75-79</t>
  </si>
  <si>
    <t>80+</t>
  </si>
  <si>
    <t xml:space="preserve">Male </t>
  </si>
  <si>
    <t xml:space="preserve">Number </t>
  </si>
  <si>
    <t>Cultivators</t>
  </si>
  <si>
    <t>Class of Total Workers</t>
  </si>
  <si>
    <t>MDTW =</t>
  </si>
  <si>
    <t>Englishbazar</t>
  </si>
  <si>
    <t>1) W.B. State Warehousing Corporation, Malda</t>
  </si>
  <si>
    <t>2) Malda Samabay Himghar Ltd., Malda</t>
  </si>
  <si>
    <t>Young stock</t>
  </si>
  <si>
    <t>Sheep</t>
  </si>
  <si>
    <t xml:space="preserve">     </t>
  </si>
  <si>
    <t>Centres of Rabindra Mukta Vidyalaya</t>
  </si>
  <si>
    <t>Educational Institutions for the Blind and other Physically &amp; Mentally Handicapped</t>
  </si>
  <si>
    <t>TABLE 1.2</t>
  </si>
  <si>
    <t>TABLE 1.1</t>
  </si>
  <si>
    <t>TABLE 2.1(a)</t>
  </si>
  <si>
    <t>TABLE 2.2</t>
  </si>
  <si>
    <t xml:space="preserve">TABLE 2.3   </t>
  </si>
  <si>
    <t>Max</t>
  </si>
  <si>
    <t>Min</t>
  </si>
  <si>
    <t>Visual</t>
  </si>
  <si>
    <t>Speech</t>
  </si>
  <si>
    <t>Hearing</t>
  </si>
  <si>
    <t>Locomotor</t>
  </si>
  <si>
    <t>TABLE 2.4(a)</t>
  </si>
  <si>
    <t>TABLE 2.4(b)</t>
  </si>
  <si>
    <t>TABLE 2.5(a)</t>
  </si>
  <si>
    <t>TABLE 2.5(b)</t>
  </si>
  <si>
    <t>TABLE 2.6</t>
  </si>
  <si>
    <t>TABLE 2.7</t>
  </si>
  <si>
    <t>TABLE 2.8</t>
  </si>
  <si>
    <t>TABLE 2.9</t>
  </si>
  <si>
    <t>TABLE 2.10</t>
  </si>
  <si>
    <t>TABLE 2.10(a)</t>
  </si>
  <si>
    <t>TABLE 2.11</t>
  </si>
  <si>
    <t>TABLE 3.1</t>
  </si>
  <si>
    <t>TABLE 3.2</t>
  </si>
  <si>
    <t>TABLE 3.2(a)</t>
  </si>
  <si>
    <t>TABLE 3.3</t>
  </si>
  <si>
    <t>TABLE 4.1(a)</t>
  </si>
  <si>
    <t>TABLE 4.1(b)</t>
  </si>
  <si>
    <t>TABLE 4.1(c)</t>
  </si>
  <si>
    <t>TABLE 4.2(a)</t>
  </si>
  <si>
    <t>TABLE 4.2(b)</t>
  </si>
  <si>
    <t>TABLE 4.2(c)</t>
  </si>
  <si>
    <t>TABLE 4.3(a)</t>
  </si>
  <si>
    <t>TABLE 4.3(b)</t>
  </si>
  <si>
    <t>TABLE 4.3(c)</t>
  </si>
  <si>
    <t>TABLE 4.4</t>
  </si>
  <si>
    <t>TABLE 4.4(Concld.)</t>
  </si>
  <si>
    <t>TABLE 4.5</t>
  </si>
  <si>
    <t>TABLE 4.7</t>
  </si>
  <si>
    <t>TABLE 4.6</t>
  </si>
  <si>
    <t>TABLE 4.8</t>
  </si>
  <si>
    <t>TABLE 5.1</t>
  </si>
  <si>
    <t>Hindu</t>
  </si>
  <si>
    <t>Muslim</t>
  </si>
  <si>
    <t>Christian</t>
  </si>
  <si>
    <t>Sikh</t>
  </si>
  <si>
    <t>Buddhist</t>
  </si>
  <si>
    <t>Jain</t>
  </si>
  <si>
    <t>TABLE 5.1(a)</t>
  </si>
  <si>
    <t>TABLE 5.1(b)</t>
  </si>
  <si>
    <t>TABLE 5.2</t>
  </si>
  <si>
    <t>TABLE 5.3</t>
  </si>
  <si>
    <t>TABLE 5.3(a)</t>
  </si>
  <si>
    <t>Sub-Division / Town</t>
  </si>
  <si>
    <t>Nursing Home</t>
  </si>
  <si>
    <t>82 (P)</t>
  </si>
  <si>
    <t>3319 (P)</t>
  </si>
  <si>
    <t>Employment in 
State Government Offices 
(As on 31st January)</t>
  </si>
  <si>
    <t>Sources : As in Table No. 4.1(a), 4.1(b), 4.1(c)</t>
  </si>
  <si>
    <t>Note : Under the schemes IGNOAPS (Indira Gandhi National Old Age Pension Scheme), IGNWPS (Indira Gandhi National Widow Pension Scheme) &amp; IGNDPS (Indira Gandhi National Disability Pension Scheme)</t>
  </si>
  <si>
    <t>Source : P.W(Roads) Directorate (HQ), Govt. of W.B.</t>
  </si>
  <si>
    <t xml:space="preserve">P.W.D.(Roads) Directorate (HQ), </t>
  </si>
  <si>
    <t xml:space="preserve">Govt. of  W. B. </t>
  </si>
  <si>
    <t>District Youth Officer, Malda</t>
  </si>
  <si>
    <t xml:space="preserve">Manager, Malda Tourist Lodge </t>
  </si>
  <si>
    <t>(W.B.T.D.C.L.), Malda</t>
  </si>
  <si>
    <t>No. of mouzas having
 drinking water facilities</t>
  </si>
  <si>
    <t xml:space="preserve">Population, Receipt and Expenditure of Municipalities </t>
  </si>
  <si>
    <t>Disabled Persons by type of disability &amp; by sex</t>
  </si>
  <si>
    <t>Area of  Vested Agricultural Land distributed &amp; Number of Beneficiaries</t>
  </si>
  <si>
    <t xml:space="preserve">Patients treated in Hospitals, Health Centres &amp; Sub-centres </t>
  </si>
  <si>
    <t xml:space="preserve">Institutions, Students &amp; Teachers by Block &amp; Municipality </t>
  </si>
  <si>
    <t xml:space="preserve">Assistance to Old-aged Persons, Widows and Handicapped  </t>
  </si>
  <si>
    <t>Wholesale Prices of Agricultural Commodities, Live-stock &amp; Live-stock Products</t>
  </si>
  <si>
    <t>Length of Roads maintained by Municipalities</t>
  </si>
  <si>
    <t>Sq. Km.</t>
  </si>
  <si>
    <t>per sq. km.</t>
  </si>
  <si>
    <t>Kg. per hect.</t>
  </si>
  <si>
    <t>Name of district headquarters</t>
  </si>
  <si>
    <t xml:space="preserve">TABLE 5.3(c)  </t>
  </si>
  <si>
    <t>TABLE 5.3(b)</t>
  </si>
  <si>
    <t>P.C. to respective total population</t>
  </si>
  <si>
    <t>3) District Mass Education Extension Officer, Malda</t>
  </si>
  <si>
    <t>2) District Social Welfare Officer, Malda</t>
  </si>
  <si>
    <t>Type of Institution</t>
  </si>
  <si>
    <t xml:space="preserve">                                  Total</t>
  </si>
  <si>
    <t xml:space="preserve">Area by Class of forest </t>
  </si>
  <si>
    <t>Each of Anglo-Indian, ICSE,CBSE &amp; Railway Institutions</t>
  </si>
  <si>
    <t>4) Each of Anglo-Indian, ICSE, CBSE &amp; Railway Institutions</t>
  </si>
  <si>
    <t>Each of Anglo-Indian, ICSE, CBSE &amp; Railway Institutions</t>
  </si>
  <si>
    <t>Source : Directorate of Agriculture, Govt. of W.B.</t>
  </si>
  <si>
    <t>Mass Literacy Centre 
(Continuing Education Programme)</t>
  </si>
  <si>
    <t>Source : Divisional Forest Officer, Malda</t>
  </si>
  <si>
    <t>Number of Live-stock and Poultry in the Blocks</t>
  </si>
  <si>
    <t>1) Divisional Engineer, Malda W.B.S.E.B. (O &amp; M) Div.</t>
  </si>
  <si>
    <t>2) R.C. Camp Office, WBSEDC Ltd., Malda.</t>
  </si>
  <si>
    <t>No. of
 Ferry
 Services</t>
  </si>
  <si>
    <t xml:space="preserve">Zilla Parishad </t>
  </si>
  <si>
    <t xml:space="preserve"> No.
of
 Males</t>
  </si>
  <si>
    <t xml:space="preserve"> No. 
of
 Females</t>
  </si>
  <si>
    <t>TABLE 5.3(d)</t>
  </si>
  <si>
    <t>TABLE 5.3(e)</t>
  </si>
  <si>
    <t>TABLE 5.4</t>
  </si>
  <si>
    <t>TABLE 5.5</t>
  </si>
  <si>
    <t>TABLE 5.5(a)</t>
  </si>
  <si>
    <t>TABLE 5.6</t>
  </si>
  <si>
    <t>TABLE 5.7</t>
  </si>
  <si>
    <t>TABLE 5.8</t>
  </si>
  <si>
    <t>TABLE 6.1</t>
  </si>
  <si>
    <t>TABLE 6.2</t>
  </si>
  <si>
    <t>TABLE 7.3</t>
  </si>
  <si>
    <t>TABLE 7.2</t>
  </si>
  <si>
    <t>TABLE 8.1</t>
  </si>
  <si>
    <t>TABLE 8.2</t>
  </si>
  <si>
    <t>TABLE 8.2(a)</t>
  </si>
  <si>
    <t>Note : Figures within parenthesis indicate no. of closed cinema houses</t>
  </si>
  <si>
    <t xml:space="preserve">Employment in State Govt. Offices
(as on 31st December) </t>
  </si>
  <si>
    <t>Patta
 holders</t>
  </si>
  <si>
    <t>Small
 farmers*</t>
  </si>
  <si>
    <t>Marginal
 farmers*</t>
  </si>
  <si>
    <t>TABLE 8.3</t>
  </si>
  <si>
    <t>TABLE 8.4</t>
  </si>
  <si>
    <t>TABLE 9.1</t>
  </si>
  <si>
    <t>TABLE 9.2</t>
  </si>
  <si>
    <t>TABLE 9.2(b)</t>
  </si>
  <si>
    <t>TABLE 10.2</t>
  </si>
  <si>
    <t>TABLE 10.1</t>
  </si>
  <si>
    <t>Crore 
Cut Flowers</t>
  </si>
  <si>
    <t>Manufacture of coke and refined petroleum products</t>
  </si>
  <si>
    <t>Manufacture of chemicals and chemical products</t>
  </si>
  <si>
    <t>Manufacture of fabricated metal products, except machinery and equipment</t>
  </si>
  <si>
    <t>Manufacture of other transport equipment</t>
  </si>
  <si>
    <t>Manufacture of machinery and equipment n. e. c.*</t>
  </si>
  <si>
    <t>Source : Superintendent of Police, Malda</t>
  </si>
  <si>
    <t>TABLE 10.3</t>
  </si>
  <si>
    <t>TABLE 11.1(a)</t>
  </si>
  <si>
    <t>TABLE 11.1</t>
  </si>
  <si>
    <t>Number of Live-stock and Poultry in the Blocks of Malda
(As per Live-stock Census 2007)</t>
  </si>
  <si>
    <t>TABLE 11.2</t>
  </si>
  <si>
    <t>TABLE 11.4</t>
  </si>
  <si>
    <t>TABLE 12.7</t>
  </si>
  <si>
    <t>TABLE 13.1</t>
  </si>
  <si>
    <t>TABLE 13.2</t>
  </si>
  <si>
    <t>TABLE 13.3</t>
  </si>
  <si>
    <t>TABLE 14.1</t>
  </si>
  <si>
    <t>TABLE 14.2</t>
  </si>
  <si>
    <t>TABLE 15.1</t>
  </si>
  <si>
    <t>TABLE 15.2</t>
  </si>
  <si>
    <t>TABLE 17.1</t>
  </si>
  <si>
    <t>TABLE 17.2</t>
  </si>
  <si>
    <t>TABLE 18.1</t>
  </si>
  <si>
    <t>TABLE 18.1(Concld.)</t>
  </si>
  <si>
    <t>TABLE 18.2</t>
  </si>
  <si>
    <t>TABLE 18.3</t>
  </si>
  <si>
    <t xml:space="preserve"> TABLE 20.2</t>
  </si>
  <si>
    <t>Gram Panchayat &amp;
 Panchayat Samity</t>
  </si>
  <si>
    <t>22-12-1964</t>
  </si>
  <si>
    <t>1984(E)</t>
  </si>
  <si>
    <t>NIC ' 08 Code</t>
  </si>
  <si>
    <t>Beds per lakh of Population (Census 2011)</t>
  </si>
  <si>
    <t>Jan Shikshan Sansthan</t>
  </si>
  <si>
    <t>Primary School</t>
  </si>
  <si>
    <t>Middle School</t>
  </si>
  <si>
    <t>High School</t>
  </si>
  <si>
    <t>Higher Secondary School</t>
  </si>
  <si>
    <t>Year
 (as on 31st March)</t>
  </si>
  <si>
    <t>Area of holdings</t>
  </si>
  <si>
    <t>1.0 hectare and above but less than 2.0 hectares</t>
  </si>
  <si>
    <t>Fibres :</t>
  </si>
  <si>
    <t>Total Fibres</t>
  </si>
  <si>
    <t>Other Fibres</t>
  </si>
  <si>
    <t>Fibres* :</t>
  </si>
  <si>
    <t>Total Revenue Receipt</t>
  </si>
  <si>
    <t>Fibres * :</t>
  </si>
  <si>
    <t>Rapeseed &amp; Mustard</t>
  </si>
  <si>
    <t>Agricultural Labourers</t>
  </si>
  <si>
    <t>Other Workers</t>
  </si>
  <si>
    <t>Main workers</t>
  </si>
  <si>
    <t>Marginal workers</t>
  </si>
  <si>
    <t>-</t>
  </si>
  <si>
    <t>Bamongola</t>
  </si>
  <si>
    <t>Old Malda(M)</t>
  </si>
  <si>
    <t>Category</t>
  </si>
  <si>
    <t>Total Workers :</t>
  </si>
  <si>
    <t>(a)</t>
  </si>
  <si>
    <t>Main workers :</t>
  </si>
  <si>
    <t xml:space="preserve">Total </t>
  </si>
  <si>
    <t>(b)</t>
  </si>
  <si>
    <t>Marginal workers :</t>
  </si>
  <si>
    <t>Non-workers :</t>
  </si>
  <si>
    <t>A.</t>
  </si>
  <si>
    <t>Cultivators :</t>
  </si>
  <si>
    <t>Agricultural Labourers :</t>
  </si>
  <si>
    <t>Household Industry Workers :</t>
  </si>
  <si>
    <t>Other Workers :</t>
  </si>
  <si>
    <t>Total Workers : (1+2+3+4) = (a+b)</t>
  </si>
  <si>
    <t>Others</t>
  </si>
  <si>
    <t>Religion not stated</t>
  </si>
  <si>
    <t>Source : Census of India, 2001</t>
  </si>
  <si>
    <t>Disability</t>
  </si>
  <si>
    <t>DISTRICT STATISTICAL HANDBOOK</t>
  </si>
  <si>
    <t>Social Welfare Homes under M.E.E. Deptt.</t>
  </si>
  <si>
    <t>(a) General Stream(Including independent H.S. School)</t>
  </si>
  <si>
    <t>(b) Vocational Stream(Including independent H.S. School)</t>
  </si>
  <si>
    <r>
      <t xml:space="preserve">District Total </t>
    </r>
    <r>
      <rPr>
        <b/>
        <sz val="10"/>
        <color indexed="60"/>
        <rFont val="Arial"/>
        <family val="2"/>
      </rPr>
      <t xml:space="preserve"> 2011</t>
    </r>
  </si>
  <si>
    <t>Total Live-stock</t>
  </si>
  <si>
    <t>Loans due from individuals &amp; other societies
(Rs. in thousand)</t>
  </si>
  <si>
    <t>PREFACE</t>
  </si>
  <si>
    <t>Dated, Kolkata</t>
  </si>
  <si>
    <t>Bureau of Applied Economics &amp; Statistics</t>
  </si>
  <si>
    <t xml:space="preserve">   Government of West Bengal</t>
  </si>
  <si>
    <t>AIC (including Pranibandhu
 &amp; Co-operatives)</t>
  </si>
  <si>
    <t>Cases
 treated</t>
  </si>
  <si>
    <t xml:space="preserve">Sadar Sub-Division </t>
  </si>
  <si>
    <t>DTW</t>
  </si>
  <si>
    <t>Source : Asstt. Registrar of Co-operative Societies, Malda</t>
  </si>
  <si>
    <t xml:space="preserve">Sources : </t>
  </si>
  <si>
    <t>Private</t>
  </si>
  <si>
    <t>Vasectomy</t>
  </si>
  <si>
    <t>Tubectomy</t>
  </si>
  <si>
    <t>I.U.D.</t>
  </si>
  <si>
    <t>Chanchal 
Sub-Division</t>
  </si>
  <si>
    <t>(Population in Number)</t>
  </si>
  <si>
    <t>Year
(Census)</t>
  </si>
  <si>
    <t>TT(PW)</t>
  </si>
  <si>
    <t>DPT</t>
  </si>
  <si>
    <t>Polio</t>
  </si>
  <si>
    <t>BCG</t>
  </si>
  <si>
    <t>Measles</t>
  </si>
  <si>
    <t>Indoor</t>
  </si>
  <si>
    <t>Outdoor</t>
  </si>
  <si>
    <t>(b) Municipalities / Corporations / Local bodies etc.</t>
  </si>
  <si>
    <t>(c) I.C.S.E./ C.B.S.E./Anglo-Indian &amp; Missionaries etc.</t>
  </si>
  <si>
    <t>(ii)</t>
  </si>
  <si>
    <t>(iii)</t>
  </si>
  <si>
    <t>(i)</t>
  </si>
  <si>
    <t>(iv)</t>
  </si>
  <si>
    <t xml:space="preserve">- </t>
  </si>
  <si>
    <t>5) Each Madrasah</t>
  </si>
  <si>
    <t>6) Colleges of each University</t>
  </si>
  <si>
    <t>Date of
 Establishment</t>
  </si>
  <si>
    <t>Sales
 Tax</t>
  </si>
  <si>
    <t>Stamp Revenue &amp;
 Registration Fees</t>
  </si>
  <si>
    <t>(e) Senior Madrasahs</t>
  </si>
  <si>
    <t>P.C. of Col.(4) to respective total population</t>
  </si>
  <si>
    <t>Engineering / Technical Schools</t>
  </si>
  <si>
    <t>2010-11</t>
  </si>
  <si>
    <t>2009-10</t>
  </si>
  <si>
    <t>Sub-Division / C.D.Block /  M</t>
  </si>
  <si>
    <t>(a) Junior Technical Schools</t>
  </si>
  <si>
    <t>(c) Industrial Training Institutes (ITI)</t>
  </si>
  <si>
    <t>All PTTI &amp; Nursing Training Institutes</t>
  </si>
  <si>
    <t>(a) Pre-primary &amp; Primary Teachers' Training Institutes (PTTI)</t>
  </si>
  <si>
    <t>(b) Certificate oriented Nursing Training Schools</t>
  </si>
  <si>
    <t>Engineering / Medical / Technical Colleges</t>
  </si>
  <si>
    <t>(e) Institute of Pharmacy / Opthalmology</t>
  </si>
  <si>
    <t>Teachers' Training &amp; Nursing Training Colleges</t>
  </si>
  <si>
    <t>(b) Nursing Training Colleges (B.Sc.)</t>
  </si>
  <si>
    <t>(a) Law Colleges</t>
  </si>
  <si>
    <t>(b) Music Colleges</t>
  </si>
  <si>
    <t>Administrative Units</t>
  </si>
  <si>
    <t>Medical Facilities</t>
  </si>
  <si>
    <t>Chanchal
 Sub-Division</t>
  </si>
  <si>
    <t>Sadar
 Sub-Division</t>
  </si>
  <si>
    <t>Mouzas
(2001)</t>
  </si>
  <si>
    <t>2013-14</t>
  </si>
  <si>
    <t>2) District Panchayat &amp; Rural Dev. Officer, Malda</t>
  </si>
  <si>
    <t>2) Collectorate (L.S.G. Cell), Malda</t>
  </si>
  <si>
    <t>Population 
(Number)</t>
  </si>
  <si>
    <t>Density of Population
 (per Sq. Km.)</t>
  </si>
  <si>
    <t>Rural Population</t>
  </si>
  <si>
    <t>Urban Population</t>
  </si>
  <si>
    <t>Total Population</t>
  </si>
  <si>
    <t xml:space="preserve">            P.C. = Percentage to respective total population</t>
  </si>
  <si>
    <t>Note : Total Workers = Main workers + Marginal workers</t>
  </si>
  <si>
    <t>Religious Community</t>
  </si>
  <si>
    <t xml:space="preserve">            Rural </t>
  </si>
  <si>
    <t xml:space="preserve">            Urban</t>
  </si>
  <si>
    <t>Population by religion and by sex in the district of Malda, 2001</t>
  </si>
  <si>
    <t>Each Study Centre of Open University</t>
  </si>
  <si>
    <t>D.I. of Schools (Primary)</t>
  </si>
  <si>
    <t>D.I. of Schools (Secondary)</t>
  </si>
  <si>
    <t>(Thousand hectares)</t>
  </si>
  <si>
    <t>(Thousand tonnes)</t>
  </si>
  <si>
    <t>Hectare</t>
  </si>
  <si>
    <t>Milk (Thousand tonnes)</t>
  </si>
  <si>
    <t>Sum Assured
 (Rs. in crores)</t>
  </si>
  <si>
    <t>No. of 
 Employees</t>
  </si>
  <si>
    <t>Source : Commissioner of Labour, Govt. of W.B.</t>
  </si>
  <si>
    <t>Name of Sub-Division</t>
  </si>
  <si>
    <t>Working capital
 (Rs. in thousand)</t>
  </si>
  <si>
    <t>Loans repayment by individuals &amp; other societies (Rs. in thousand)</t>
  </si>
  <si>
    <t>No. of 
offices</t>
  </si>
  <si>
    <t>Deposits
(Rs. in Crore)</t>
  </si>
  <si>
    <t>Advances
(Rs. in Crore)</t>
  </si>
  <si>
    <t>No. of persons taken loan</t>
  </si>
  <si>
    <t>Manufacture of beverages</t>
  </si>
  <si>
    <t>* n.e.c. = not elsewhere classified</t>
  </si>
  <si>
    <t>Values of Input
(Rs. in Lakh)</t>
  </si>
  <si>
    <t>No. of factories</t>
  </si>
  <si>
    <t>Tea Board of India</t>
  </si>
  <si>
    <t>Hired Workers</t>
  </si>
  <si>
    <t>Total Beds</t>
  </si>
  <si>
    <t>Total Workers</t>
  </si>
  <si>
    <t>Medical Facilities :</t>
  </si>
  <si>
    <t>* Included in "Others"</t>
  </si>
  <si>
    <t>Other Departments
 of Govt. of  W.B.
including State
 Govt. Undertaking</t>
  </si>
  <si>
    <t>Working Capital
( ' 000 Rs.)</t>
  </si>
  <si>
    <t>Agricultural
labourers (2011)</t>
  </si>
  <si>
    <t>Total
 Earning   
( ' 000 Rs.)</t>
  </si>
  <si>
    <t>Statutory Ration Shop</t>
  </si>
  <si>
    <t>Modified Ration Shop</t>
  </si>
  <si>
    <t>Veterinary Personnel</t>
  </si>
  <si>
    <t>All Establishments</t>
  </si>
  <si>
    <t>Consumer Price Index Numbers for Families in all Group Combined index 
in the district of Malda</t>
  </si>
  <si>
    <t>Progress of Statutory and Modified Ration Shops
 in the district of Malda</t>
  </si>
  <si>
    <t>No. of 
Trips conducted</t>
  </si>
  <si>
    <t>(Per cent)</t>
  </si>
  <si>
    <t>Literacy Rate by sex in rural and urban areas</t>
  </si>
  <si>
    <t>No. of
 Tourists Carried</t>
  </si>
  <si>
    <t>(Thousand rupees)</t>
  </si>
  <si>
    <t>P.C. to 
total 
Popu-
lation of 
the 
Block</t>
  </si>
  <si>
    <t>Population by religion in the Blocks of Malda</t>
  </si>
  <si>
    <t>(d) Art Colleges</t>
  </si>
  <si>
    <t xml:space="preserve">Dy. Chief Medical Officer </t>
  </si>
  <si>
    <t>(e) Autonomous Research Institutions of Special Importance</t>
  </si>
  <si>
    <t>(c) Nutrition &amp; Home Science Colleges</t>
  </si>
  <si>
    <t>Sishu Siksha Kendras</t>
  </si>
  <si>
    <t>Adult High Schools</t>
  </si>
  <si>
    <t>Ekalabya Schools</t>
  </si>
  <si>
    <t>Non-formal Education Centres</t>
  </si>
  <si>
    <t>Anganwadi (education) Centres under I.C.D.S.</t>
  </si>
  <si>
    <t>Recognized Sanskrit Tols</t>
  </si>
  <si>
    <t>Institutions</t>
  </si>
  <si>
    <t>Students</t>
  </si>
  <si>
    <t>Teachers</t>
  </si>
  <si>
    <t>(20)</t>
  </si>
  <si>
    <t>(21)</t>
  </si>
  <si>
    <t>(22)</t>
  </si>
  <si>
    <t>TABLE 2.1(b)</t>
  </si>
  <si>
    <t>Free Reading Room</t>
  </si>
  <si>
    <t>Public Library</t>
  </si>
  <si>
    <t>Sitting Capacity (Number)</t>
  </si>
  <si>
    <t>Total Tax Collected (Rs.)</t>
  </si>
  <si>
    <t>Description</t>
  </si>
  <si>
    <t>Daily</t>
  </si>
  <si>
    <t>Weekly</t>
  </si>
  <si>
    <t>Fortnightly</t>
  </si>
  <si>
    <t>Monthly</t>
  </si>
  <si>
    <t>Bengali</t>
  </si>
  <si>
    <t>English</t>
  </si>
  <si>
    <t>Hindi</t>
  </si>
  <si>
    <t>The 17th June, 2016</t>
  </si>
</sst>
</file>

<file path=xl/styles.xml><?xml version="1.0" encoding="utf-8"?>
<styleSheet xmlns="http://schemas.openxmlformats.org/spreadsheetml/2006/main">
  <numFmts count="3">
    <numFmt numFmtId="167" formatCode="0.0"/>
    <numFmt numFmtId="170" formatCode="0.000"/>
    <numFmt numFmtId="190" formatCode="0;[Red]0"/>
  </numFmts>
  <fonts count="153">
    <font>
      <sz val="10"/>
      <name val="Arial"/>
    </font>
    <font>
      <sz val="10"/>
      <name val="Arial"/>
    </font>
    <font>
      <b/>
      <sz val="10"/>
      <name val="Arial"/>
      <family val="2"/>
    </font>
    <font>
      <sz val="10"/>
      <name val="Arial"/>
      <family val="2"/>
    </font>
    <font>
      <u/>
      <sz val="10"/>
      <color indexed="12"/>
      <name val="Arial"/>
      <family val="2"/>
    </font>
    <font>
      <b/>
      <sz val="10"/>
      <name val="Arial Narrow"/>
      <family val="2"/>
    </font>
    <font>
      <sz val="10"/>
      <name val="Arial Narrow"/>
      <family val="2"/>
    </font>
    <font>
      <sz val="9"/>
      <name val="Arial Narrow"/>
      <family val="2"/>
    </font>
    <font>
      <sz val="8"/>
      <name val="Arial Narrow"/>
      <family val="2"/>
    </font>
    <font>
      <sz val="9"/>
      <name val="Arial"/>
      <family val="2"/>
    </font>
    <font>
      <b/>
      <u/>
      <sz val="10"/>
      <name val="Arial"/>
      <family val="2"/>
    </font>
    <font>
      <sz val="18"/>
      <color indexed="53"/>
      <name val="Times New Roman"/>
      <family val="1"/>
    </font>
    <font>
      <sz val="12"/>
      <color indexed="17"/>
      <name val="Times New Roman"/>
      <family val="1"/>
    </font>
    <font>
      <sz val="10"/>
      <color indexed="17"/>
      <name val="Arial"/>
      <family val="2"/>
    </font>
    <font>
      <b/>
      <sz val="10"/>
      <color indexed="14"/>
      <name val="Arial"/>
      <family val="2"/>
    </font>
    <font>
      <sz val="10"/>
      <color indexed="53"/>
      <name val="Arial"/>
      <family val="2"/>
    </font>
    <font>
      <b/>
      <sz val="10"/>
      <color indexed="17"/>
      <name val="Arial"/>
      <family val="2"/>
    </font>
    <font>
      <sz val="10"/>
      <color indexed="46"/>
      <name val="Arial"/>
      <family val="2"/>
    </font>
    <font>
      <b/>
      <sz val="10"/>
      <color indexed="62"/>
      <name val="Arial"/>
      <family val="2"/>
    </font>
    <font>
      <sz val="10"/>
      <color indexed="10"/>
      <name val="Arial"/>
      <family val="2"/>
    </font>
    <font>
      <sz val="10"/>
      <color indexed="48"/>
      <name val="Arial"/>
      <family val="2"/>
    </font>
    <font>
      <sz val="10"/>
      <color indexed="12"/>
      <name val="Arial"/>
      <family val="2"/>
    </font>
    <font>
      <sz val="10"/>
      <color indexed="19"/>
      <name val="Arial"/>
      <family val="2"/>
    </font>
    <font>
      <b/>
      <sz val="14"/>
      <color indexed="61"/>
      <name val="Arial Unicode MS"/>
      <family val="2"/>
    </font>
    <font>
      <sz val="10"/>
      <color indexed="57"/>
      <name val="Arial"/>
      <family val="2"/>
    </font>
    <font>
      <b/>
      <sz val="10"/>
      <color indexed="60"/>
      <name val="Arial"/>
      <family val="2"/>
    </font>
    <font>
      <sz val="10"/>
      <color indexed="50"/>
      <name val="Arial"/>
      <family val="2"/>
    </font>
    <font>
      <b/>
      <sz val="9"/>
      <color indexed="60"/>
      <name val="Arial"/>
      <family val="2"/>
    </font>
    <font>
      <sz val="10"/>
      <color indexed="57"/>
      <name val="Arial Narrow"/>
      <family val="2"/>
    </font>
    <font>
      <sz val="10"/>
      <color indexed="17"/>
      <name val="Arial Narrow"/>
      <family val="2"/>
    </font>
    <font>
      <sz val="10"/>
      <color indexed="10"/>
      <name val="Arial Narrow"/>
      <family val="2"/>
    </font>
    <font>
      <b/>
      <sz val="10"/>
      <color indexed="14"/>
      <name val="Arial Narrow"/>
      <family val="2"/>
    </font>
    <font>
      <b/>
      <sz val="10"/>
      <color indexed="60"/>
      <name val="Arial Narrow"/>
      <family val="2"/>
    </font>
    <font>
      <b/>
      <sz val="10"/>
      <color indexed="53"/>
      <name val="Arial"/>
      <family val="2"/>
    </font>
    <font>
      <sz val="9"/>
      <color indexed="57"/>
      <name val="Arial Narrow"/>
      <family val="2"/>
    </font>
    <font>
      <sz val="10"/>
      <color indexed="57"/>
      <name val="Arial"/>
      <family val="2"/>
    </font>
    <font>
      <sz val="10"/>
      <color indexed="12"/>
      <name val="Arial"/>
      <family val="2"/>
    </font>
    <font>
      <sz val="9"/>
      <color indexed="12"/>
      <name val="Arial Narrow"/>
      <family val="2"/>
    </font>
    <font>
      <b/>
      <sz val="10"/>
      <color indexed="60"/>
      <name val="Arial"/>
      <family val="2"/>
    </font>
    <font>
      <sz val="10"/>
      <color indexed="46"/>
      <name val="Arial Narrow"/>
      <family val="2"/>
    </font>
    <font>
      <b/>
      <sz val="10"/>
      <color indexed="12"/>
      <name val="Arial"/>
      <family val="2"/>
    </font>
    <font>
      <sz val="10"/>
      <color indexed="20"/>
      <name val="Arial"/>
      <family val="2"/>
    </font>
    <font>
      <b/>
      <sz val="10"/>
      <color indexed="10"/>
      <name val="Arial"/>
      <family val="2"/>
    </font>
    <font>
      <sz val="9"/>
      <color indexed="20"/>
      <name val="Arial"/>
      <family val="2"/>
    </font>
    <font>
      <sz val="10"/>
      <color indexed="60"/>
      <name val="Arial"/>
      <family val="2"/>
    </font>
    <font>
      <b/>
      <sz val="10"/>
      <color indexed="48"/>
      <name val="Arial"/>
      <family val="2"/>
    </font>
    <font>
      <sz val="10"/>
      <color indexed="14"/>
      <name val="Arial"/>
      <family val="2"/>
    </font>
    <font>
      <sz val="9"/>
      <color indexed="19"/>
      <name val="Arial"/>
      <family val="2"/>
    </font>
    <font>
      <sz val="10"/>
      <color indexed="62"/>
      <name val="Arial"/>
      <family val="2"/>
    </font>
    <font>
      <sz val="10"/>
      <color indexed="53"/>
      <name val="Arial Narrow"/>
      <family val="2"/>
    </font>
    <font>
      <b/>
      <sz val="10"/>
      <color indexed="57"/>
      <name val="Arial"/>
      <family val="2"/>
    </font>
    <font>
      <sz val="10"/>
      <color indexed="14"/>
      <name val="Arial"/>
      <family val="2"/>
    </font>
    <font>
      <b/>
      <u/>
      <sz val="10"/>
      <color indexed="10"/>
      <name val="Arial"/>
      <family val="2"/>
    </font>
    <font>
      <sz val="10"/>
      <color indexed="10"/>
      <name val="Arial"/>
      <family val="2"/>
    </font>
    <font>
      <i/>
      <sz val="10"/>
      <color indexed="10"/>
      <name val="Arial"/>
      <family val="2"/>
    </font>
    <font>
      <sz val="10"/>
      <color indexed="19"/>
      <name val="Arial Narrow"/>
      <family val="2"/>
    </font>
    <font>
      <sz val="9"/>
      <color indexed="19"/>
      <name val="Arial Narrow"/>
      <family val="2"/>
    </font>
    <font>
      <sz val="10"/>
      <color indexed="52"/>
      <name val="Arial"/>
      <family val="2"/>
    </font>
    <font>
      <sz val="9"/>
      <color indexed="53"/>
      <name val="Arial"/>
      <family val="2"/>
    </font>
    <font>
      <sz val="9"/>
      <color indexed="52"/>
      <name val="Arial"/>
      <family val="2"/>
    </font>
    <font>
      <b/>
      <sz val="10"/>
      <color indexed="20"/>
      <name val="Arial"/>
      <family val="2"/>
    </font>
    <font>
      <b/>
      <sz val="10"/>
      <color indexed="19"/>
      <name val="Arial"/>
      <family val="2"/>
    </font>
    <font>
      <b/>
      <sz val="28"/>
      <color indexed="17"/>
      <name val="Arial Narrow"/>
      <family val="2"/>
    </font>
    <font>
      <b/>
      <sz val="28"/>
      <color indexed="60"/>
      <name val="Arial"/>
      <family val="2"/>
    </font>
    <font>
      <b/>
      <sz val="36"/>
      <color indexed="10"/>
      <name val="Arial"/>
      <family val="2"/>
    </font>
    <font>
      <b/>
      <u/>
      <sz val="26"/>
      <color indexed="17"/>
      <name val="Monotype Corsiva"/>
      <family val="4"/>
    </font>
    <font>
      <b/>
      <u/>
      <sz val="20"/>
      <color indexed="17"/>
      <name val="Arial"/>
      <family val="2"/>
    </font>
    <font>
      <sz val="14"/>
      <color indexed="20"/>
      <name val="Monotype Corsiva"/>
      <family val="4"/>
    </font>
    <font>
      <sz val="10"/>
      <color indexed="20"/>
      <name val="Arial"/>
      <family val="2"/>
    </font>
    <font>
      <sz val="10"/>
      <color indexed="17"/>
      <name val="Times New Roman"/>
      <family val="1"/>
    </font>
    <font>
      <sz val="9"/>
      <color indexed="57"/>
      <name val="Arial"/>
      <family val="2"/>
    </font>
    <font>
      <sz val="10"/>
      <name val="Arial"/>
      <family val="2"/>
    </font>
    <font>
      <b/>
      <u/>
      <sz val="14"/>
      <color indexed="60"/>
      <name val="Arial"/>
      <family val="2"/>
    </font>
    <font>
      <sz val="10"/>
      <color indexed="16"/>
      <name val="Arial"/>
      <family val="2"/>
    </font>
    <font>
      <sz val="10"/>
      <color indexed="56"/>
      <name val="Arial"/>
      <family val="2"/>
    </font>
    <font>
      <b/>
      <sz val="10"/>
      <color indexed="16"/>
      <name val="Arial"/>
      <family val="2"/>
    </font>
    <font>
      <b/>
      <sz val="13"/>
      <color indexed="62"/>
      <name val="Times New Roman"/>
      <family val="1"/>
    </font>
    <font>
      <sz val="9"/>
      <color indexed="46"/>
      <name val="Arial Narrow"/>
      <family val="2"/>
    </font>
    <font>
      <sz val="13"/>
      <color indexed="62"/>
      <name val="Times New Roman"/>
      <family val="1"/>
    </font>
    <font>
      <sz val="10"/>
      <color indexed="12"/>
      <name val="Arial Narrow"/>
      <family val="2"/>
    </font>
    <font>
      <sz val="10"/>
      <color indexed="20"/>
      <name val="Arial Narrow"/>
      <family val="2"/>
    </font>
    <font>
      <b/>
      <sz val="80"/>
      <color indexed="17"/>
      <name val="Times New Roman TUR"/>
      <family val="1"/>
      <charset val="162"/>
    </font>
    <font>
      <sz val="9"/>
      <color indexed="12"/>
      <name val="Arial"/>
      <family val="2"/>
    </font>
    <font>
      <b/>
      <sz val="13"/>
      <name val="Times New Roman"/>
      <family val="1"/>
    </font>
    <font>
      <b/>
      <sz val="13"/>
      <color indexed="14"/>
      <name val="Times New Roman"/>
      <family val="1"/>
    </font>
    <font>
      <sz val="8"/>
      <name val="Arial"/>
      <family val="2"/>
    </font>
    <font>
      <sz val="24"/>
      <name val="Arial"/>
      <family val="2"/>
    </font>
    <font>
      <b/>
      <sz val="13"/>
      <color indexed="60"/>
      <name val="Times New Roman"/>
      <family val="1"/>
    </font>
    <font>
      <sz val="9"/>
      <color indexed="16"/>
      <name val="Arial"/>
      <family val="2"/>
    </font>
    <font>
      <sz val="9"/>
      <color indexed="62"/>
      <name val="Arial"/>
      <family val="2"/>
    </font>
    <font>
      <sz val="9"/>
      <color indexed="10"/>
      <name val="Arial"/>
      <family val="2"/>
    </font>
    <font>
      <sz val="10"/>
      <color indexed="61"/>
      <name val="Arial"/>
      <family val="2"/>
    </font>
    <font>
      <sz val="9"/>
      <color indexed="17"/>
      <name val="Arial"/>
      <family val="2"/>
    </font>
    <font>
      <sz val="10"/>
      <color indexed="16"/>
      <name val="Arial"/>
      <family val="2"/>
    </font>
    <font>
      <sz val="10"/>
      <color indexed="21"/>
      <name val="Arial"/>
      <family val="2"/>
    </font>
    <font>
      <sz val="10"/>
      <color indexed="9"/>
      <name val="Arial"/>
      <family val="2"/>
    </font>
    <font>
      <sz val="10"/>
      <color indexed="61"/>
      <name val="Arial"/>
      <family val="2"/>
    </font>
    <font>
      <sz val="10"/>
      <color indexed="60"/>
      <name val="Arial"/>
      <family val="2"/>
    </font>
    <font>
      <b/>
      <u/>
      <sz val="10"/>
      <color indexed="12"/>
      <name val="Arial"/>
      <family val="2"/>
    </font>
    <font>
      <b/>
      <sz val="8"/>
      <color indexed="60"/>
      <name val="Arial"/>
      <family val="2"/>
    </font>
    <font>
      <b/>
      <sz val="9"/>
      <color indexed="17"/>
      <name val="Arial"/>
      <family val="2"/>
    </font>
    <font>
      <sz val="9"/>
      <color indexed="60"/>
      <name val="Arial"/>
      <family val="2"/>
    </font>
    <font>
      <sz val="9"/>
      <color indexed="49"/>
      <name val="Arial"/>
      <family val="2"/>
    </font>
    <font>
      <b/>
      <sz val="13"/>
      <color indexed="12"/>
      <name val="Times New Roman"/>
      <family val="1"/>
    </font>
    <font>
      <sz val="12"/>
      <name val="Arial"/>
      <family val="2"/>
    </font>
    <font>
      <sz val="14"/>
      <color indexed="20"/>
      <name val="Times New Roman"/>
      <family val="1"/>
    </font>
    <font>
      <sz val="14"/>
      <name val="Times New Roman"/>
      <family val="1"/>
    </font>
    <font>
      <sz val="10"/>
      <name val="Times New Roman"/>
      <family val="1"/>
    </font>
    <font>
      <b/>
      <u/>
      <sz val="10"/>
      <color indexed="48"/>
      <name val="Arial"/>
      <family val="2"/>
    </font>
    <font>
      <sz val="9"/>
      <color indexed="50"/>
      <name val="Arial"/>
      <family val="2"/>
    </font>
    <font>
      <sz val="9"/>
      <name val="Arial"/>
      <family val="2"/>
    </font>
    <font>
      <sz val="9"/>
      <color indexed="14"/>
      <name val="Arial"/>
      <family val="2"/>
    </font>
    <font>
      <sz val="9"/>
      <color indexed="19"/>
      <name val="Arial"/>
      <family val="2"/>
    </font>
    <font>
      <sz val="9"/>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3"/>
      <color indexed="18"/>
      <name val="Times New Roman"/>
      <family val="1"/>
    </font>
    <font>
      <sz val="16"/>
      <color indexed="53"/>
      <name val="Times New Roman"/>
      <family val="1"/>
    </font>
    <font>
      <sz val="12"/>
      <color indexed="53"/>
      <name val="Times New Roman"/>
      <family val="1"/>
    </font>
    <font>
      <b/>
      <sz val="18"/>
      <color indexed="53"/>
      <name val="Times New Roman"/>
      <family val="1"/>
    </font>
    <font>
      <sz val="12"/>
      <color indexed="14"/>
      <name val="Times New Roman"/>
      <family val="1"/>
    </font>
    <font>
      <sz val="12"/>
      <name val="Arial"/>
      <family val="2"/>
    </font>
    <font>
      <b/>
      <u/>
      <sz val="20"/>
      <name val="Times New Roman"/>
      <family val="1"/>
    </font>
    <font>
      <b/>
      <sz val="11"/>
      <color indexed="18"/>
      <name val="Arial"/>
      <family val="2"/>
    </font>
    <font>
      <u/>
      <sz val="10"/>
      <color indexed="60"/>
      <name val="Arial"/>
      <family val="2"/>
    </font>
    <font>
      <b/>
      <u/>
      <sz val="12"/>
      <name val="Times New Roman"/>
      <family val="1"/>
    </font>
    <font>
      <sz val="10"/>
      <color indexed="8"/>
      <name val="Arial"/>
      <family val="2"/>
    </font>
    <font>
      <sz val="10"/>
      <color indexed="8"/>
      <name val="Arial"/>
      <family val="2"/>
    </font>
    <font>
      <sz val="9"/>
      <color indexed="8"/>
      <name val="Arial"/>
      <family val="2"/>
    </font>
    <font>
      <vertAlign val="superscript"/>
      <sz val="9"/>
      <color indexed="8"/>
      <name val="Arial"/>
      <family val="2"/>
    </font>
    <font>
      <sz val="10"/>
      <color indexed="8"/>
      <name val="Arial"/>
      <family val="2"/>
    </font>
    <font>
      <sz val="9"/>
      <color indexed="8"/>
      <name val="Arial"/>
      <family val="2"/>
    </font>
    <font>
      <b/>
      <sz val="10"/>
      <color indexed="10"/>
      <name val="Arial"/>
      <family val="2"/>
    </font>
    <font>
      <b/>
      <sz val="10"/>
      <color indexed="18"/>
      <name val="Arial"/>
      <family val="2"/>
    </font>
    <font>
      <vertAlign val="superscript"/>
      <sz val="10"/>
      <name val="Arial"/>
      <family val="2"/>
    </font>
    <font>
      <vertAlign val="superscript"/>
      <sz val="10"/>
      <name val="Arial"/>
      <family val="2"/>
    </font>
    <font>
      <sz val="9"/>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45">
    <xf numFmtId="0" fontId="0" fillId="0" borderId="0"/>
    <xf numFmtId="0" fontId="114" fillId="2"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5" borderId="0" applyNumberFormat="0" applyBorder="0" applyAlignment="0" applyProtection="0"/>
    <xf numFmtId="0" fontId="114" fillId="8" borderId="0" applyNumberFormat="0" applyBorder="0" applyAlignment="0" applyProtection="0"/>
    <xf numFmtId="0" fontId="114" fillId="11" borderId="0" applyNumberFormat="0" applyBorder="0" applyAlignment="0" applyProtection="0"/>
    <xf numFmtId="0" fontId="115" fillId="12" borderId="0" applyNumberFormat="0" applyBorder="0" applyAlignment="0" applyProtection="0"/>
    <xf numFmtId="0" fontId="115" fillId="9" borderId="0" applyNumberFormat="0" applyBorder="0" applyAlignment="0" applyProtection="0"/>
    <xf numFmtId="0" fontId="115" fillId="10" borderId="0" applyNumberFormat="0" applyBorder="0" applyAlignment="0" applyProtection="0"/>
    <xf numFmtId="0" fontId="115"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3" borderId="0" applyNumberFormat="0" applyBorder="0" applyAlignment="0" applyProtection="0"/>
    <xf numFmtId="0" fontId="115" fillId="14" borderId="0" applyNumberFormat="0" applyBorder="0" applyAlignment="0" applyProtection="0"/>
    <xf numFmtId="0" fontId="115" fillId="19" borderId="0" applyNumberFormat="0" applyBorder="0" applyAlignment="0" applyProtection="0"/>
    <xf numFmtId="0" fontId="116" fillId="3" borderId="0" applyNumberFormat="0" applyBorder="0" applyAlignment="0" applyProtection="0"/>
    <xf numFmtId="0" fontId="117" fillId="20" borderId="1" applyNumberFormat="0" applyAlignment="0" applyProtection="0"/>
    <xf numFmtId="0" fontId="118" fillId="21" borderId="2" applyNumberFormat="0" applyAlignment="0" applyProtection="0"/>
    <xf numFmtId="0" fontId="119" fillId="0" borderId="0" applyNumberFormat="0" applyFill="0" applyBorder="0" applyAlignment="0" applyProtection="0"/>
    <xf numFmtId="0" fontId="120" fillId="4" borderId="0" applyNumberFormat="0" applyBorder="0" applyAlignment="0" applyProtection="0"/>
    <xf numFmtId="0" fontId="121" fillId="0" borderId="3" applyNumberFormat="0" applyFill="0" applyAlignment="0" applyProtection="0"/>
    <xf numFmtId="0" fontId="122" fillId="0" borderId="4" applyNumberFormat="0" applyFill="0" applyAlignment="0" applyProtection="0"/>
    <xf numFmtId="0" fontId="123" fillId="0" borderId="5" applyNumberFormat="0" applyFill="0" applyAlignment="0" applyProtection="0"/>
    <xf numFmtId="0" fontId="123" fillId="0" borderId="0" applyNumberFormat="0" applyFill="0" applyBorder="0" applyAlignment="0" applyProtection="0"/>
    <xf numFmtId="0" fontId="4" fillId="0" borderId="0" applyNumberFormat="0" applyFill="0" applyBorder="0" applyAlignment="0" applyProtection="0">
      <alignment vertical="top"/>
      <protection locked="0"/>
    </xf>
    <xf numFmtId="0" fontId="124" fillId="7" borderId="1" applyNumberFormat="0" applyAlignment="0" applyProtection="0"/>
    <xf numFmtId="0" fontId="125" fillId="0" borderId="6" applyNumberFormat="0" applyFill="0" applyAlignment="0" applyProtection="0"/>
    <xf numFmtId="0" fontId="126" fillId="22" borderId="0" applyNumberFormat="0" applyBorder="0" applyAlignment="0" applyProtection="0"/>
    <xf numFmtId="0" fontId="143" fillId="0" borderId="0"/>
    <xf numFmtId="0" fontId="142" fillId="0" borderId="0"/>
    <xf numFmtId="0" fontId="1" fillId="23" borderId="7" applyNumberFormat="0" applyFont="0" applyAlignment="0" applyProtection="0"/>
    <xf numFmtId="0" fontId="127" fillId="20" borderId="8" applyNumberFormat="0" applyAlignment="0" applyProtection="0"/>
    <xf numFmtId="0" fontId="128" fillId="0" borderId="0" applyNumberFormat="0" applyFill="0" applyBorder="0" applyAlignment="0" applyProtection="0"/>
    <xf numFmtId="0" fontId="129" fillId="0" borderId="9" applyNumberFormat="0" applyFill="0" applyAlignment="0" applyProtection="0"/>
    <xf numFmtId="0" fontId="130" fillId="0" borderId="0" applyNumberFormat="0" applyFill="0" applyBorder="0" applyAlignment="0" applyProtection="0"/>
  </cellStyleXfs>
  <cellXfs count="1953">
    <xf numFmtId="0" fontId="0" fillId="0" borderId="0" xfId="0"/>
    <xf numFmtId="0" fontId="0" fillId="0" borderId="0" xfId="0" applyAlignment="1">
      <alignment horizontal="center"/>
    </xf>
    <xf numFmtId="0" fontId="0" fillId="0" borderId="0" xfId="0" applyAlignment="1"/>
    <xf numFmtId="0" fontId="0" fillId="0" borderId="0" xfId="0" applyAlignment="1">
      <alignment horizontal="left"/>
    </xf>
    <xf numFmtId="0" fontId="0" fillId="0" borderId="10" xfId="0" applyBorder="1"/>
    <xf numFmtId="0" fontId="2" fillId="0" borderId="0" xfId="0" applyFont="1"/>
    <xf numFmtId="0" fontId="3" fillId="0" borderId="0" xfId="0" applyFont="1"/>
    <xf numFmtId="0" fontId="0" fillId="0" borderId="0" xfId="0" applyBorder="1"/>
    <xf numFmtId="0" fontId="0" fillId="0" borderId="0" xfId="0" applyBorder="1" applyAlignment="1">
      <alignment horizontal="center"/>
    </xf>
    <xf numFmtId="0" fontId="0" fillId="0" borderId="0" xfId="0" applyAlignment="1">
      <alignment horizontal="right"/>
    </xf>
    <xf numFmtId="0" fontId="0" fillId="0" borderId="0" xfId="0" applyFill="1" applyBorder="1" applyAlignment="1">
      <alignment horizontal="left"/>
    </xf>
    <xf numFmtId="0" fontId="6" fillId="0" borderId="0" xfId="0" applyFont="1"/>
    <xf numFmtId="0" fontId="6" fillId="0" borderId="10" xfId="0" applyFont="1" applyBorder="1"/>
    <xf numFmtId="0" fontId="6" fillId="0" borderId="0" xfId="0" applyFont="1" applyBorder="1"/>
    <xf numFmtId="0" fontId="6" fillId="0" borderId="0" xfId="0" applyFont="1" applyAlignment="1">
      <alignment horizontal="center" vertical="center"/>
    </xf>
    <xf numFmtId="0" fontId="0" fillId="0" borderId="0" xfId="0" applyFill="1" applyBorder="1" applyAlignment="1">
      <alignment horizontal="right"/>
    </xf>
    <xf numFmtId="0" fontId="0" fillId="0" borderId="0" xfId="0" applyBorder="1" applyAlignment="1">
      <alignment horizontal="right"/>
    </xf>
    <xf numFmtId="0" fontId="0" fillId="0" borderId="0" xfId="0" quotePrefix="1"/>
    <xf numFmtId="0" fontId="3" fillId="0" borderId="10" xfId="0" applyFont="1" applyBorder="1"/>
    <xf numFmtId="0" fontId="2" fillId="0" borderId="10" xfId="0" applyFont="1" applyBorder="1"/>
    <xf numFmtId="0" fontId="0" fillId="0" borderId="0" xfId="0" applyAlignment="1">
      <alignment vertical="top" wrapText="1"/>
    </xf>
    <xf numFmtId="0" fontId="0" fillId="0" borderId="0" xfId="0" applyBorder="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0" fillId="0" borderId="0" xfId="0" applyAlignment="1">
      <alignment vertical="top"/>
    </xf>
    <xf numFmtId="0" fontId="9" fillId="0" borderId="0" xfId="0" applyFont="1"/>
    <xf numFmtId="0" fontId="6" fillId="0" borderId="0" xfId="0" applyFont="1" applyAlignment="1">
      <alignment horizontal="right"/>
    </xf>
    <xf numFmtId="0" fontId="2" fillId="0" borderId="0" xfId="0" applyFont="1" applyBorder="1" applyAlignment="1">
      <alignment horizontal="center" vertical="top"/>
    </xf>
    <xf numFmtId="0" fontId="4" fillId="0" borderId="0" xfId="34" applyAlignment="1" applyProtection="1"/>
    <xf numFmtId="0" fontId="0" fillId="0" borderId="10" xfId="0" applyBorder="1" applyAlignment="1">
      <alignment horizontal="center" vertical="center"/>
    </xf>
    <xf numFmtId="0" fontId="6" fillId="0" borderId="10" xfId="0" applyFont="1" applyBorder="1" applyAlignment="1">
      <alignment horizontal="center"/>
    </xf>
    <xf numFmtId="0" fontId="0" fillId="0" borderId="11" xfId="0" applyBorder="1"/>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Fill="1" applyBorder="1"/>
    <xf numFmtId="0" fontId="0" fillId="0" borderId="0" xfId="0" quotePrefix="1" applyBorder="1"/>
    <xf numFmtId="0" fontId="0" fillId="0" borderId="0" xfId="0" applyAlignment="1">
      <alignment horizontal="left" vertical="top"/>
    </xf>
    <xf numFmtId="0" fontId="2" fillId="0" borderId="10" xfId="0" applyFont="1" applyBorder="1" applyAlignment="1">
      <alignment horizontal="center" vertical="top" wrapText="1"/>
    </xf>
    <xf numFmtId="0" fontId="3" fillId="0" borderId="0" xfId="0" applyFont="1" applyBorder="1"/>
    <xf numFmtId="0" fontId="2" fillId="0" borderId="10" xfId="0" applyFont="1" applyBorder="1" applyAlignment="1">
      <alignment horizontal="center" vertical="center"/>
    </xf>
    <xf numFmtId="0" fontId="3" fillId="0" borderId="0" xfId="0" applyFont="1" applyAlignment="1">
      <alignment horizontal="right"/>
    </xf>
    <xf numFmtId="0" fontId="0" fillId="0" borderId="0" xfId="0" applyBorder="1" applyAlignment="1">
      <alignment horizontal="center" vertical="center"/>
    </xf>
    <xf numFmtId="0" fontId="0" fillId="0" borderId="12" xfId="0" applyBorder="1" applyAlignment="1">
      <alignment horizontal="center"/>
    </xf>
    <xf numFmtId="0" fontId="9" fillId="0" borderId="0" xfId="0" applyFont="1" applyBorder="1"/>
    <xf numFmtId="0" fontId="0" fillId="0" borderId="13" xfId="0" applyBorder="1" applyAlignment="1">
      <alignment horizontal="center" vertical="center"/>
    </xf>
    <xf numFmtId="0" fontId="0" fillId="0" borderId="12" xfId="0" applyBorder="1" applyAlignment="1">
      <alignment horizontal="center" vertical="center"/>
    </xf>
    <xf numFmtId="0" fontId="6" fillId="0" borderId="0" xfId="0" applyFont="1" applyBorder="1" applyAlignment="1"/>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Protection="1">
      <protection locked="0"/>
    </xf>
    <xf numFmtId="0" fontId="0" fillId="0" borderId="0" xfId="0" applyProtection="1">
      <protection locked="0"/>
    </xf>
    <xf numFmtId="0" fontId="0" fillId="0" borderId="10" xfId="0" applyBorder="1" applyProtection="1">
      <protection locked="0"/>
    </xf>
    <xf numFmtId="0" fontId="0" fillId="0" borderId="16" xfId="0" applyBorder="1" applyAlignment="1">
      <alignment horizontal="left"/>
    </xf>
    <xf numFmtId="0" fontId="0" fillId="0" borderId="0" xfId="0" applyAlignment="1" applyProtection="1">
      <alignment horizontal="right"/>
      <protection locked="0"/>
    </xf>
    <xf numFmtId="0" fontId="0" fillId="0" borderId="0" xfId="0" applyAlignment="1" applyProtection="1">
      <alignment horizontal="left"/>
      <protection locked="0"/>
    </xf>
    <xf numFmtId="0" fontId="0" fillId="0" borderId="15" xfId="0" applyBorder="1" applyAlignment="1" applyProtection="1">
      <alignment horizontal="right"/>
      <protection locked="0"/>
    </xf>
    <xf numFmtId="0" fontId="0" fillId="0" borderId="0" xfId="0" applyBorder="1" applyAlignment="1" applyProtection="1">
      <alignment horizontal="left"/>
      <protection locked="0"/>
    </xf>
    <xf numFmtId="0" fontId="0" fillId="0" borderId="0" xfId="0" applyBorder="1" applyAlignment="1" applyProtection="1">
      <alignment horizontal="center"/>
      <protection locked="0"/>
    </xf>
    <xf numFmtId="0" fontId="6" fillId="0" borderId="0" xfId="0" applyFont="1" applyProtection="1">
      <protection locked="0"/>
    </xf>
    <xf numFmtId="0" fontId="6" fillId="0" borderId="0" xfId="0" applyFont="1" applyBorder="1" applyProtection="1">
      <protection locked="0"/>
    </xf>
    <xf numFmtId="0" fontId="3" fillId="0" borderId="0" xfId="0" applyFont="1" applyProtection="1">
      <protection locked="0"/>
    </xf>
    <xf numFmtId="0" fontId="0" fillId="0" borderId="0" xfId="0" applyAlignment="1" applyProtection="1">
      <alignment vertical="top" wrapText="1"/>
      <protection locked="0"/>
    </xf>
    <xf numFmtId="0" fontId="0" fillId="0" borderId="0" xfId="0" applyAlignment="1" applyProtection="1">
      <protection locked="0"/>
    </xf>
    <xf numFmtId="0" fontId="0" fillId="0" borderId="17" xfId="0" applyBorder="1"/>
    <xf numFmtId="1" fontId="3" fillId="0" borderId="0" xfId="0" applyNumberFormat="1" applyFont="1"/>
    <xf numFmtId="2" fontId="0" fillId="0" borderId="0" xfId="0" applyNumberFormat="1" applyBorder="1" applyAlignment="1">
      <alignment horizontal="center"/>
    </xf>
    <xf numFmtId="0" fontId="0" fillId="0" borderId="0" xfId="0" applyAlignment="1" applyProtection="1">
      <alignment horizontal="center"/>
      <protection locked="0"/>
    </xf>
    <xf numFmtId="0" fontId="0" fillId="0" borderId="0" xfId="0" applyBorder="1" applyAlignment="1" applyProtection="1">
      <alignment horizontal="right"/>
      <protection locked="0"/>
    </xf>
    <xf numFmtId="0" fontId="0" fillId="0" borderId="0" xfId="0" applyProtection="1"/>
    <xf numFmtId="0" fontId="7" fillId="0" borderId="0" xfId="0" applyFont="1"/>
    <xf numFmtId="1" fontId="7" fillId="0" borderId="0" xfId="0" applyNumberFormat="1" applyFont="1"/>
    <xf numFmtId="0" fontId="6" fillId="0" borderId="0" xfId="0" applyFont="1" applyBorder="1" applyAlignment="1">
      <alignment horizontal="right"/>
    </xf>
    <xf numFmtId="0" fontId="6" fillId="0" borderId="0" xfId="0" applyFont="1" applyAlignment="1">
      <alignment horizontal="center"/>
    </xf>
    <xf numFmtId="0" fontId="6" fillId="0" borderId="0" xfId="0" applyFont="1" applyBorder="1" applyAlignment="1">
      <alignment horizontal="center"/>
    </xf>
    <xf numFmtId="2" fontId="0" fillId="0" borderId="0" xfId="0" applyNumberFormat="1" applyAlignment="1">
      <alignment horizontal="center"/>
    </xf>
    <xf numFmtId="167" fontId="6" fillId="0" borderId="0" xfId="0" applyNumberFormat="1" applyFont="1" applyBorder="1"/>
    <xf numFmtId="167" fontId="8" fillId="0" borderId="0" xfId="0" applyNumberFormat="1" applyFont="1" applyBorder="1"/>
    <xf numFmtId="0" fontId="3" fillId="0" borderId="0" xfId="0" applyFont="1" applyBorder="1" applyProtection="1">
      <protection locked="0"/>
    </xf>
    <xf numFmtId="0" fontId="3" fillId="0" borderId="0" xfId="0" applyFont="1" applyBorder="1" applyAlignment="1">
      <alignment horizontal="right"/>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Border="1" applyAlignment="1">
      <alignment vertical="top" wrapText="1"/>
    </xf>
    <xf numFmtId="0" fontId="0" fillId="0" borderId="0" xfId="0" applyBorder="1" applyAlignment="1">
      <alignment vertical="top"/>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horizontal="right" vertical="top"/>
    </xf>
    <xf numFmtId="0" fontId="6" fillId="0" borderId="0" xfId="0" applyFont="1" applyBorder="1" applyAlignment="1">
      <alignment vertical="center"/>
    </xf>
    <xf numFmtId="0" fontId="3" fillId="0" borderId="0" xfId="0" applyFont="1" applyBorder="1" applyAlignment="1"/>
    <xf numFmtId="0" fontId="6" fillId="0" borderId="0" xfId="0" applyFont="1" applyBorder="1" applyAlignment="1" applyProtection="1">
      <protection locked="0"/>
    </xf>
    <xf numFmtId="2" fontId="7" fillId="0" borderId="0" xfId="0" applyNumberFormat="1" applyFont="1" applyBorder="1" applyAlignment="1">
      <alignment horizontal="center" vertical="top"/>
    </xf>
    <xf numFmtId="0" fontId="0" fillId="0" borderId="0" xfId="0" applyBorder="1" applyAlignment="1" applyProtection="1">
      <alignment vertical="center"/>
      <protection locked="0"/>
    </xf>
    <xf numFmtId="0" fontId="7" fillId="0" borderId="0" xfId="0" applyFont="1" applyBorder="1"/>
    <xf numFmtId="1" fontId="7" fillId="0" borderId="0" xfId="0" applyNumberFormat="1" applyFont="1" applyBorder="1"/>
    <xf numFmtId="0" fontId="0" fillId="0" borderId="19" xfId="0" applyBorder="1" applyAlignment="1">
      <alignment horizontal="center" vertical="center"/>
    </xf>
    <xf numFmtId="0" fontId="14" fillId="0" borderId="16" xfId="0" applyFont="1" applyBorder="1" applyAlignment="1">
      <alignment horizontal="left"/>
    </xf>
    <xf numFmtId="0" fontId="19"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16" xfId="0" applyBorder="1" applyAlignment="1">
      <alignment horizontal="center" vertical="center"/>
    </xf>
    <xf numFmtId="0" fontId="17" fillId="0" borderId="18" xfId="0" quotePrefix="1" applyFont="1" applyBorder="1" applyAlignment="1">
      <alignment horizontal="center" vertical="center"/>
    </xf>
    <xf numFmtId="0" fontId="17" fillId="0" borderId="19" xfId="0" quotePrefix="1" applyFont="1" applyBorder="1" applyAlignment="1">
      <alignment horizontal="center" vertical="center"/>
    </xf>
    <xf numFmtId="0" fontId="18" fillId="0" borderId="17" xfId="0" applyFont="1" applyBorder="1" applyAlignment="1">
      <alignment vertical="center"/>
    </xf>
    <xf numFmtId="0" fontId="20" fillId="0" borderId="17" xfId="0" applyFont="1" applyBorder="1" applyAlignment="1">
      <alignment vertical="center"/>
    </xf>
    <xf numFmtId="0" fontId="14" fillId="0" borderId="16" xfId="0" applyFont="1" applyBorder="1" applyAlignment="1">
      <alignment horizontal="center" vertical="center"/>
    </xf>
    <xf numFmtId="2" fontId="0" fillId="0" borderId="16" xfId="0" applyNumberFormat="1" applyBorder="1" applyAlignment="1">
      <alignment horizontal="center" vertical="center"/>
    </xf>
    <xf numFmtId="1" fontId="0" fillId="0" borderId="16" xfId="0" applyNumberFormat="1" applyBorder="1" applyAlignment="1">
      <alignment horizontal="center" vertical="center"/>
    </xf>
    <xf numFmtId="0" fontId="13" fillId="0" borderId="17" xfId="0" quotePrefix="1" applyFont="1" applyBorder="1" applyAlignment="1">
      <alignment horizontal="center" vertical="center"/>
    </xf>
    <xf numFmtId="0" fontId="20" fillId="0" borderId="17" xfId="0" applyFont="1" applyBorder="1" applyAlignment="1">
      <alignment vertical="center" wrapText="1"/>
    </xf>
    <xf numFmtId="0" fontId="20" fillId="0" borderId="18" xfId="0" applyFont="1" applyBorder="1" applyAlignment="1">
      <alignment vertical="center"/>
    </xf>
    <xf numFmtId="0" fontId="19" fillId="0" borderId="18" xfId="0" applyFont="1" applyBorder="1" applyAlignment="1">
      <alignment horizontal="center" vertical="center"/>
    </xf>
    <xf numFmtId="0" fontId="13" fillId="0" borderId="18" xfId="0" applyFont="1" applyBorder="1" applyAlignment="1">
      <alignment horizontal="center" vertical="center"/>
    </xf>
    <xf numFmtId="2" fontId="0" fillId="0" borderId="19" xfId="0" applyNumberFormat="1" applyBorder="1" applyAlignment="1">
      <alignment horizontal="center" vertical="center"/>
    </xf>
    <xf numFmtId="0" fontId="0" fillId="0" borderId="1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1" xfId="0" applyBorder="1" applyAlignment="1">
      <alignment horizontal="center" vertical="center"/>
    </xf>
    <xf numFmtId="0" fontId="3" fillId="0" borderId="16" xfId="0" applyFont="1" applyBorder="1" applyAlignment="1">
      <alignment horizontal="center"/>
    </xf>
    <xf numFmtId="0" fontId="0" fillId="0" borderId="21" xfId="0" applyBorder="1" applyAlignment="1">
      <alignment horizontal="center" vertical="center"/>
    </xf>
    <xf numFmtId="2" fontId="0" fillId="0" borderId="16" xfId="0" quotePrefix="1" applyNumberFormat="1" applyBorder="1" applyAlignment="1" applyProtection="1">
      <alignment horizontal="center" vertical="center"/>
      <protection locked="0"/>
    </xf>
    <xf numFmtId="167" fontId="0" fillId="0" borderId="11" xfId="0" applyNumberFormat="1" applyBorder="1" applyAlignment="1">
      <alignment horizontal="center" vertical="center"/>
    </xf>
    <xf numFmtId="167" fontId="0" fillId="0" borderId="0" xfId="0" applyNumberFormat="1" applyBorder="1" applyAlignment="1">
      <alignment horizontal="center" vertical="center"/>
    </xf>
    <xf numFmtId="0" fontId="0" fillId="0" borderId="22" xfId="0" applyBorder="1" applyAlignment="1">
      <alignment horizontal="center" vertical="center"/>
    </xf>
    <xf numFmtId="0" fontId="9" fillId="0" borderId="0" xfId="0" applyFont="1" applyAlignment="1"/>
    <xf numFmtId="2" fontId="0" fillId="0" borderId="17" xfId="0" applyNumberFormat="1" applyBorder="1" applyAlignment="1">
      <alignment horizontal="center" vertical="center"/>
    </xf>
    <xf numFmtId="2" fontId="0" fillId="0" borderId="17" xfId="0" applyNumberFormat="1" applyBorder="1" applyAlignment="1" applyProtection="1">
      <alignment horizontal="center" vertical="center"/>
      <protection locked="0"/>
    </xf>
    <xf numFmtId="2" fontId="0" fillId="0" borderId="18" xfId="0" applyNumberForma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23" xfId="0" applyBorder="1" applyAlignment="1">
      <alignment horizontal="center" vertical="center"/>
    </xf>
    <xf numFmtId="0" fontId="17" fillId="0" borderId="12" xfId="0" quotePrefix="1" applyFont="1" applyBorder="1" applyAlignment="1">
      <alignment horizontal="center"/>
    </xf>
    <xf numFmtId="0" fontId="0" fillId="0" borderId="20" xfId="0" applyBorder="1" applyAlignment="1" applyProtection="1">
      <alignment horizontal="center" vertical="center"/>
      <protection locked="0"/>
    </xf>
    <xf numFmtId="0" fontId="0" fillId="0" borderId="12" xfId="0" applyBorder="1" applyAlignment="1">
      <alignment vertical="center"/>
    </xf>
    <xf numFmtId="0" fontId="0" fillId="0" borderId="0" xfId="0" applyAlignment="1">
      <alignment vertical="center"/>
    </xf>
    <xf numFmtId="0" fontId="22" fillId="0" borderId="0" xfId="0" applyFont="1" applyProtection="1">
      <protection locked="0"/>
    </xf>
    <xf numFmtId="0" fontId="3" fillId="0" borderId="10"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24" fillId="0" borderId="24" xfId="0" applyFont="1" applyBorder="1" applyAlignment="1">
      <alignment horizontal="center"/>
    </xf>
    <xf numFmtId="0" fontId="24" fillId="0" borderId="13" xfId="0" applyFont="1" applyBorder="1" applyAlignment="1">
      <alignment horizontal="center"/>
    </xf>
    <xf numFmtId="0" fontId="24" fillId="0" borderId="12" xfId="0" applyFont="1" applyBorder="1" applyAlignment="1">
      <alignment horizontal="center"/>
    </xf>
    <xf numFmtId="0" fontId="22" fillId="0" borderId="0" xfId="0" applyFont="1" applyBorder="1" applyAlignment="1">
      <alignment horizontal="right"/>
    </xf>
    <xf numFmtId="0" fontId="19" fillId="0" borderId="10" xfId="0" applyFont="1" applyBorder="1"/>
    <xf numFmtId="0" fontId="24" fillId="0" borderId="20" xfId="0" applyFont="1" applyBorder="1" applyAlignment="1">
      <alignment horizontal="center" vertical="top" wrapText="1"/>
    </xf>
    <xf numFmtId="0" fontId="17" fillId="0" borderId="14" xfId="0" quotePrefix="1" applyFont="1" applyBorder="1" applyAlignment="1">
      <alignment horizontal="center" vertical="center"/>
    </xf>
    <xf numFmtId="0" fontId="17" fillId="0" borderId="24" xfId="0" quotePrefix="1" applyFont="1" applyBorder="1" applyAlignment="1">
      <alignment horizontal="center" vertical="center"/>
    </xf>
    <xf numFmtId="0" fontId="17" fillId="0" borderId="13" xfId="0" quotePrefix="1" applyFont="1" applyBorder="1" applyAlignment="1">
      <alignment horizontal="center" vertical="center"/>
    </xf>
    <xf numFmtId="0" fontId="17" fillId="0" borderId="12" xfId="0" quotePrefix="1" applyFont="1" applyFill="1" applyBorder="1" applyAlignment="1">
      <alignment horizontal="center" vertical="center"/>
    </xf>
    <xf numFmtId="0" fontId="17" fillId="0" borderId="13" xfId="0" quotePrefix="1" applyFont="1" applyFill="1" applyBorder="1" applyAlignment="1">
      <alignment horizontal="center" vertical="center"/>
    </xf>
    <xf numFmtId="0" fontId="17" fillId="0" borderId="14" xfId="0" quotePrefix="1" applyFont="1" applyFill="1" applyBorder="1" applyAlignment="1">
      <alignment horizontal="center" vertical="center"/>
    </xf>
    <xf numFmtId="0" fontId="20" fillId="0" borderId="14" xfId="0" applyFont="1" applyBorder="1" applyAlignment="1">
      <alignment horizontal="center" vertical="center"/>
    </xf>
    <xf numFmtId="0" fontId="22" fillId="0" borderId="0" xfId="0" applyFont="1" applyAlignment="1">
      <alignment horizontal="right"/>
    </xf>
    <xf numFmtId="0" fontId="19" fillId="0" borderId="10" xfId="0" applyFont="1" applyBorder="1" applyAlignment="1">
      <alignment horizontal="right"/>
    </xf>
    <xf numFmtId="0" fontId="24" fillId="0" borderId="20" xfId="0" applyFont="1" applyBorder="1" applyAlignment="1">
      <alignment horizontal="center"/>
    </xf>
    <xf numFmtId="0" fontId="25" fillId="0" borderId="13" xfId="0" applyFont="1" applyBorder="1" applyAlignment="1">
      <alignment horizontal="center"/>
    </xf>
    <xf numFmtId="0" fontId="19" fillId="0" borderId="0" xfId="0" applyFont="1" applyAlignment="1">
      <alignment horizontal="right"/>
    </xf>
    <xf numFmtId="0" fontId="17" fillId="0" borderId="24" xfId="0" quotePrefix="1" applyFont="1" applyBorder="1" applyAlignment="1">
      <alignment horizontal="center"/>
    </xf>
    <xf numFmtId="0" fontId="17" fillId="0" borderId="13" xfId="0" quotePrefix="1" applyFont="1" applyBorder="1" applyAlignment="1">
      <alignment horizontal="center"/>
    </xf>
    <xf numFmtId="0" fontId="26" fillId="0" borderId="0" xfId="0" applyFont="1"/>
    <xf numFmtId="0" fontId="22" fillId="0" borderId="0" xfId="0" applyFont="1"/>
    <xf numFmtId="0" fontId="17" fillId="0" borderId="14" xfId="0" quotePrefix="1" applyFont="1" applyBorder="1" applyAlignment="1">
      <alignment horizontal="center"/>
    </xf>
    <xf numFmtId="0" fontId="21" fillId="0" borderId="11" xfId="0" applyFont="1" applyBorder="1" applyAlignment="1">
      <alignment horizontal="center" vertical="center"/>
    </xf>
    <xf numFmtId="0" fontId="17" fillId="0" borderId="14" xfId="0" quotePrefix="1" applyFont="1" applyBorder="1" applyAlignment="1">
      <alignment horizontal="center" vertical="top" wrapText="1"/>
    </xf>
    <xf numFmtId="0" fontId="19" fillId="0" borderId="0" xfId="0" applyFont="1" applyBorder="1" applyAlignment="1">
      <alignment horizontal="right"/>
    </xf>
    <xf numFmtId="0" fontId="37" fillId="0" borderId="17" xfId="0" applyFont="1" applyBorder="1" applyAlignment="1">
      <alignment horizontal="center" vertical="center" wrapText="1"/>
    </xf>
    <xf numFmtId="2" fontId="38" fillId="0" borderId="13" xfId="0" applyNumberFormat="1" applyFont="1" applyBorder="1" applyAlignment="1">
      <alignment horizontal="center" vertical="center"/>
    </xf>
    <xf numFmtId="167" fontId="38" fillId="0" borderId="24" xfId="0" applyNumberFormat="1" applyFont="1" applyBorder="1" applyAlignment="1">
      <alignment horizontal="center" vertical="center"/>
    </xf>
    <xf numFmtId="0" fontId="17" fillId="0" borderId="12" xfId="0" quotePrefix="1" applyFont="1" applyFill="1" applyBorder="1" applyAlignment="1">
      <alignment horizontal="center"/>
    </xf>
    <xf numFmtId="0" fontId="19" fillId="0" borderId="0" xfId="0" applyFont="1" applyBorder="1"/>
    <xf numFmtId="0" fontId="24" fillId="0" borderId="21" xfId="0" applyFont="1" applyBorder="1" applyAlignment="1">
      <alignment horizontal="center"/>
    </xf>
    <xf numFmtId="0" fontId="41" fillId="0" borderId="16" xfId="0" applyFont="1" applyBorder="1"/>
    <xf numFmtId="0" fontId="17" fillId="0" borderId="14" xfId="0" quotePrefix="1" applyFont="1" applyBorder="1" applyAlignment="1">
      <alignment horizontal="center" vertical="top"/>
    </xf>
    <xf numFmtId="0" fontId="17" fillId="0" borderId="24" xfId="0" quotePrefix="1" applyFont="1" applyBorder="1" applyAlignment="1">
      <alignment horizontal="center" vertical="top" wrapText="1"/>
    </xf>
    <xf numFmtId="0" fontId="21" fillId="0" borderId="17" xfId="0" applyFont="1" applyBorder="1" applyAlignment="1">
      <alignment horizontal="center" vertical="center"/>
    </xf>
    <xf numFmtId="0" fontId="21" fillId="0" borderId="17" xfId="0" applyFont="1" applyBorder="1" applyAlignment="1" applyProtection="1">
      <alignment horizontal="center" vertical="center"/>
      <protection locked="0"/>
    </xf>
    <xf numFmtId="0" fontId="25" fillId="0" borderId="24" xfId="0" applyFont="1" applyBorder="1" applyAlignment="1">
      <alignment horizontal="center" vertical="center"/>
    </xf>
    <xf numFmtId="0" fontId="25" fillId="0" borderId="13" xfId="0" applyFont="1" applyBorder="1" applyAlignment="1">
      <alignment horizontal="center" vertical="center"/>
    </xf>
    <xf numFmtId="0" fontId="19" fillId="0" borderId="10" xfId="0" applyFont="1" applyBorder="1" applyAlignment="1" applyProtection="1">
      <alignment horizontal="right"/>
      <protection locked="0"/>
    </xf>
    <xf numFmtId="0" fontId="22" fillId="0" borderId="0" xfId="0" applyFont="1" applyAlignment="1" applyProtection="1">
      <alignment horizontal="right"/>
      <protection locked="0"/>
    </xf>
    <xf numFmtId="0" fontId="22" fillId="0" borderId="0" xfId="0" applyFont="1" applyAlignment="1" applyProtection="1">
      <protection locked="0"/>
    </xf>
    <xf numFmtId="0" fontId="22" fillId="0" borderId="0" xfId="0" applyFont="1" applyBorder="1" applyProtection="1">
      <protection locked="0"/>
    </xf>
    <xf numFmtId="0" fontId="24" fillId="0" borderId="14" xfId="0" applyFont="1" applyBorder="1" applyAlignment="1">
      <alignment horizontal="center" vertical="top" wrapText="1"/>
    </xf>
    <xf numFmtId="0" fontId="15" fillId="0" borderId="0" xfId="0" applyFont="1" applyBorder="1" applyAlignment="1">
      <alignment vertical="top"/>
    </xf>
    <xf numFmtId="0" fontId="40" fillId="0" borderId="0" xfId="0" applyFont="1" applyBorder="1" applyAlignment="1">
      <alignment horizontal="left"/>
    </xf>
    <xf numFmtId="0" fontId="19" fillId="0" borderId="0" xfId="0" applyFont="1"/>
    <xf numFmtId="0" fontId="33" fillId="0" borderId="23" xfId="0" applyFont="1" applyBorder="1" applyAlignment="1">
      <alignment horizontal="left"/>
    </xf>
    <xf numFmtId="0" fontId="15" fillId="0" borderId="0" xfId="0" applyFont="1" applyBorder="1"/>
    <xf numFmtId="0" fontId="33" fillId="0" borderId="11" xfId="0" applyFont="1" applyBorder="1" applyAlignment="1">
      <alignment horizontal="left"/>
    </xf>
    <xf numFmtId="0" fontId="41" fillId="0" borderId="16" xfId="0" applyFont="1" applyBorder="1" applyAlignment="1">
      <alignment vertical="top" wrapText="1"/>
    </xf>
    <xf numFmtId="0" fontId="41" fillId="0" borderId="16" xfId="0" applyFont="1" applyBorder="1" applyAlignment="1">
      <alignment wrapText="1"/>
    </xf>
    <xf numFmtId="0" fontId="40" fillId="0" borderId="0" xfId="0" applyFont="1" applyBorder="1" applyAlignment="1">
      <alignment horizontal="center"/>
    </xf>
    <xf numFmtId="0" fontId="40" fillId="0" borderId="16" xfId="0" applyFont="1" applyBorder="1" applyAlignment="1">
      <alignment horizontal="center"/>
    </xf>
    <xf numFmtId="0" fontId="14" fillId="0" borderId="0" xfId="0" applyFont="1" applyBorder="1" applyAlignment="1">
      <alignment horizontal="left"/>
    </xf>
    <xf numFmtId="0" fontId="14" fillId="0" borderId="0" xfId="0" applyFont="1" applyBorder="1" applyAlignment="1">
      <alignment horizontal="center"/>
    </xf>
    <xf numFmtId="0" fontId="14" fillId="0" borderId="16" xfId="0" applyFont="1" applyBorder="1" applyAlignment="1">
      <alignment horizontal="center"/>
    </xf>
    <xf numFmtId="0" fontId="22" fillId="0" borderId="0" xfId="0" applyFont="1" applyAlignment="1" applyProtection="1">
      <alignment horizontal="left"/>
      <protection locked="0"/>
    </xf>
    <xf numFmtId="0" fontId="15" fillId="0" borderId="11" xfId="0" applyFont="1" applyBorder="1"/>
    <xf numFmtId="0" fontId="33" fillId="0" borderId="11" xfId="0" applyFont="1" applyBorder="1" applyAlignment="1">
      <alignment horizontal="left" vertical="top"/>
    </xf>
    <xf numFmtId="0" fontId="33" fillId="0" borderId="23" xfId="0" applyFont="1" applyBorder="1" applyAlignment="1">
      <alignment horizontal="left" vertical="center"/>
    </xf>
    <xf numFmtId="0" fontId="15" fillId="0" borderId="0" xfId="0" applyFont="1" applyBorder="1" applyAlignment="1">
      <alignment vertical="center"/>
    </xf>
    <xf numFmtId="0" fontId="33" fillId="0" borderId="11" xfId="0" applyFont="1" applyBorder="1" applyAlignment="1">
      <alignment horizontal="left" vertical="center"/>
    </xf>
    <xf numFmtId="0" fontId="40" fillId="0" borderId="16" xfId="0" applyFont="1" applyBorder="1" applyAlignment="1">
      <alignment horizontal="center" vertical="center"/>
    </xf>
    <xf numFmtId="0" fontId="40"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25" fillId="0" borderId="12" xfId="0" applyFont="1" applyBorder="1" applyAlignment="1">
      <alignment horizontal="center" vertical="center"/>
    </xf>
    <xf numFmtId="0" fontId="24" fillId="0" borderId="2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24" xfId="0" applyFont="1" applyBorder="1" applyAlignment="1">
      <alignment horizontal="center" vertical="center"/>
    </xf>
    <xf numFmtId="0" fontId="17" fillId="0" borderId="12" xfId="0" quotePrefix="1" applyFont="1" applyBorder="1" applyAlignment="1">
      <alignment horizontal="center" vertical="center"/>
    </xf>
    <xf numFmtId="0" fontId="17" fillId="0" borderId="24" xfId="0" quotePrefix="1" applyFont="1" applyFill="1" applyBorder="1" applyAlignment="1">
      <alignment horizontal="center" vertical="center"/>
    </xf>
    <xf numFmtId="0" fontId="40" fillId="0" borderId="16" xfId="0" applyFont="1" applyBorder="1" applyAlignment="1">
      <alignment vertical="center"/>
    </xf>
    <xf numFmtId="0" fontId="40" fillId="0" borderId="16" xfId="0" applyFont="1" applyBorder="1" applyAlignment="1" applyProtection="1">
      <alignment horizontal="center" vertical="center"/>
      <protection locked="0"/>
    </xf>
    <xf numFmtId="0" fontId="36" fillId="0" borderId="16" xfId="0" applyFont="1" applyBorder="1" applyAlignment="1">
      <alignment vertical="center"/>
    </xf>
    <xf numFmtId="0" fontId="41" fillId="0" borderId="16" xfId="0" applyFont="1" applyBorder="1" applyAlignment="1">
      <alignment vertical="center"/>
    </xf>
    <xf numFmtId="0" fontId="41" fillId="0" borderId="16" xfId="0" applyFont="1" applyBorder="1" applyAlignment="1">
      <alignment vertical="center" wrapText="1"/>
    </xf>
    <xf numFmtId="0" fontId="15" fillId="0" borderId="11" xfId="0" applyFont="1" applyBorder="1" applyAlignment="1">
      <alignment horizontal="center" vertical="top"/>
    </xf>
    <xf numFmtId="0" fontId="33" fillId="0" borderId="22" xfId="0" applyFont="1" applyBorder="1" applyAlignment="1">
      <alignment horizontal="left"/>
    </xf>
    <xf numFmtId="0" fontId="40" fillId="0" borderId="17" xfId="0" applyFont="1" applyBorder="1" applyAlignment="1">
      <alignment horizontal="center" vertical="center"/>
    </xf>
    <xf numFmtId="0" fontId="33" fillId="0" borderId="23" xfId="0" applyFont="1" applyBorder="1" applyAlignment="1">
      <alignment horizontal="center"/>
    </xf>
    <xf numFmtId="0" fontId="15" fillId="0" borderId="0" xfId="0" applyFont="1" applyBorder="1" applyAlignment="1">
      <alignment horizontal="left"/>
    </xf>
    <xf numFmtId="0" fontId="15" fillId="0" borderId="0" xfId="0" applyFont="1" applyBorder="1" applyAlignment="1">
      <alignment horizontal="left" vertical="top"/>
    </xf>
    <xf numFmtId="0" fontId="33" fillId="0" borderId="11" xfId="0" applyFont="1" applyBorder="1" applyAlignment="1">
      <alignment horizontal="center"/>
    </xf>
    <xf numFmtId="0" fontId="41" fillId="0" borderId="16" xfId="0" applyFont="1" applyBorder="1" applyAlignment="1">
      <alignment horizontal="left"/>
    </xf>
    <xf numFmtId="0" fontId="41" fillId="0" borderId="16" xfId="0" applyFont="1" applyBorder="1" applyAlignment="1">
      <alignment horizontal="left" vertical="top" wrapText="1"/>
    </xf>
    <xf numFmtId="0" fontId="40" fillId="0" borderId="17" xfId="0" applyFont="1" applyBorder="1" applyAlignment="1" applyProtection="1">
      <alignment horizontal="center" vertical="center"/>
      <protection locked="0"/>
    </xf>
    <xf numFmtId="0" fontId="49" fillId="0" borderId="0" xfId="0" applyFont="1" applyAlignment="1">
      <alignment horizontal="right"/>
    </xf>
    <xf numFmtId="0" fontId="22" fillId="0" borderId="15" xfId="0" applyFont="1" applyBorder="1" applyAlignment="1" applyProtection="1">
      <alignment horizontal="right"/>
      <protection locked="0"/>
    </xf>
    <xf numFmtId="0" fontId="17" fillId="0" borderId="24" xfId="0" quotePrefix="1" applyFont="1" applyBorder="1" applyAlignment="1">
      <alignment horizontal="center" vertical="center" wrapText="1"/>
    </xf>
    <xf numFmtId="0" fontId="17" fillId="0" borderId="13" xfId="0" quotePrefix="1" applyFont="1" applyBorder="1" applyAlignment="1">
      <alignment horizontal="center" vertical="center" wrapText="1"/>
    </xf>
    <xf numFmtId="0" fontId="22" fillId="0" borderId="0" xfId="0" applyFont="1" applyBorder="1" applyAlignment="1" applyProtection="1">
      <alignment horizontal="right"/>
      <protection locked="0"/>
    </xf>
    <xf numFmtId="0" fontId="24" fillId="0" borderId="14" xfId="0" applyFont="1" applyBorder="1" applyAlignment="1">
      <alignment horizontal="center" vertical="center"/>
    </xf>
    <xf numFmtId="0" fontId="17" fillId="0" borderId="20" xfId="0" quotePrefix="1" applyFont="1" applyBorder="1" applyAlignment="1">
      <alignment horizontal="center" vertical="center"/>
    </xf>
    <xf numFmtId="0" fontId="17" fillId="0" borderId="21" xfId="0" quotePrefix="1" applyFont="1" applyBorder="1" applyAlignment="1">
      <alignment horizontal="center" vertical="center"/>
    </xf>
    <xf numFmtId="0" fontId="14" fillId="0" borderId="19" xfId="0" applyFont="1" applyBorder="1" applyAlignment="1">
      <alignment horizontal="center" vertical="center"/>
    </xf>
    <xf numFmtId="167" fontId="14" fillId="0" borderId="19" xfId="0" applyNumberFormat="1" applyFont="1" applyBorder="1" applyAlignment="1">
      <alignment horizontal="center" vertical="center"/>
    </xf>
    <xf numFmtId="0" fontId="40" fillId="0" borderId="16" xfId="0" applyFont="1" applyBorder="1" applyAlignment="1">
      <alignment horizontal="left" vertical="center"/>
    </xf>
    <xf numFmtId="0" fontId="17" fillId="0" borderId="22" xfId="0" quotePrefix="1" applyFont="1" applyBorder="1" applyAlignment="1">
      <alignment horizontal="center" vertical="center"/>
    </xf>
    <xf numFmtId="0" fontId="21" fillId="0" borderId="17" xfId="0" applyFont="1" applyBorder="1" applyAlignment="1">
      <alignment vertical="center"/>
    </xf>
    <xf numFmtId="0" fontId="21" fillId="0" borderId="17" xfId="0" applyFont="1" applyBorder="1" applyAlignment="1">
      <alignment vertical="center" wrapText="1"/>
    </xf>
    <xf numFmtId="0" fontId="21" fillId="0" borderId="18" xfId="0" applyFont="1" applyBorder="1" applyAlignment="1">
      <alignment vertical="center"/>
    </xf>
    <xf numFmtId="0" fontId="22" fillId="0" borderId="0" xfId="0" applyFont="1" applyBorder="1"/>
    <xf numFmtId="0" fontId="21" fillId="0" borderId="20" xfId="0" applyFont="1" applyBorder="1" applyAlignment="1">
      <alignment horizontal="center" vertical="center"/>
    </xf>
    <xf numFmtId="0" fontId="21" fillId="0" borderId="18" xfId="0" applyFont="1" applyBorder="1" applyAlignment="1">
      <alignment horizontal="center" vertical="center"/>
    </xf>
    <xf numFmtId="0" fontId="24" fillId="0" borderId="13" xfId="0" applyFont="1" applyFill="1" applyBorder="1" applyAlignment="1">
      <alignment horizontal="center" vertical="center"/>
    </xf>
    <xf numFmtId="0" fontId="44" fillId="0" borderId="19" xfId="0"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7" fillId="0" borderId="0" xfId="0" applyFont="1"/>
    <xf numFmtId="0" fontId="24" fillId="0" borderId="20" xfId="0" applyFont="1" applyBorder="1" applyAlignment="1">
      <alignment horizontal="center" vertical="center" wrapText="1"/>
    </xf>
    <xf numFmtId="0" fontId="24" fillId="0" borderId="22" xfId="0" applyFont="1" applyBorder="1" applyAlignment="1">
      <alignment horizontal="center" vertical="center"/>
    </xf>
    <xf numFmtId="0" fontId="24" fillId="0" borderId="13" xfId="0" applyFont="1" applyBorder="1" applyAlignment="1">
      <alignment horizontal="center" vertical="center" wrapText="1"/>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4" fillId="0" borderId="11" xfId="0" applyFont="1" applyBorder="1" applyAlignment="1">
      <alignment horizontal="center" vertical="center"/>
    </xf>
    <xf numFmtId="0" fontId="17" fillId="0" borderId="12" xfId="0" quotePrefix="1" applyFont="1" applyBorder="1" applyAlignment="1">
      <alignment horizontal="center" vertical="top" wrapText="1"/>
    </xf>
    <xf numFmtId="0" fontId="19" fillId="0" borderId="0" xfId="0" applyFont="1" applyBorder="1" applyAlignment="1">
      <alignment horizontal="right" vertical="top" wrapText="1"/>
    </xf>
    <xf numFmtId="0" fontId="24" fillId="0" borderId="13" xfId="0" applyFont="1" applyBorder="1" applyAlignment="1">
      <alignment horizontal="center" vertical="top"/>
    </xf>
    <xf numFmtId="0" fontId="24" fillId="0" borderId="16" xfId="0" applyFont="1" applyFill="1" applyBorder="1" applyAlignment="1">
      <alignment horizontal="center" vertical="center" wrapText="1"/>
    </xf>
    <xf numFmtId="0" fontId="17" fillId="0" borderId="23" xfId="0" quotePrefix="1" applyFont="1" applyBorder="1" applyAlignment="1">
      <alignment horizontal="center" vertical="center"/>
    </xf>
    <xf numFmtId="0" fontId="24" fillId="0" borderId="13" xfId="0" quotePrefix="1" applyFont="1" applyBorder="1" applyAlignment="1">
      <alignment horizontal="center" vertical="center"/>
    </xf>
    <xf numFmtId="0" fontId="26" fillId="0" borderId="0" xfId="0" applyFont="1" applyBorder="1"/>
    <xf numFmtId="0" fontId="22" fillId="0" borderId="0" xfId="0" applyFont="1" applyBorder="1" applyAlignment="1">
      <alignment horizontal="center"/>
    </xf>
    <xf numFmtId="0" fontId="17" fillId="0" borderId="14" xfId="0" quotePrefix="1" applyFont="1" applyBorder="1" applyAlignment="1">
      <alignment horizontal="center" vertical="center" wrapText="1"/>
    </xf>
    <xf numFmtId="0" fontId="22" fillId="0" borderId="0" xfId="0" applyFont="1" applyBorder="1" applyAlignment="1">
      <alignment horizontal="right" vertical="top"/>
    </xf>
    <xf numFmtId="0" fontId="22" fillId="0" borderId="0" xfId="0" applyFont="1" applyAlignment="1">
      <alignment vertical="top"/>
    </xf>
    <xf numFmtId="0" fontId="54" fillId="0" borderId="0" xfId="0" applyFont="1" applyAlignment="1">
      <alignment horizontal="left"/>
    </xf>
    <xf numFmtId="0" fontId="25" fillId="0" borderId="14" xfId="0" applyFont="1" applyBorder="1" applyAlignment="1">
      <alignment horizontal="center" vertical="center"/>
    </xf>
    <xf numFmtId="1" fontId="25" fillId="0" borderId="24" xfId="0" applyNumberFormat="1" applyFont="1" applyBorder="1" applyAlignment="1">
      <alignment horizontal="center" vertical="center"/>
    </xf>
    <xf numFmtId="1" fontId="25" fillId="0" borderId="13" xfId="0" applyNumberFormat="1" applyFont="1" applyBorder="1" applyAlignment="1">
      <alignment horizontal="center" vertical="center"/>
    </xf>
    <xf numFmtId="0" fontId="22" fillId="0" borderId="0" xfId="0" applyFont="1" applyBorder="1" applyAlignment="1" applyProtection="1">
      <alignment horizontal="center"/>
      <protection locked="0"/>
    </xf>
    <xf numFmtId="0" fontId="17" fillId="0" borderId="10" xfId="0" quotePrefix="1" applyFont="1" applyBorder="1" applyAlignment="1">
      <alignment horizontal="center" vertical="center"/>
    </xf>
    <xf numFmtId="0" fontId="21" fillId="0" borderId="17" xfId="0" applyFont="1" applyFill="1" applyBorder="1" applyAlignment="1" applyProtection="1">
      <alignment horizontal="center" vertical="center"/>
      <protection locked="0"/>
    </xf>
    <xf numFmtId="0" fontId="21" fillId="0" borderId="17" xfId="0" applyFont="1" applyFill="1" applyBorder="1" applyAlignment="1">
      <alignment horizontal="center" vertical="center"/>
    </xf>
    <xf numFmtId="0" fontId="21" fillId="0" borderId="18" xfId="0" applyFont="1" applyFill="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7" xfId="0" applyFont="1" applyBorder="1" applyAlignment="1">
      <alignment horizontal="center" vertical="center"/>
    </xf>
    <xf numFmtId="0" fontId="15" fillId="0" borderId="18" xfId="0" applyFont="1" applyBorder="1" applyAlignment="1" applyProtection="1">
      <alignment horizontal="center" vertical="center"/>
      <protection locked="0"/>
    </xf>
    <xf numFmtId="0" fontId="55" fillId="0" borderId="0" xfId="0" applyFont="1" applyBorder="1" applyAlignment="1" applyProtection="1">
      <protection locked="0"/>
    </xf>
    <xf numFmtId="2" fontId="56" fillId="0" borderId="0" xfId="0" applyNumberFormat="1" applyFont="1" applyBorder="1" applyAlignment="1">
      <alignment horizontal="center" vertical="top"/>
    </xf>
    <xf numFmtId="0" fontId="3" fillId="0" borderId="11" xfId="0" applyFont="1" applyBorder="1" applyAlignment="1" applyProtection="1">
      <alignment horizontal="center" vertical="center"/>
      <protection locked="0"/>
    </xf>
    <xf numFmtId="0" fontId="3" fillId="0" borderId="0" xfId="0" applyFont="1" applyBorder="1" applyAlignment="1">
      <alignment horizontal="center" vertical="center"/>
    </xf>
    <xf numFmtId="2" fontId="3" fillId="0" borderId="16" xfId="0" applyNumberFormat="1" applyFont="1" applyBorder="1" applyAlignment="1">
      <alignment horizontal="center" vertical="center"/>
    </xf>
    <xf numFmtId="0" fontId="15" fillId="0" borderId="18" xfId="0" applyFont="1" applyBorder="1" applyAlignment="1">
      <alignment horizontal="center" vertical="center"/>
    </xf>
    <xf numFmtId="0" fontId="3" fillId="0" borderId="22" xfId="0" applyFont="1" applyBorder="1" applyAlignment="1" applyProtection="1">
      <alignment horizontal="center" vertical="center"/>
      <protection locked="0"/>
    </xf>
    <xf numFmtId="0" fontId="3" fillId="0" borderId="0" xfId="0" applyFont="1" applyAlignment="1">
      <alignment horizontal="left"/>
    </xf>
    <xf numFmtId="0" fontId="26" fillId="0" borderId="0" xfId="0" applyFont="1" applyBorder="1" applyAlignment="1">
      <alignment horizontal="right"/>
    </xf>
    <xf numFmtId="0" fontId="24" fillId="0" borderId="0" xfId="0" applyFont="1" applyBorder="1" applyAlignment="1">
      <alignment horizontal="center" vertical="center"/>
    </xf>
    <xf numFmtId="17" fontId="14" fillId="0" borderId="20" xfId="0" quotePrefix="1" applyNumberFormat="1" applyFont="1" applyBorder="1" applyAlignment="1">
      <alignment horizontal="center" vertical="center"/>
    </xf>
    <xf numFmtId="0" fontId="24" fillId="0" borderId="16" xfId="0" applyFont="1" applyBorder="1" applyAlignment="1">
      <alignment horizontal="center" vertical="center"/>
    </xf>
    <xf numFmtId="1" fontId="21" fillId="0" borderId="17" xfId="0" applyNumberFormat="1" applyFont="1" applyBorder="1" applyAlignment="1" applyProtection="1">
      <alignment horizontal="center" vertical="center"/>
      <protection locked="0"/>
    </xf>
    <xf numFmtId="1" fontId="0" fillId="0" borderId="0" xfId="0" applyNumberFormat="1" applyBorder="1" applyAlignment="1" applyProtection="1">
      <alignment horizontal="center" vertical="center"/>
    </xf>
    <xf numFmtId="2" fontId="21" fillId="0" borderId="17" xfId="0" applyNumberFormat="1" applyFont="1" applyBorder="1" applyAlignment="1" applyProtection="1">
      <alignment horizontal="center" vertical="center"/>
    </xf>
    <xf numFmtId="1" fontId="0" fillId="0" borderId="0" xfId="0" applyNumberFormat="1" applyBorder="1" applyAlignment="1" applyProtection="1">
      <alignment horizontal="center" vertical="center"/>
      <protection locked="0"/>
    </xf>
    <xf numFmtId="2" fontId="25" fillId="0" borderId="14" xfId="0" applyNumberFormat="1" applyFont="1" applyBorder="1" applyAlignment="1">
      <alignment horizontal="center" vertical="center"/>
    </xf>
    <xf numFmtId="0" fontId="0" fillId="0" borderId="0" xfId="0" applyAlignment="1">
      <alignment horizontal="center" vertical="center"/>
    </xf>
    <xf numFmtId="0" fontId="21" fillId="0" borderId="17" xfId="0" applyFont="1" applyBorder="1" applyAlignment="1" applyProtection="1">
      <alignment vertical="center"/>
      <protection locked="0"/>
    </xf>
    <xf numFmtId="0" fontId="24" fillId="0" borderId="20"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17" fillId="0" borderId="14" xfId="0" quotePrefix="1" applyFont="1" applyBorder="1" applyAlignment="1" applyProtection="1">
      <alignment horizontal="center" vertical="center"/>
      <protection locked="0"/>
    </xf>
    <xf numFmtId="0" fontId="17" fillId="0" borderId="13" xfId="0" quotePrefix="1" applyFont="1" applyBorder="1" applyAlignment="1" applyProtection="1">
      <alignment horizontal="center" vertical="center"/>
      <protection locked="0"/>
    </xf>
    <xf numFmtId="0" fontId="17" fillId="0" borderId="24" xfId="0" quotePrefix="1" applyFont="1" applyBorder="1" applyAlignment="1" applyProtection="1">
      <alignment horizontal="center" vertical="center"/>
      <protection locked="0"/>
    </xf>
    <xf numFmtId="0" fontId="57" fillId="0" borderId="0" xfId="0" applyFont="1" applyProtection="1">
      <protection locked="0"/>
    </xf>
    <xf numFmtId="0" fontId="57" fillId="0" borderId="0" xfId="0" applyFont="1"/>
    <xf numFmtId="0" fontId="19" fillId="0" borderId="17" xfId="0" quotePrefix="1" applyFont="1" applyBorder="1" applyAlignment="1">
      <alignment horizontal="center" vertical="center"/>
    </xf>
    <xf numFmtId="0" fontId="57" fillId="0" borderId="0" xfId="0" applyFont="1" applyAlignment="1">
      <alignment horizontal="right"/>
    </xf>
    <xf numFmtId="0" fontId="59" fillId="0" borderId="0" xfId="0" applyFont="1"/>
    <xf numFmtId="0" fontId="27" fillId="0" borderId="14"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35" fillId="0" borderId="13" xfId="0" applyFont="1" applyBorder="1" applyAlignment="1">
      <alignment horizontal="center" vertical="center"/>
    </xf>
    <xf numFmtId="0" fontId="35" fillId="0" borderId="22" xfId="0" applyFont="1" applyBorder="1" applyAlignment="1">
      <alignment horizontal="center" vertical="center"/>
    </xf>
    <xf numFmtId="0" fontId="35" fillId="0" borderId="19" xfId="0" applyFont="1" applyBorder="1" applyAlignment="1">
      <alignment horizontal="center" vertical="center"/>
    </xf>
    <xf numFmtId="0" fontId="35" fillId="0" borderId="10" xfId="0" applyFont="1" applyBorder="1" applyAlignment="1">
      <alignment horizontal="center" vertical="center"/>
    </xf>
    <xf numFmtId="0" fontId="36" fillId="0" borderId="20" xfId="0" quotePrefix="1" applyFont="1" applyBorder="1" applyAlignment="1">
      <alignment horizontal="center" vertical="center" wrapText="1"/>
    </xf>
    <xf numFmtId="0" fontId="36" fillId="0" borderId="17" xfId="0" quotePrefix="1" applyFont="1" applyBorder="1" applyAlignment="1" applyProtection="1">
      <alignment horizontal="center" vertical="center"/>
      <protection locked="0"/>
    </xf>
    <xf numFmtId="16" fontId="36" fillId="0" borderId="17" xfId="0" quotePrefix="1" applyNumberFormat="1" applyFont="1" applyBorder="1" applyAlignment="1" applyProtection="1">
      <alignment horizontal="center" vertical="center"/>
      <protection locked="0"/>
    </xf>
    <xf numFmtId="167" fontId="36" fillId="0" borderId="17" xfId="0" applyNumberFormat="1" applyFont="1" applyBorder="1" applyAlignment="1" applyProtection="1">
      <alignment horizontal="center" vertical="center"/>
      <protection locked="0"/>
    </xf>
    <xf numFmtId="0" fontId="0" fillId="0" borderId="14" xfId="0" quotePrefix="1" applyBorder="1" applyAlignment="1">
      <alignment horizontal="center" vertical="center" wrapText="1"/>
    </xf>
    <xf numFmtId="0" fontId="0" fillId="0" borderId="24" xfId="0" quotePrefix="1" applyBorder="1" applyAlignment="1">
      <alignment horizontal="center" vertical="center"/>
    </xf>
    <xf numFmtId="0" fontId="0" fillId="0" borderId="13" xfId="0" quotePrefix="1" applyBorder="1" applyAlignment="1">
      <alignment horizontal="center" vertical="center"/>
    </xf>
    <xf numFmtId="0" fontId="0" fillId="0" borderId="13" xfId="0" quotePrefix="1" applyFill="1" applyBorder="1" applyAlignment="1">
      <alignment horizontal="center" vertical="center"/>
    </xf>
    <xf numFmtId="0" fontId="0" fillId="0" borderId="12" xfId="0" quotePrefix="1" applyBorder="1" applyAlignment="1">
      <alignment horizontal="center" vertical="center"/>
    </xf>
    <xf numFmtId="0" fontId="61" fillId="0" borderId="0" xfId="0" applyFont="1" applyAlignment="1">
      <alignment horizontal="right"/>
    </xf>
    <xf numFmtId="0" fontId="20" fillId="0" borderId="0" xfId="0" applyFont="1" applyAlignment="1"/>
    <xf numFmtId="0" fontId="11" fillId="0" borderId="0" xfId="0" applyFont="1" applyAlignment="1">
      <alignment horizontal="center"/>
    </xf>
    <xf numFmtId="0" fontId="12" fillId="0" borderId="0" xfId="0" applyFont="1" applyAlignment="1">
      <alignment horizontal="center"/>
    </xf>
    <xf numFmtId="0" fontId="66" fillId="0" borderId="0" xfId="0" applyFont="1" applyAlignment="1">
      <alignment horizontal="center" vertical="top"/>
    </xf>
    <xf numFmtId="0" fontId="67" fillId="0" borderId="0" xfId="0" applyFont="1" applyAlignment="1">
      <alignment vertical="top"/>
    </xf>
    <xf numFmtId="0" fontId="68" fillId="0" borderId="0" xfId="0" applyFont="1" applyAlignment="1"/>
    <xf numFmtId="0" fontId="67" fillId="0" borderId="0" xfId="0" applyFont="1" applyAlignment="1"/>
    <xf numFmtId="0" fontId="69" fillId="0" borderId="0" xfId="0" applyFont="1" applyAlignment="1">
      <alignment horizontal="center"/>
    </xf>
    <xf numFmtId="0" fontId="69" fillId="0" borderId="0" xfId="0" applyFont="1"/>
    <xf numFmtId="0" fontId="24" fillId="0" borderId="14" xfId="0" quotePrefix="1" applyFont="1" applyBorder="1" applyAlignment="1">
      <alignment horizontal="center" vertical="center"/>
    </xf>
    <xf numFmtId="0" fontId="24" fillId="0" borderId="14" xfId="0" applyFont="1" applyBorder="1" applyAlignment="1">
      <alignment horizontal="center" vertical="center" wrapText="1"/>
    </xf>
    <xf numFmtId="0" fontId="18" fillId="0" borderId="0" xfId="0" applyFont="1" applyBorder="1" applyAlignment="1">
      <alignment horizontal="center" vertical="top" wrapText="1"/>
    </xf>
    <xf numFmtId="1" fontId="25" fillId="0" borderId="14" xfId="0" applyNumberFormat="1" applyFont="1" applyBorder="1" applyAlignment="1">
      <alignment horizontal="center" vertical="center"/>
    </xf>
    <xf numFmtId="0" fontId="70" fillId="0" borderId="0" xfId="0" applyFont="1" applyBorder="1" applyAlignment="1">
      <alignment horizontal="center" vertical="center" wrapText="1"/>
    </xf>
    <xf numFmtId="0" fontId="70" fillId="0" borderId="12" xfId="0" applyFont="1" applyBorder="1" applyAlignment="1">
      <alignment horizontal="center" vertical="center" wrapText="1"/>
    </xf>
    <xf numFmtId="0" fontId="22" fillId="0" borderId="0" xfId="0" applyFont="1" applyAlignment="1" applyProtection="1">
      <alignment vertical="top"/>
      <protection locked="0"/>
    </xf>
    <xf numFmtId="0" fontId="2" fillId="0" borderId="17" xfId="0" applyFont="1" applyBorder="1" applyAlignment="1">
      <alignment horizontal="center" vertical="center"/>
    </xf>
    <xf numFmtId="0" fontId="57" fillId="0" borderId="0" xfId="0" applyFont="1" applyAlignment="1">
      <alignment vertical="top"/>
    </xf>
    <xf numFmtId="170" fontId="0" fillId="0" borderId="0" xfId="0" applyNumberFormat="1" applyBorder="1" applyAlignment="1">
      <alignment horizontal="center" vertical="center"/>
    </xf>
    <xf numFmtId="170" fontId="0" fillId="0" borderId="17" xfId="0" applyNumberFormat="1" applyBorder="1" applyAlignment="1">
      <alignment horizontal="center" vertical="center"/>
    </xf>
    <xf numFmtId="170" fontId="0" fillId="0" borderId="18" xfId="0" applyNumberFormat="1" applyBorder="1" applyAlignment="1">
      <alignment horizontal="center" vertical="center"/>
    </xf>
    <xf numFmtId="0" fontId="24" fillId="0" borderId="19" xfId="0" applyFont="1" applyBorder="1" applyAlignment="1">
      <alignment horizontal="center" vertical="center" wrapText="1"/>
    </xf>
    <xf numFmtId="0" fontId="22" fillId="0" borderId="0" xfId="0" applyFont="1" applyAlignment="1">
      <alignment horizontal="left" vertical="top" wrapText="1"/>
    </xf>
    <xf numFmtId="0" fontId="22" fillId="0" borderId="0" xfId="0" applyFont="1" applyAlignment="1">
      <alignment vertical="top" wrapText="1"/>
    </xf>
    <xf numFmtId="0" fontId="21" fillId="0" borderId="18" xfId="0" applyFont="1" applyBorder="1" applyAlignment="1" applyProtection="1">
      <alignment horizontal="center" vertical="center"/>
      <protection locked="0"/>
    </xf>
    <xf numFmtId="0" fontId="15" fillId="0" borderId="20" xfId="0" applyFont="1" applyBorder="1" applyAlignment="1">
      <alignment horizontal="center" vertical="center"/>
    </xf>
    <xf numFmtId="0" fontId="15" fillId="0" borderId="0" xfId="0" applyFont="1" applyBorder="1" applyAlignment="1">
      <alignment horizontal="center"/>
    </xf>
    <xf numFmtId="2" fontId="0" fillId="0" borderId="0" xfId="0" applyNumberFormat="1" applyBorder="1" applyAlignment="1">
      <alignment horizontal="center" vertical="center"/>
    </xf>
    <xf numFmtId="0" fontId="41" fillId="0" borderId="17" xfId="0" applyFont="1" applyBorder="1" applyAlignment="1">
      <alignment horizontal="center" vertical="center"/>
    </xf>
    <xf numFmtId="0" fontId="3" fillId="0" borderId="16" xfId="0" applyFont="1" applyBorder="1" applyAlignment="1">
      <alignment horizontal="center" vertical="center"/>
    </xf>
    <xf numFmtId="0" fontId="24" fillId="0" borderId="17"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4" fillId="0" borderId="12" xfId="0" applyFont="1" applyBorder="1" applyAlignment="1">
      <alignment horizontal="center" vertical="top"/>
    </xf>
    <xf numFmtId="0" fontId="18" fillId="0" borderId="0" xfId="0" applyFont="1" applyAlignment="1">
      <alignment horizontal="center" vertical="top"/>
    </xf>
    <xf numFmtId="0" fontId="3" fillId="0" borderId="14" xfId="0" quotePrefix="1" applyFont="1" applyBorder="1" applyAlignment="1">
      <alignment horizontal="center" vertical="center"/>
    </xf>
    <xf numFmtId="0" fontId="3" fillId="0" borderId="12" xfId="0" quotePrefix="1" applyFont="1" applyBorder="1" applyAlignment="1">
      <alignment horizontal="center" vertical="center"/>
    </xf>
    <xf numFmtId="0" fontId="3" fillId="0" borderId="24" xfId="0" quotePrefix="1" applyFont="1" applyBorder="1" applyAlignment="1">
      <alignment horizontal="center" vertical="center"/>
    </xf>
    <xf numFmtId="0" fontId="3" fillId="0" borderId="13" xfId="0" quotePrefix="1" applyFont="1" applyBorder="1" applyAlignment="1">
      <alignment horizontal="center" vertical="center"/>
    </xf>
    <xf numFmtId="0" fontId="14" fillId="0" borderId="17" xfId="0" applyFont="1" applyBorder="1" applyAlignment="1">
      <alignment horizontal="center" vertical="center"/>
    </xf>
    <xf numFmtId="0" fontId="46"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7" xfId="0" quotePrefix="1" applyFont="1" applyBorder="1" applyAlignment="1">
      <alignment horizontal="center" vertical="center"/>
    </xf>
    <xf numFmtId="0" fontId="3" fillId="0" borderId="11" xfId="0" quotePrefix="1" applyFont="1" applyBorder="1" applyAlignment="1">
      <alignment horizontal="center" vertical="center"/>
    </xf>
    <xf numFmtId="0" fontId="3" fillId="0" borderId="16" xfId="0" quotePrefix="1" applyFont="1" applyBorder="1" applyAlignment="1">
      <alignment horizontal="center" vertical="center"/>
    </xf>
    <xf numFmtId="16" fontId="14" fillId="0" borderId="17" xfId="0" quotePrefix="1" applyNumberFormat="1" applyFont="1" applyBorder="1" applyAlignment="1">
      <alignment horizontal="center" vertical="center"/>
    </xf>
    <xf numFmtId="2" fontId="25" fillId="0" borderId="13" xfId="0" applyNumberFormat="1" applyFont="1" applyBorder="1" applyAlignment="1">
      <alignment horizontal="center" vertical="center"/>
    </xf>
    <xf numFmtId="0" fontId="21" fillId="0" borderId="16" xfId="0" applyFont="1" applyBorder="1" applyAlignment="1">
      <alignment horizontal="left" vertical="top" wrapText="1"/>
    </xf>
    <xf numFmtId="2" fontId="14" fillId="0" borderId="0" xfId="0" applyNumberFormat="1" applyFont="1" applyBorder="1" applyAlignment="1">
      <alignment horizontal="center" vertical="center"/>
    </xf>
    <xf numFmtId="2" fontId="14" fillId="0" borderId="16" xfId="0" applyNumberFormat="1" applyFont="1" applyBorder="1" applyAlignment="1">
      <alignment horizontal="center" vertical="center"/>
    </xf>
    <xf numFmtId="0" fontId="14" fillId="0" borderId="11"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2" fontId="0" fillId="0" borderId="11" xfId="0" applyNumberFormat="1" applyBorder="1" applyAlignment="1">
      <alignment horizontal="center" vertical="center"/>
    </xf>
    <xf numFmtId="2" fontId="14" fillId="0" borderId="11" xfId="0" applyNumberFormat="1" applyFont="1" applyBorder="1" applyAlignment="1">
      <alignment horizontal="center" vertical="center"/>
    </xf>
    <xf numFmtId="0" fontId="17" fillId="0" borderId="16" xfId="0" quotePrefix="1" applyFont="1" applyBorder="1" applyAlignment="1">
      <alignment horizontal="center" vertical="center"/>
    </xf>
    <xf numFmtId="0" fontId="14" fillId="0" borderId="11" xfId="0" applyFont="1" applyBorder="1" applyAlignment="1">
      <alignment horizontal="left" vertical="center"/>
    </xf>
    <xf numFmtId="0" fontId="25" fillId="0" borderId="13" xfId="0" applyFont="1" applyBorder="1" applyAlignment="1" applyProtection="1">
      <alignment horizontal="center" vertical="center"/>
      <protection locked="0"/>
    </xf>
    <xf numFmtId="0" fontId="22" fillId="0" borderId="15" xfId="0" applyFont="1" applyBorder="1" applyAlignment="1">
      <alignment horizontal="right"/>
    </xf>
    <xf numFmtId="0" fontId="22" fillId="0" borderId="15" xfId="0" applyFont="1" applyBorder="1" applyAlignment="1">
      <alignment vertical="top" wrapText="1"/>
    </xf>
    <xf numFmtId="0" fontId="24" fillId="0" borderId="24" xfId="0" applyFont="1" applyBorder="1" applyAlignment="1">
      <alignment horizontal="center" vertical="top"/>
    </xf>
    <xf numFmtId="2" fontId="0" fillId="0" borderId="0" xfId="0" applyNumberFormat="1" applyBorder="1" applyAlignment="1" applyProtection="1">
      <alignment horizontal="center" vertical="center"/>
      <protection locked="0"/>
    </xf>
    <xf numFmtId="2" fontId="0" fillId="0" borderId="22" xfId="0" applyNumberFormat="1" applyBorder="1" applyAlignment="1">
      <alignment horizontal="center" vertical="center"/>
    </xf>
    <xf numFmtId="2" fontId="0" fillId="0" borderId="10" xfId="0" applyNumberFormat="1" applyBorder="1" applyAlignment="1">
      <alignment horizontal="center" vertical="center"/>
    </xf>
    <xf numFmtId="0" fontId="14" fillId="0" borderId="17" xfId="0" applyFont="1" applyBorder="1" applyAlignment="1" applyProtection="1">
      <alignment horizontal="center" vertical="center"/>
      <protection locked="0"/>
    </xf>
    <xf numFmtId="16" fontId="14" fillId="0" borderId="17" xfId="0" quotePrefix="1" applyNumberFormat="1"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16" fontId="25" fillId="0" borderId="14" xfId="0" quotePrefix="1" applyNumberFormat="1" applyFont="1" applyBorder="1" applyAlignment="1" applyProtection="1">
      <alignment horizontal="center" vertical="center"/>
      <protection locked="0"/>
    </xf>
    <xf numFmtId="0" fontId="3" fillId="0" borderId="10" xfId="0" applyFont="1" applyBorder="1" applyProtection="1">
      <protection locked="0"/>
    </xf>
    <xf numFmtId="0" fontId="24" fillId="0" borderId="14"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0" fillId="0" borderId="17" xfId="0" applyBorder="1" applyAlignment="1" applyProtection="1">
      <alignment horizontal="center" vertical="center"/>
    </xf>
    <xf numFmtId="0" fontId="3" fillId="0" borderId="1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21" fillId="0" borderId="18" xfId="0" applyFont="1" applyBorder="1" applyAlignment="1" applyProtection="1">
      <alignment vertical="center"/>
      <protection locked="0"/>
    </xf>
    <xf numFmtId="0" fontId="24" fillId="0" borderId="15"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4" fillId="0" borderId="17"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12" xfId="0" applyFont="1" applyBorder="1" applyAlignment="1">
      <alignment horizontal="center" vertical="center" wrapText="1"/>
    </xf>
    <xf numFmtId="0" fontId="21" fillId="0" borderId="11" xfId="0" applyFont="1" applyBorder="1" applyAlignment="1" applyProtection="1">
      <alignment horizontal="center" vertical="center" wrapText="1"/>
      <protection locked="0"/>
    </xf>
    <xf numFmtId="0" fontId="15" fillId="0" borderId="11" xfId="0" applyFont="1" applyBorder="1" applyAlignment="1">
      <alignment horizontal="center" vertical="center"/>
    </xf>
    <xf numFmtId="0" fontId="15" fillId="0" borderId="11" xfId="0" applyFont="1" applyBorder="1" applyAlignment="1">
      <alignment vertical="center"/>
    </xf>
    <xf numFmtId="0" fontId="19" fillId="0" borderId="11" xfId="0" applyFont="1" applyBorder="1" applyAlignment="1">
      <alignment horizontal="center" vertical="top"/>
    </xf>
    <xf numFmtId="0" fontId="39" fillId="0" borderId="14" xfId="0" quotePrefix="1" applyFont="1" applyBorder="1" applyAlignment="1">
      <alignment horizontal="center" vertical="center"/>
    </xf>
    <xf numFmtId="0" fontId="39" fillId="0" borderId="24" xfId="0" quotePrefix="1" applyFont="1" applyBorder="1" applyAlignment="1">
      <alignment horizontal="center" vertical="center"/>
    </xf>
    <xf numFmtId="0" fontId="39" fillId="0" borderId="12" xfId="0" quotePrefix="1" applyFont="1" applyBorder="1" applyAlignment="1">
      <alignment horizontal="center" vertical="center"/>
    </xf>
    <xf numFmtId="0" fontId="14" fillId="0" borderId="17" xfId="0" applyFont="1" applyBorder="1" applyAlignment="1" applyProtection="1">
      <alignment horizontal="left" vertical="center"/>
      <protection locked="0"/>
    </xf>
    <xf numFmtId="0" fontId="21" fillId="0" borderId="17" xfId="0" applyFont="1" applyBorder="1" applyAlignment="1" applyProtection="1">
      <alignment horizontal="left" vertical="center"/>
      <protection locked="0"/>
    </xf>
    <xf numFmtId="0" fontId="25" fillId="0" borderId="14" xfId="0" applyFont="1" applyBorder="1" applyAlignment="1">
      <alignment horizontal="left" vertical="center"/>
    </xf>
    <xf numFmtId="0" fontId="19" fillId="0" borderId="0" xfId="0" applyFont="1" applyBorder="1" applyAlignment="1">
      <alignment horizontal="center" vertical="center"/>
    </xf>
    <xf numFmtId="0" fontId="33" fillId="0" borderId="11" xfId="0" applyFont="1" applyBorder="1" applyAlignment="1">
      <alignment vertical="center"/>
    </xf>
    <xf numFmtId="0" fontId="33" fillId="0" borderId="16" xfId="0" applyFont="1" applyBorder="1" applyAlignment="1">
      <alignment vertical="center"/>
    </xf>
    <xf numFmtId="0" fontId="0" fillId="0" borderId="17" xfId="0" applyBorder="1" applyAlignment="1">
      <alignment vertical="center"/>
    </xf>
    <xf numFmtId="0" fontId="0" fillId="0" borderId="17" xfId="0" applyBorder="1" applyAlignment="1" applyProtection="1">
      <alignment vertical="center"/>
      <protection locked="0"/>
    </xf>
    <xf numFmtId="0" fontId="0" fillId="0" borderId="11" xfId="0" quotePrefix="1" applyBorder="1" applyAlignment="1">
      <alignment horizontal="center" vertical="center"/>
    </xf>
    <xf numFmtId="0" fontId="21" fillId="0" borderId="16" xfId="0" applyFont="1" applyBorder="1" applyAlignment="1">
      <alignment vertical="center"/>
    </xf>
    <xf numFmtId="2" fontId="25" fillId="0" borderId="14" xfId="0" applyNumberFormat="1" applyFont="1" applyBorder="1" applyAlignment="1" applyProtection="1">
      <alignment horizontal="center" vertical="center"/>
      <protection locked="0"/>
    </xf>
    <xf numFmtId="2" fontId="25" fillId="0" borderId="13" xfId="0" applyNumberFormat="1" applyFont="1" applyBorder="1" applyAlignment="1" applyProtection="1">
      <alignment horizontal="center" vertical="center"/>
      <protection locked="0"/>
    </xf>
    <xf numFmtId="0" fontId="0" fillId="0" borderId="11" xfId="0" quotePrefix="1" applyBorder="1" applyAlignment="1">
      <alignment vertical="center"/>
    </xf>
    <xf numFmtId="0" fontId="2" fillId="0" borderId="11" xfId="0" applyFont="1" applyBorder="1" applyAlignment="1">
      <alignment vertical="center"/>
    </xf>
    <xf numFmtId="0" fontId="0" fillId="0" borderId="11" xfId="0" applyBorder="1" applyAlignment="1">
      <alignment horizontal="right" vertical="center"/>
    </xf>
    <xf numFmtId="0" fontId="14" fillId="0" borderId="20" xfId="0" applyFont="1" applyBorder="1" applyAlignment="1">
      <alignment horizontal="center" vertical="center"/>
    </xf>
    <xf numFmtId="0" fontId="14" fillId="0" borderId="15" xfId="0" applyFont="1" applyBorder="1" applyAlignment="1">
      <alignment horizontal="center" vertical="center"/>
    </xf>
    <xf numFmtId="0" fontId="21" fillId="0" borderId="17" xfId="0" applyFont="1" applyBorder="1" applyAlignment="1">
      <alignment horizontal="left" vertical="center"/>
    </xf>
    <xf numFmtId="0" fontId="19" fillId="0" borderId="0" xfId="0" applyFont="1" applyBorder="1" applyAlignment="1">
      <alignment horizontal="right" vertical="top"/>
    </xf>
    <xf numFmtId="0" fontId="14" fillId="0" borderId="17" xfId="0" applyFont="1" applyBorder="1" applyAlignment="1">
      <alignment horizontal="center" vertical="center" wrapText="1"/>
    </xf>
    <xf numFmtId="0" fontId="21" fillId="0" borderId="17" xfId="0" applyFont="1" applyBorder="1" applyAlignment="1">
      <alignment horizontal="center" vertical="center" wrapText="1"/>
    </xf>
    <xf numFmtId="0" fontId="17" fillId="0" borderId="18" xfId="0" quotePrefix="1" applyFont="1" applyFill="1" applyBorder="1" applyAlignment="1">
      <alignment horizontal="center" vertical="center"/>
    </xf>
    <xf numFmtId="0" fontId="21" fillId="0" borderId="0" xfId="0" applyFont="1" applyAlignment="1">
      <alignment vertical="center"/>
    </xf>
    <xf numFmtId="0" fontId="21" fillId="0" borderId="10" xfId="0" applyFont="1" applyBorder="1" applyAlignment="1">
      <alignment vertical="center"/>
    </xf>
    <xf numFmtId="1" fontId="17" fillId="0" borderId="14" xfId="0" quotePrefix="1" applyNumberFormat="1" applyFont="1" applyBorder="1" applyAlignment="1">
      <alignment horizontal="center" vertical="center"/>
    </xf>
    <xf numFmtId="0" fontId="3" fillId="0" borderId="0" xfId="0" applyFont="1" applyAlignment="1">
      <alignment horizontal="center" vertical="center"/>
    </xf>
    <xf numFmtId="1" fontId="3" fillId="0" borderId="17" xfId="0" applyNumberFormat="1" applyFont="1" applyBorder="1" applyAlignment="1">
      <alignment horizontal="center" vertical="center"/>
    </xf>
    <xf numFmtId="1" fontId="3" fillId="0" borderId="0" xfId="0" applyNumberFormat="1" applyFont="1" applyAlignment="1">
      <alignment horizontal="center" vertical="center"/>
    </xf>
    <xf numFmtId="0" fontId="21" fillId="0" borderId="19" xfId="0" applyFont="1" applyBorder="1" applyAlignment="1">
      <alignment vertical="center"/>
    </xf>
    <xf numFmtId="1" fontId="3" fillId="0" borderId="11" xfId="0" applyNumberFormat="1" applyFont="1" applyBorder="1" applyAlignment="1">
      <alignment horizontal="center" vertical="center"/>
    </xf>
    <xf numFmtId="0" fontId="32" fillId="0" borderId="14" xfId="0" applyFont="1" applyBorder="1" applyAlignment="1">
      <alignment horizontal="center" vertical="center"/>
    </xf>
    <xf numFmtId="1" fontId="6" fillId="0" borderId="0" xfId="0" applyNumberFormat="1" applyFont="1" applyBorder="1" applyAlignment="1">
      <alignment horizontal="center" vertical="center"/>
    </xf>
    <xf numFmtId="1" fontId="31" fillId="0" borderId="0" xfId="0" applyNumberFormat="1"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24" fillId="0" borderId="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2" fontId="14" fillId="0" borderId="11" xfId="0" applyNumberFormat="1" applyFont="1" applyBorder="1" applyAlignment="1" applyProtection="1">
      <alignment horizontal="center" vertical="center"/>
      <protection locked="0"/>
    </xf>
    <xf numFmtId="2" fontId="14" fillId="0" borderId="0"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protection locked="0"/>
    </xf>
    <xf numFmtId="0" fontId="0" fillId="0" borderId="14" xfId="0" quotePrefix="1" applyBorder="1" applyAlignment="1">
      <alignment horizontal="center" vertical="center"/>
    </xf>
    <xf numFmtId="0" fontId="0" fillId="0" borderId="14" xfId="0" quotePrefix="1" applyFill="1" applyBorder="1" applyAlignment="1">
      <alignment horizontal="center" vertical="center"/>
    </xf>
    <xf numFmtId="0" fontId="2" fillId="0" borderId="16" xfId="0" applyFont="1" applyBorder="1" applyAlignment="1" applyProtection="1">
      <alignment horizontal="center" vertical="center"/>
      <protection locked="0"/>
    </xf>
    <xf numFmtId="2" fontId="3" fillId="0" borderId="17" xfId="0" applyNumberFormat="1" applyFont="1" applyBorder="1" applyAlignment="1">
      <alignment horizontal="center" vertical="center"/>
    </xf>
    <xf numFmtId="0" fontId="15" fillId="0" borderId="11" xfId="0" quotePrefix="1" applyFont="1" applyBorder="1" applyAlignment="1">
      <alignment horizontal="center" vertical="center"/>
    </xf>
    <xf numFmtId="0" fontId="20" fillId="0" borderId="16" xfId="0" applyFont="1" applyBorder="1" applyAlignment="1">
      <alignment vertical="center"/>
    </xf>
    <xf numFmtId="167" fontId="40" fillId="0" borderId="16" xfId="0" applyNumberFormat="1" applyFont="1" applyBorder="1" applyAlignment="1" applyProtection="1">
      <alignment horizontal="center" vertical="center"/>
      <protection locked="0"/>
    </xf>
    <xf numFmtId="167" fontId="14" fillId="0" borderId="16" xfId="0" applyNumberFormat="1" applyFont="1" applyBorder="1" applyAlignment="1" applyProtection="1">
      <alignment horizontal="center" vertical="center"/>
      <protection locked="0"/>
    </xf>
    <xf numFmtId="0" fontId="15" fillId="0" borderId="11" xfId="0" quotePrefix="1" applyFont="1" applyBorder="1" applyAlignment="1">
      <alignment vertical="center"/>
    </xf>
    <xf numFmtId="167" fontId="14" fillId="0" borderId="16" xfId="0" applyNumberFormat="1" applyFont="1" applyBorder="1" applyAlignment="1">
      <alignment horizontal="center" vertical="center"/>
    </xf>
    <xf numFmtId="0" fontId="0" fillId="0" borderId="11" xfId="0" applyBorder="1" applyAlignment="1">
      <alignment horizontal="left" vertical="center"/>
    </xf>
    <xf numFmtId="0" fontId="10" fillId="0" borderId="20" xfId="0" applyFont="1" applyBorder="1" applyAlignment="1">
      <alignment horizontal="left" vertical="center"/>
    </xf>
    <xf numFmtId="0" fontId="53" fillId="0" borderId="17" xfId="0" applyFont="1" applyBorder="1" applyAlignment="1">
      <alignment horizontal="center" vertical="center"/>
    </xf>
    <xf numFmtId="0" fontId="52" fillId="0" borderId="20" xfId="0" applyFont="1" applyBorder="1" applyAlignment="1">
      <alignment horizontal="left" vertical="center"/>
    </xf>
    <xf numFmtId="0" fontId="52" fillId="0" borderId="17" xfId="0" applyFont="1" applyBorder="1" applyAlignment="1">
      <alignment horizontal="left" vertical="center"/>
    </xf>
    <xf numFmtId="0" fontId="21" fillId="0" borderId="18" xfId="0" applyFont="1" applyBorder="1" applyAlignment="1">
      <alignment horizontal="left" vertical="center"/>
    </xf>
    <xf numFmtId="0" fontId="39" fillId="0" borderId="12" xfId="0" quotePrefix="1" applyFont="1" applyBorder="1" applyAlignment="1">
      <alignment horizontal="center" vertical="center" wrapText="1"/>
    </xf>
    <xf numFmtId="0" fontId="58" fillId="0" borderId="17" xfId="0" applyFont="1" applyBorder="1" applyAlignment="1">
      <alignment horizontal="center" vertical="center"/>
    </xf>
    <xf numFmtId="1" fontId="3" fillId="0" borderId="16" xfId="0" applyNumberFormat="1" applyFont="1" applyBorder="1" applyAlignment="1">
      <alignment horizontal="center" vertical="center"/>
    </xf>
    <xf numFmtId="1" fontId="3" fillId="0" borderId="22" xfId="0" applyNumberFormat="1" applyFont="1" applyBorder="1" applyAlignment="1">
      <alignment horizontal="center" vertical="center"/>
    </xf>
    <xf numFmtId="1" fontId="3" fillId="0" borderId="19" xfId="0" applyNumberFormat="1" applyFont="1" applyBorder="1" applyAlignment="1">
      <alignment horizontal="center" vertical="center"/>
    </xf>
    <xf numFmtId="0" fontId="45" fillId="0" borderId="16" xfId="0" applyFont="1" applyBorder="1" applyAlignment="1">
      <alignment vertical="center"/>
    </xf>
    <xf numFmtId="167" fontId="40" fillId="0" borderId="16" xfId="0" applyNumberFormat="1" applyFont="1" applyBorder="1" applyAlignment="1">
      <alignment horizontal="center" vertical="center"/>
    </xf>
    <xf numFmtId="0" fontId="24" fillId="0" borderId="14" xfId="0" applyFont="1" applyFill="1" applyBorder="1" applyAlignment="1">
      <alignment horizontal="center" vertical="center"/>
    </xf>
    <xf numFmtId="0" fontId="25" fillId="0" borderId="19" xfId="0" applyFont="1" applyBorder="1" applyAlignment="1">
      <alignment horizontal="center" vertical="center"/>
    </xf>
    <xf numFmtId="0" fontId="22" fillId="0" borderId="0" xfId="0" applyFont="1" applyAlignment="1">
      <alignment horizontal="center"/>
    </xf>
    <xf numFmtId="0" fontId="21" fillId="0" borderId="18" xfId="0" applyFont="1" applyFill="1" applyBorder="1" applyAlignment="1">
      <alignment horizontal="center" vertical="center"/>
    </xf>
    <xf numFmtId="0" fontId="45" fillId="0" borderId="17" xfId="0" applyFont="1" applyBorder="1" applyAlignment="1">
      <alignment horizontal="center" vertical="center"/>
    </xf>
    <xf numFmtId="0" fontId="45" fillId="0" borderId="17" xfId="0" applyFont="1" applyBorder="1" applyAlignment="1" applyProtection="1">
      <alignment horizontal="center" vertical="center"/>
      <protection locked="0"/>
    </xf>
    <xf numFmtId="0" fontId="15" fillId="0" borderId="11" xfId="0" applyFont="1" applyFill="1" applyBorder="1" applyAlignment="1">
      <alignment horizontal="center" vertical="center"/>
    </xf>
    <xf numFmtId="0" fontId="15" fillId="0" borderId="23" xfId="0" applyFont="1" applyBorder="1" applyAlignment="1">
      <alignment horizontal="center" vertical="center"/>
    </xf>
    <xf numFmtId="0" fontId="17" fillId="0" borderId="21" xfId="0" quotePrefix="1" applyFont="1" applyFill="1" applyBorder="1" applyAlignment="1">
      <alignment horizontal="center" vertical="center"/>
    </xf>
    <xf numFmtId="0" fontId="17" fillId="0" borderId="11" xfId="0" quotePrefix="1" applyFont="1" applyFill="1" applyBorder="1" applyAlignment="1">
      <alignment horizontal="center" vertical="center"/>
    </xf>
    <xf numFmtId="0" fontId="17" fillId="0" borderId="16" xfId="0" quotePrefix="1" applyFont="1" applyFill="1" applyBorder="1" applyAlignment="1">
      <alignment horizontal="center" vertical="center"/>
    </xf>
    <xf numFmtId="0" fontId="46" fillId="0" borderId="0" xfId="0" applyFont="1"/>
    <xf numFmtId="0" fontId="44" fillId="0" borderId="20" xfId="0" applyFont="1" applyBorder="1" applyAlignment="1">
      <alignment horizontal="center" vertical="center"/>
    </xf>
    <xf numFmtId="0" fontId="71" fillId="0" borderId="0" xfId="0" applyFont="1" applyBorder="1" applyAlignment="1">
      <alignment horizontal="center" vertical="center"/>
    </xf>
    <xf numFmtId="0" fontId="71" fillId="0" borderId="17" xfId="0" applyFont="1" applyBorder="1" applyAlignment="1">
      <alignment horizontal="center" vertical="center"/>
    </xf>
    <xf numFmtId="0" fontId="71" fillId="0" borderId="20" xfId="0" applyFont="1" applyBorder="1" applyAlignment="1">
      <alignment horizontal="center" vertical="center"/>
    </xf>
    <xf numFmtId="0" fontId="0" fillId="0" borderId="20" xfId="0" applyBorder="1" applyAlignment="1">
      <alignment vertical="center"/>
    </xf>
    <xf numFmtId="0" fontId="0" fillId="0" borderId="20" xfId="0" applyBorder="1" applyAlignment="1" applyProtection="1">
      <alignment vertical="center"/>
      <protection locked="0"/>
    </xf>
    <xf numFmtId="0" fontId="0" fillId="0" borderId="0" xfId="0" applyFill="1" applyBorder="1" applyAlignment="1">
      <alignment horizontal="center" vertical="center"/>
    </xf>
    <xf numFmtId="0" fontId="0" fillId="0" borderId="20" xfId="0" quotePrefix="1" applyBorder="1" applyAlignment="1">
      <alignment horizontal="center" vertical="center"/>
    </xf>
    <xf numFmtId="0" fontId="21" fillId="0" borderId="0" xfId="0" applyFont="1" applyBorder="1" applyAlignment="1" applyProtection="1">
      <alignment horizontal="center" vertical="center"/>
      <protection locked="0"/>
    </xf>
    <xf numFmtId="0" fontId="25" fillId="0" borderId="0" xfId="0" applyFont="1" applyBorder="1" applyAlignment="1">
      <alignment horizontal="center" vertical="center"/>
    </xf>
    <xf numFmtId="0" fontId="24" fillId="0" borderId="16" xfId="0" applyFont="1" applyFill="1" applyBorder="1" applyAlignment="1">
      <alignment horizontal="center" vertical="center"/>
    </xf>
    <xf numFmtId="170" fontId="0" fillId="0" borderId="11" xfId="0" applyNumberFormat="1" applyBorder="1" applyAlignment="1">
      <alignment horizontal="center" vertical="center"/>
    </xf>
    <xf numFmtId="0" fontId="48" fillId="0" borderId="10" xfId="0" applyFont="1" applyBorder="1" applyAlignment="1">
      <alignment horizontal="right" vertical="center" wrapText="1"/>
    </xf>
    <xf numFmtId="0" fontId="73" fillId="0" borderId="13"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7" xfId="0" applyFont="1" applyBorder="1" applyAlignment="1">
      <alignment horizontal="center" vertical="center"/>
    </xf>
    <xf numFmtId="0" fontId="73" fillId="0" borderId="18" xfId="0" applyFont="1" applyBorder="1" applyAlignment="1">
      <alignment horizontal="center" vertical="center"/>
    </xf>
    <xf numFmtId="0" fontId="20" fillId="0" borderId="0" xfId="0" applyFont="1" applyFill="1" applyBorder="1" applyAlignment="1">
      <alignment horizontal="center" vertical="center" wrapText="1"/>
    </xf>
    <xf numFmtId="0" fontId="19" fillId="0" borderId="0" xfId="0" applyFont="1" applyBorder="1" applyAlignment="1">
      <alignment horizontal="right" vertical="center"/>
    </xf>
    <xf numFmtId="0" fontId="22" fillId="0" borderId="0" xfId="0" applyFont="1" applyBorder="1" applyAlignment="1"/>
    <xf numFmtId="0" fontId="24" fillId="0" borderId="0" xfId="0" applyFont="1" applyBorder="1" applyAlignment="1">
      <alignment horizontal="center" vertical="center" wrapText="1"/>
    </xf>
    <xf numFmtId="0" fontId="76" fillId="0" borderId="0" xfId="0" applyFont="1" applyBorder="1" applyAlignment="1">
      <alignment horizontal="center" vertical="top"/>
    </xf>
    <xf numFmtId="0" fontId="57" fillId="0" borderId="0" xfId="0" applyFont="1" applyAlignment="1">
      <alignment vertical="top" wrapText="1"/>
    </xf>
    <xf numFmtId="0" fontId="0" fillId="0" borderId="0" xfId="0" applyBorder="1" applyAlignment="1">
      <alignment horizontal="left" vertical="center"/>
    </xf>
    <xf numFmtId="0" fontId="24" fillId="0" borderId="23" xfId="0" applyFont="1" applyBorder="1" applyAlignment="1">
      <alignment horizontal="center" vertical="center"/>
    </xf>
    <xf numFmtId="0" fontId="18" fillId="0" borderId="0" xfId="0" applyFont="1" applyAlignment="1">
      <alignment horizontal="center" vertical="center"/>
    </xf>
    <xf numFmtId="0" fontId="29" fillId="0" borderId="0" xfId="0" applyFont="1" applyBorder="1" applyAlignment="1">
      <alignment horizontal="center" vertical="center"/>
    </xf>
    <xf numFmtId="0" fontId="39" fillId="0" borderId="0" xfId="0" quotePrefix="1" applyFont="1" applyBorder="1" applyAlignment="1">
      <alignment horizontal="center" vertical="center"/>
    </xf>
    <xf numFmtId="0" fontId="39" fillId="0" borderId="14" xfId="0" quotePrefix="1" applyFont="1" applyBorder="1" applyAlignment="1">
      <alignment horizontal="center" vertical="center" wrapText="1"/>
    </xf>
    <xf numFmtId="0" fontId="0" fillId="0" borderId="0" xfId="0" applyBorder="1" applyAlignment="1">
      <alignment horizontal="right" vertical="center"/>
    </xf>
    <xf numFmtId="0" fontId="19" fillId="0" borderId="10" xfId="0" applyFont="1" applyBorder="1" applyAlignment="1"/>
    <xf numFmtId="0" fontId="19" fillId="0" borderId="0" xfId="0" applyFont="1" applyBorder="1" applyAlignment="1"/>
    <xf numFmtId="0" fontId="21" fillId="0" borderId="18" xfId="0" applyFont="1" applyBorder="1" applyAlignment="1" applyProtection="1">
      <alignment horizontal="left" vertical="center"/>
      <protection locked="0"/>
    </xf>
    <xf numFmtId="0" fontId="0" fillId="0" borderId="17" xfId="0" quotePrefix="1" applyBorder="1" applyAlignment="1">
      <alignment horizontal="center" vertical="center"/>
    </xf>
    <xf numFmtId="170" fontId="7" fillId="0" borderId="0" xfId="0" applyNumberFormat="1" applyFont="1" applyBorder="1" applyAlignment="1">
      <alignment horizontal="center" vertical="center"/>
    </xf>
    <xf numFmtId="0" fontId="6" fillId="0" borderId="0" xfId="0" applyFont="1" applyAlignment="1">
      <alignment horizontal="left"/>
    </xf>
    <xf numFmtId="0" fontId="14" fillId="0" borderId="0" xfId="0" applyFont="1" applyBorder="1" applyAlignment="1" applyProtection="1">
      <alignment vertical="center"/>
      <protection locked="0"/>
    </xf>
    <xf numFmtId="0" fontId="15" fillId="0" borderId="0" xfId="0" applyFont="1" applyAlignment="1">
      <alignment horizontal="center"/>
    </xf>
    <xf numFmtId="0" fontId="42" fillId="0" borderId="0" xfId="0" applyFont="1" applyAlignment="1">
      <alignment horizontal="center" vertical="center"/>
    </xf>
    <xf numFmtId="0" fontId="20" fillId="0" borderId="0" xfId="0" applyFont="1" applyBorder="1" applyAlignment="1">
      <alignment vertical="center"/>
    </xf>
    <xf numFmtId="0" fontId="13" fillId="0" borderId="0" xfId="0" applyFont="1" applyBorder="1" applyAlignment="1">
      <alignment horizontal="center" vertical="center"/>
    </xf>
    <xf numFmtId="0" fontId="33" fillId="0" borderId="17" xfId="0" applyFont="1" applyBorder="1" applyAlignment="1" applyProtection="1">
      <alignment horizontal="center" vertical="center"/>
      <protection locked="0"/>
    </xf>
    <xf numFmtId="0" fontId="74" fillId="0" borderId="14" xfId="0" applyFont="1" applyBorder="1" applyAlignment="1">
      <alignment horizontal="center" vertical="center" wrapText="1"/>
    </xf>
    <xf numFmtId="0" fontId="2" fillId="0" borderId="14" xfId="0" applyFont="1" applyBorder="1" applyAlignment="1">
      <alignment horizontal="center" vertical="center"/>
    </xf>
    <xf numFmtId="0" fontId="24" fillId="0" borderId="15" xfId="0" applyFont="1" applyBorder="1" applyAlignment="1">
      <alignment horizontal="center" vertical="center"/>
    </xf>
    <xf numFmtId="0" fontId="14" fillId="0" borderId="16" xfId="0" applyFont="1" applyBorder="1" applyAlignment="1">
      <alignment vertical="center"/>
    </xf>
    <xf numFmtId="0" fontId="20" fillId="0" borderId="17" xfId="0" applyFont="1" applyBorder="1" applyAlignment="1">
      <alignment horizontal="left" vertical="center"/>
    </xf>
    <xf numFmtId="1" fontId="0" fillId="0" borderId="0" xfId="0" applyNumberFormat="1" applyBorder="1" applyAlignment="1" applyProtection="1">
      <alignment horizontal="center"/>
      <protection locked="0"/>
    </xf>
    <xf numFmtId="0" fontId="76" fillId="0" borderId="0" xfId="0" applyFont="1" applyAlignment="1">
      <alignment horizontal="center" vertical="center"/>
    </xf>
    <xf numFmtId="0" fontId="42" fillId="0" borderId="0" xfId="0" applyFont="1" applyAlignment="1">
      <alignment horizontal="center"/>
    </xf>
    <xf numFmtId="0" fontId="6" fillId="0" borderId="0" xfId="0" applyFont="1" applyBorder="1" applyAlignment="1">
      <alignment horizontal="left"/>
    </xf>
    <xf numFmtId="0" fontId="6"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2" fontId="7" fillId="0" borderId="0" xfId="0" applyNumberFormat="1" applyFont="1" applyBorder="1" applyAlignment="1">
      <alignment horizontal="center" vertical="center"/>
    </xf>
    <xf numFmtId="0" fontId="34" fillId="0" borderId="0" xfId="0" applyFont="1" applyBorder="1" applyAlignment="1">
      <alignment horizontal="center" vertical="center"/>
    </xf>
    <xf numFmtId="0" fontId="77" fillId="0" borderId="0" xfId="0" quotePrefix="1" applyFont="1" applyBorder="1" applyAlignment="1">
      <alignment horizontal="center" vertical="center"/>
    </xf>
    <xf numFmtId="1" fontId="9" fillId="0" borderId="0" xfId="0" applyNumberFormat="1" applyFont="1" applyFill="1" applyBorder="1" applyAlignment="1">
      <alignment horizontal="center" vertical="center"/>
    </xf>
    <xf numFmtId="0" fontId="57" fillId="0" borderId="0" xfId="0" applyFont="1" applyAlignment="1" applyProtection="1">
      <alignment horizontal="left"/>
      <protection locked="0"/>
    </xf>
    <xf numFmtId="0" fontId="13" fillId="0" borderId="22" xfId="0" applyFont="1" applyBorder="1" applyAlignment="1">
      <alignment horizontal="center" vertical="center"/>
    </xf>
    <xf numFmtId="0" fontId="13" fillId="0" borderId="10" xfId="0" applyFont="1" applyBorder="1" applyAlignment="1">
      <alignment horizontal="center" vertical="center"/>
    </xf>
    <xf numFmtId="0" fontId="13" fillId="0" borderId="19" xfId="0" applyFont="1" applyBorder="1" applyAlignment="1">
      <alignment horizontal="center" vertical="center"/>
    </xf>
    <xf numFmtId="0" fontId="57" fillId="0" borderId="0" xfId="0" applyFont="1" applyFill="1" applyBorder="1" applyAlignment="1">
      <alignment horizontal="left" vertical="center"/>
    </xf>
    <xf numFmtId="0" fontId="25" fillId="0" borderId="17" xfId="0" applyFont="1" applyBorder="1" applyAlignment="1" applyProtection="1">
      <alignment horizontal="center" vertical="center"/>
      <protection locked="0"/>
    </xf>
    <xf numFmtId="0" fontId="0" fillId="0" borderId="17" xfId="0" applyBorder="1" applyAlignment="1">
      <alignment horizontal="center" vertical="center" wrapText="1"/>
    </xf>
    <xf numFmtId="0" fontId="24" fillId="0" borderId="18" xfId="0" applyFont="1" applyBorder="1" applyAlignment="1" applyProtection="1">
      <alignment horizontal="center" vertical="center" wrapText="1"/>
      <protection locked="0"/>
    </xf>
    <xf numFmtId="0" fontId="24" fillId="0" borderId="18" xfId="0" applyFont="1" applyBorder="1" applyAlignment="1">
      <alignment horizontal="center" vertical="center" wrapText="1"/>
    </xf>
    <xf numFmtId="0" fontId="0" fillId="0" borderId="16" xfId="0" applyBorder="1" applyAlignment="1">
      <alignment vertical="center"/>
    </xf>
    <xf numFmtId="0" fontId="79" fillId="0" borderId="17" xfId="0" applyFont="1" applyBorder="1" applyAlignment="1">
      <alignment horizontal="center" vertical="center"/>
    </xf>
    <xf numFmtId="0" fontId="75" fillId="0" borderId="20" xfId="0" applyFont="1" applyBorder="1" applyAlignment="1">
      <alignment horizontal="center" vertical="center"/>
    </xf>
    <xf numFmtId="0" fontId="20" fillId="0" borderId="11" xfId="0" applyFont="1" applyBorder="1" applyAlignment="1">
      <alignment horizontal="center" vertical="center"/>
    </xf>
    <xf numFmtId="0" fontId="75" fillId="0" borderId="17" xfId="0" applyFont="1" applyBorder="1" applyAlignment="1">
      <alignment horizontal="center" vertical="center"/>
    </xf>
    <xf numFmtId="0" fontId="19" fillId="0" borderId="0" xfId="0" applyFont="1" applyAlignment="1">
      <alignment horizontal="left" vertical="top"/>
    </xf>
    <xf numFmtId="0" fontId="22" fillId="0" borderId="15" xfId="0" applyFont="1" applyBorder="1" applyAlignment="1" applyProtection="1">
      <alignment vertical="top"/>
      <protection locked="0"/>
    </xf>
    <xf numFmtId="0" fontId="22" fillId="0" borderId="0" xfId="0" applyFont="1" applyBorder="1" applyAlignment="1" applyProtection="1">
      <alignment vertical="top"/>
      <protection locked="0"/>
    </xf>
    <xf numFmtId="0" fontId="14" fillId="0" borderId="17" xfId="0" applyFont="1" applyBorder="1" applyAlignment="1" applyProtection="1">
      <alignment horizontal="left" vertical="center" wrapText="1"/>
      <protection locked="0"/>
    </xf>
    <xf numFmtId="0" fontId="19" fillId="0" borderId="0" xfId="0" applyFont="1" applyAlignment="1">
      <alignment horizontal="right" vertical="center"/>
    </xf>
    <xf numFmtId="167" fontId="0" fillId="0" borderId="17" xfId="0" applyNumberFormat="1" applyBorder="1" applyAlignment="1">
      <alignment horizontal="center" vertical="center"/>
    </xf>
    <xf numFmtId="0" fontId="0" fillId="0" borderId="23" xfId="0" applyBorder="1" applyAlignment="1" applyProtection="1">
      <alignment horizontal="center" vertical="center"/>
      <protection locked="0"/>
    </xf>
    <xf numFmtId="0" fontId="22" fillId="0" borderId="15" xfId="0" applyFont="1" applyBorder="1" applyAlignment="1">
      <alignment horizontal="center" vertical="top"/>
    </xf>
    <xf numFmtId="0" fontId="17" fillId="0" borderId="12" xfId="0" quotePrefix="1" applyFont="1" applyBorder="1" applyAlignment="1">
      <alignment horizontal="center" vertical="center" wrapText="1"/>
    </xf>
    <xf numFmtId="0" fontId="24" fillId="0" borderId="12" xfId="0" applyFont="1" applyBorder="1" applyAlignment="1">
      <alignment horizontal="center" vertical="center" wrapText="1"/>
    </xf>
    <xf numFmtId="0" fontId="81" fillId="0" borderId="0" xfId="0" applyFont="1" applyAlignment="1">
      <alignment horizontal="center" vertical="center" wrapText="1"/>
    </xf>
    <xf numFmtId="0" fontId="0" fillId="0" borderId="19" xfId="0" quotePrefix="1" applyBorder="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13" fillId="0" borderId="13" xfId="0" applyFont="1" applyBorder="1" applyAlignment="1">
      <alignment horizontal="center" vertical="center"/>
    </xf>
    <xf numFmtId="0" fontId="28" fillId="0" borderId="20" xfId="0" applyFont="1" applyBorder="1" applyAlignment="1">
      <alignment horizontal="center" vertical="top" wrapText="1"/>
    </xf>
    <xf numFmtId="0" fontId="2" fillId="0" borderId="17" xfId="0" applyFont="1" applyBorder="1" applyAlignment="1" applyProtection="1">
      <alignment horizontal="center" vertical="center"/>
      <protection locked="0"/>
    </xf>
    <xf numFmtId="0" fontId="15" fillId="0" borderId="0" xfId="0" applyFont="1" applyAlignment="1">
      <alignment horizontal="right"/>
    </xf>
    <xf numFmtId="0" fontId="3" fillId="0" borderId="13" xfId="0" quotePrefix="1" applyFont="1" applyFill="1" applyBorder="1" applyAlignment="1">
      <alignment horizontal="center" vertical="center"/>
    </xf>
    <xf numFmtId="0" fontId="19" fillId="0" borderId="17" xfId="0" quotePrefix="1" applyFont="1" applyBorder="1" applyAlignment="1">
      <alignment horizontal="center" vertical="center" wrapText="1"/>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19" fillId="0" borderId="17" xfId="0" applyFont="1" applyBorder="1" applyAlignment="1">
      <alignment horizontal="center" vertical="center" wrapText="1"/>
    </xf>
    <xf numFmtId="0" fontId="19" fillId="0" borderId="17" xfId="0" applyFont="1" applyFill="1" applyBorder="1" applyAlignment="1">
      <alignment horizontal="center" vertical="center"/>
    </xf>
    <xf numFmtId="0" fontId="19" fillId="0" borderId="17" xfId="0" applyFont="1" applyFill="1" applyBorder="1" applyAlignment="1">
      <alignment horizontal="center" vertical="center" wrapText="1"/>
    </xf>
    <xf numFmtId="0" fontId="33" fillId="0" borderId="23" xfId="0" quotePrefix="1" applyFont="1" applyBorder="1" applyAlignment="1">
      <alignment horizontal="left" vertical="center"/>
    </xf>
    <xf numFmtId="0" fontId="19" fillId="0" borderId="11" xfId="0" applyFont="1" applyBorder="1" applyAlignment="1">
      <alignment horizontal="center" vertical="center"/>
    </xf>
    <xf numFmtId="0" fontId="0" fillId="0" borderId="21" xfId="0" quotePrefix="1" applyBorder="1" applyAlignment="1">
      <alignment horizontal="center" vertical="center"/>
    </xf>
    <xf numFmtId="0" fontId="33" fillId="0" borderId="11" xfId="0" quotePrefix="1" applyFont="1" applyBorder="1" applyAlignment="1">
      <alignment horizontal="left" vertical="top"/>
    </xf>
    <xf numFmtId="0" fontId="33" fillId="0" borderId="0" xfId="0" quotePrefix="1" applyFont="1" applyBorder="1" applyAlignment="1">
      <alignment horizontal="left" vertical="top" wrapText="1"/>
    </xf>
    <xf numFmtId="0" fontId="73" fillId="0" borderId="14" xfId="0" applyFont="1" applyBorder="1" applyAlignment="1">
      <alignment horizontal="center" vertical="center"/>
    </xf>
    <xf numFmtId="0" fontId="25" fillId="0" borderId="19" xfId="0" applyFont="1" applyBorder="1" applyAlignment="1" applyProtection="1">
      <alignment horizontal="center" vertical="center"/>
      <protection locked="0"/>
    </xf>
    <xf numFmtId="0" fontId="0" fillId="0" borderId="18" xfId="0" applyBorder="1" applyAlignment="1">
      <alignment vertical="center"/>
    </xf>
    <xf numFmtId="0" fontId="83" fillId="0" borderId="10" xfId="0" applyFont="1" applyBorder="1" applyAlignment="1">
      <alignment horizontal="center" vertical="center" wrapText="1"/>
    </xf>
    <xf numFmtId="0" fontId="0" fillId="0" borderId="15" xfId="0" applyBorder="1" applyAlignment="1">
      <alignment horizontal="left" vertical="center"/>
    </xf>
    <xf numFmtId="0" fontId="21" fillId="0" borderId="22" xfId="0" applyFont="1" applyFill="1" applyBorder="1" applyAlignment="1">
      <alignment horizontal="center" vertical="center"/>
    </xf>
    <xf numFmtId="0" fontId="0" fillId="0" borderId="17" xfId="0" applyFill="1" applyBorder="1" applyAlignment="1">
      <alignment horizontal="center" vertical="center"/>
    </xf>
    <xf numFmtId="0" fontId="3" fillId="0" borderId="0" xfId="0" applyFont="1" applyAlignment="1">
      <alignment horizontal="center"/>
    </xf>
    <xf numFmtId="0" fontId="0" fillId="0" borderId="18" xfId="0" quotePrefix="1" applyBorder="1" applyAlignment="1">
      <alignment horizontal="center" vertical="center"/>
    </xf>
    <xf numFmtId="0" fontId="21" fillId="0" borderId="0" xfId="0" applyFont="1" applyFill="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0" fillId="0" borderId="22" xfId="0" applyFill="1" applyBorder="1" applyAlignment="1">
      <alignment horizontal="center" vertical="center"/>
    </xf>
    <xf numFmtId="0" fontId="0" fillId="0" borderId="19" xfId="0" applyFill="1" applyBorder="1" applyAlignment="1">
      <alignment horizontal="center" vertical="center"/>
    </xf>
    <xf numFmtId="0" fontId="84" fillId="0" borderId="0" xfId="0" applyFont="1" applyBorder="1" applyAlignment="1">
      <alignment horizontal="center" wrapText="1"/>
    </xf>
    <xf numFmtId="0" fontId="84" fillId="0" borderId="0" xfId="0" applyFont="1" applyBorder="1" applyAlignment="1">
      <alignment horizontal="center"/>
    </xf>
    <xf numFmtId="3" fontId="85" fillId="0" borderId="0" xfId="0" applyNumberFormat="1" applyFont="1"/>
    <xf numFmtId="3" fontId="85" fillId="0" borderId="0" xfId="0" applyNumberFormat="1" applyFont="1" applyAlignment="1">
      <alignment horizontal="center"/>
    </xf>
    <xf numFmtId="0" fontId="21" fillId="0" borderId="11" xfId="0"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2" fillId="0" borderId="12" xfId="0" applyFont="1" applyBorder="1" applyAlignment="1">
      <alignment horizontal="center" vertical="center" shrinkToFit="1"/>
    </xf>
    <xf numFmtId="3" fontId="85" fillId="0" borderId="0" xfId="0" applyNumberFormat="1" applyFont="1" applyBorder="1" applyAlignment="1">
      <alignment vertical="center"/>
    </xf>
    <xf numFmtId="0" fontId="2" fillId="0" borderId="14" xfId="0" applyFont="1" applyBorder="1" applyAlignment="1">
      <alignment horizontal="center" vertical="center" shrinkToFit="1"/>
    </xf>
    <xf numFmtId="0" fontId="41" fillId="0" borderId="0" xfId="0" applyFont="1" applyBorder="1" applyAlignment="1">
      <alignment horizontal="right"/>
    </xf>
    <xf numFmtId="0" fontId="24" fillId="0" borderId="16" xfId="0" applyFont="1" applyFill="1" applyBorder="1" applyAlignment="1">
      <alignment horizontal="center"/>
    </xf>
    <xf numFmtId="0" fontId="0" fillId="0" borderId="0" xfId="0" applyFill="1"/>
    <xf numFmtId="0" fontId="0" fillId="0" borderId="16" xfId="0" quotePrefix="1" applyBorder="1" applyAlignment="1">
      <alignment horizontal="center" vertical="center"/>
    </xf>
    <xf numFmtId="0" fontId="0" fillId="0" borderId="17" xfId="0" quotePrefix="1" applyBorder="1" applyAlignment="1">
      <alignment horizontal="center"/>
    </xf>
    <xf numFmtId="0" fontId="6" fillId="0" borderId="0" xfId="0" quotePrefix="1" applyFont="1"/>
    <xf numFmtId="1" fontId="3" fillId="0" borderId="0" xfId="0" quotePrefix="1" applyNumberFormat="1" applyFont="1" applyAlignment="1">
      <alignment horizontal="center" vertical="center"/>
    </xf>
    <xf numFmtId="1" fontId="3" fillId="0" borderId="17" xfId="0" quotePrefix="1" applyNumberFormat="1" applyFont="1" applyBorder="1" applyAlignment="1">
      <alignment horizontal="center" vertical="center"/>
    </xf>
    <xf numFmtId="0" fontId="33" fillId="0" borderId="22" xfId="0" quotePrefix="1" applyFont="1" applyBorder="1" applyAlignment="1">
      <alignment horizontal="left" vertical="top"/>
    </xf>
    <xf numFmtId="0" fontId="33" fillId="0" borderId="10" xfId="0" quotePrefix="1" applyFont="1" applyBorder="1" applyAlignment="1">
      <alignment horizontal="left" vertical="top" wrapText="1"/>
    </xf>
    <xf numFmtId="0" fontId="21" fillId="0" borderId="11" xfId="0" applyFont="1" applyFill="1" applyBorder="1" applyAlignment="1">
      <alignment horizontal="center" vertical="center"/>
    </xf>
    <xf numFmtId="0" fontId="48" fillId="0" borderId="0" xfId="0" applyFont="1" applyBorder="1" applyAlignment="1">
      <alignment horizontal="right"/>
    </xf>
    <xf numFmtId="0" fontId="89" fillId="0" borderId="14" xfId="0" quotePrefix="1" applyFont="1" applyBorder="1" applyAlignment="1">
      <alignment horizontal="center" vertical="center"/>
    </xf>
    <xf numFmtId="0" fontId="89" fillId="0" borderId="20" xfId="0" quotePrefix="1" applyFont="1" applyBorder="1" applyAlignment="1">
      <alignment horizontal="center" vertical="center"/>
    </xf>
    <xf numFmtId="0" fontId="7" fillId="0" borderId="0" xfId="0" applyFont="1" applyProtection="1">
      <protection locked="0"/>
    </xf>
    <xf numFmtId="0" fontId="70" fillId="0" borderId="0" xfId="0" applyFont="1" applyProtection="1">
      <protection locked="0"/>
    </xf>
    <xf numFmtId="0" fontId="2" fillId="0" borderId="18" xfId="0" applyFont="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14"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13" fillId="0" borderId="15" xfId="0" applyFont="1" applyBorder="1" applyAlignment="1">
      <alignment horizontal="left"/>
    </xf>
    <xf numFmtId="0" fontId="13" fillId="0" borderId="0" xfId="0" applyFont="1" applyAlignment="1">
      <alignment horizontal="center"/>
    </xf>
    <xf numFmtId="0" fontId="13" fillId="0" borderId="0" xfId="0" applyFont="1" applyAlignment="1">
      <alignment horizontal="left"/>
    </xf>
    <xf numFmtId="0" fontId="2" fillId="0" borderId="18" xfId="0" applyFont="1" applyBorder="1" applyAlignment="1">
      <alignment horizontal="center" vertical="center"/>
    </xf>
    <xf numFmtId="0" fontId="0" fillId="0" borderId="0" xfId="0" quotePrefix="1" applyBorder="1" applyAlignment="1">
      <alignment horizontal="center" vertical="center"/>
    </xf>
    <xf numFmtId="0" fontId="24" fillId="0" borderId="23" xfId="0" applyFont="1" applyBorder="1" applyAlignment="1">
      <alignment horizontal="center" vertical="center" wrapText="1"/>
    </xf>
    <xf numFmtId="0" fontId="24" fillId="0" borderId="17" xfId="0" applyFont="1" applyBorder="1" applyAlignment="1">
      <alignment horizontal="center" vertical="center" wrapText="1"/>
    </xf>
    <xf numFmtId="0" fontId="42" fillId="0" borderId="0" xfId="0" applyFont="1" applyBorder="1" applyAlignment="1">
      <alignment horizontal="center"/>
    </xf>
    <xf numFmtId="0" fontId="21" fillId="0" borderId="21" xfId="0" applyFont="1" applyBorder="1" applyAlignment="1">
      <alignment vertical="center"/>
    </xf>
    <xf numFmtId="0" fontId="21" fillId="0" borderId="16" xfId="0" applyFont="1" applyBorder="1" applyAlignment="1">
      <alignment horizontal="left" vertical="center"/>
    </xf>
    <xf numFmtId="0" fontId="21" fillId="0" borderId="19" xfId="0" applyFont="1" applyBorder="1" applyAlignment="1">
      <alignment horizontal="left" vertical="center"/>
    </xf>
    <xf numFmtId="0" fontId="21" fillId="0" borderId="16" xfId="0" applyFont="1" applyBorder="1" applyAlignment="1">
      <alignment horizontal="left" vertical="center" wrapText="1"/>
    </xf>
    <xf numFmtId="0" fontId="42" fillId="0" borderId="0" xfId="0" applyFont="1" applyBorder="1" applyAlignment="1">
      <alignment horizontal="center" vertical="center"/>
    </xf>
    <xf numFmtId="0" fontId="14" fillId="0" borderId="17" xfId="0" applyFont="1" applyBorder="1" applyAlignment="1">
      <alignment horizontal="left" vertical="center"/>
    </xf>
    <xf numFmtId="0" fontId="19" fillId="0" borderId="10" xfId="0" applyFont="1" applyBorder="1" applyAlignment="1">
      <alignment horizontal="right" vertical="top"/>
    </xf>
    <xf numFmtId="0" fontId="19" fillId="0" borderId="10" xfId="0" applyFont="1" applyBorder="1" applyAlignment="1">
      <alignment horizontal="right" vertical="center"/>
    </xf>
    <xf numFmtId="0" fontId="21" fillId="0" borderId="17" xfId="0" applyFont="1" applyBorder="1" applyAlignment="1" applyProtection="1">
      <alignment horizontal="center" vertical="center" shrinkToFit="1"/>
      <protection locked="0"/>
    </xf>
    <xf numFmtId="0" fontId="21" fillId="0" borderId="17" xfId="0" applyFont="1" applyBorder="1" applyAlignment="1">
      <alignment horizontal="center" vertical="center" shrinkToFit="1"/>
    </xf>
    <xf numFmtId="0" fontId="14" fillId="0" borderId="20" xfId="0" applyFont="1" applyBorder="1" applyAlignment="1">
      <alignment horizontal="left" vertical="center"/>
    </xf>
    <xf numFmtId="0" fontId="25" fillId="0" borderId="17" xfId="0" applyFont="1" applyBorder="1" applyAlignment="1" applyProtection="1">
      <alignment horizontal="left" vertical="center"/>
      <protection locked="0"/>
    </xf>
    <xf numFmtId="0" fontId="21" fillId="0" borderId="17" xfId="0" applyFont="1" applyBorder="1" applyAlignment="1" applyProtection="1">
      <alignment horizontal="left" vertical="center"/>
    </xf>
    <xf numFmtId="0" fontId="25" fillId="0" borderId="18" xfId="0" applyFont="1" applyBorder="1" applyAlignment="1" applyProtection="1">
      <alignment horizontal="left" vertical="center"/>
      <protection locked="0"/>
    </xf>
    <xf numFmtId="0" fontId="41" fillId="0" borderId="16" xfId="0" applyFont="1" applyBorder="1" applyAlignment="1">
      <alignment vertical="center" shrinkToFit="1"/>
    </xf>
    <xf numFmtId="0" fontId="21" fillId="0" borderId="14" xfId="0" applyFont="1" applyBorder="1" applyAlignment="1">
      <alignment horizontal="center" vertical="center" wrapText="1"/>
    </xf>
    <xf numFmtId="0" fontId="15" fillId="0" borderId="11" xfId="0" quotePrefix="1" applyFont="1" applyBorder="1" applyAlignment="1">
      <alignment horizontal="left" vertical="center"/>
    </xf>
    <xf numFmtId="0" fontId="21" fillId="0" borderId="15" xfId="0" applyFont="1" applyBorder="1" applyAlignment="1">
      <alignment horizontal="right" vertical="top"/>
    </xf>
    <xf numFmtId="1" fontId="0" fillId="0" borderId="17" xfId="0" applyNumberFormat="1" applyBorder="1" applyAlignment="1">
      <alignment horizontal="center" vertical="center"/>
    </xf>
    <xf numFmtId="1" fontId="0" fillId="0" borderId="18" xfId="0" applyNumberFormat="1" applyBorder="1" applyAlignment="1">
      <alignment horizontal="center" vertical="center"/>
    </xf>
    <xf numFmtId="0" fontId="24" fillId="0" borderId="20" xfId="0" applyFont="1" applyFill="1" applyBorder="1" applyAlignment="1">
      <alignment horizontal="center" vertical="center" wrapText="1"/>
    </xf>
    <xf numFmtId="0" fontId="22" fillId="0" borderId="0" xfId="0" applyFont="1" applyBorder="1" applyAlignment="1" applyProtection="1">
      <alignment horizontal="left" vertical="top"/>
      <protection locked="0"/>
    </xf>
    <xf numFmtId="0" fontId="44" fillId="0" borderId="10" xfId="0" applyFont="1" applyBorder="1" applyAlignment="1">
      <alignment horizontal="center" vertical="center"/>
    </xf>
    <xf numFmtId="0" fontId="0" fillId="0" borderId="17" xfId="0" applyFill="1" applyBorder="1" applyAlignment="1" applyProtection="1">
      <alignment horizontal="center" vertical="center"/>
      <protection locked="0"/>
    </xf>
    <xf numFmtId="0" fontId="22" fillId="0" borderId="0" xfId="0" applyFont="1" applyBorder="1" applyAlignment="1">
      <alignment vertical="center"/>
    </xf>
    <xf numFmtId="0" fontId="24" fillId="0" borderId="22" xfId="0" applyFont="1" applyBorder="1" applyAlignment="1">
      <alignment horizontal="center" vertical="top" wrapText="1"/>
    </xf>
    <xf numFmtId="0" fontId="16" fillId="0" borderId="0" xfId="0" applyFont="1"/>
    <xf numFmtId="0" fontId="13" fillId="0" borderId="0" xfId="0" applyFont="1"/>
    <xf numFmtId="0" fontId="46" fillId="0" borderId="0" xfId="0" applyFont="1" applyBorder="1" applyAlignment="1">
      <alignment horizontal="center" vertical="top" wrapText="1"/>
    </xf>
    <xf numFmtId="0" fontId="46" fillId="0" borderId="16" xfId="0" applyFont="1" applyBorder="1" applyAlignment="1">
      <alignment horizontal="center" vertical="top" wrapText="1"/>
    </xf>
    <xf numFmtId="0" fontId="91" fillId="0" borderId="14" xfId="0" quotePrefix="1" applyFont="1" applyBorder="1" applyAlignment="1">
      <alignment horizontal="center" vertical="center"/>
    </xf>
    <xf numFmtId="0" fontId="91" fillId="0" borderId="24" xfId="0" quotePrefix="1" applyFont="1" applyBorder="1" applyAlignment="1">
      <alignment horizontal="center" vertical="center"/>
    </xf>
    <xf numFmtId="0" fontId="91" fillId="0" borderId="13" xfId="0" quotePrefix="1" applyFont="1" applyBorder="1" applyAlignment="1">
      <alignment horizontal="center" vertical="center"/>
    </xf>
    <xf numFmtId="0" fontId="91" fillId="0" borderId="12" xfId="0" quotePrefix="1" applyFont="1" applyBorder="1" applyAlignment="1">
      <alignment horizontal="center" vertical="center"/>
    </xf>
    <xf numFmtId="0" fontId="91" fillId="0" borderId="24" xfId="0" quotePrefix="1" applyFont="1" applyFill="1" applyBorder="1" applyAlignment="1">
      <alignment horizontal="center" vertical="center"/>
    </xf>
    <xf numFmtId="0" fontId="91" fillId="0" borderId="13" xfId="0" quotePrefix="1" applyFont="1" applyFill="1" applyBorder="1" applyAlignment="1">
      <alignment horizontal="center" vertical="center"/>
    </xf>
    <xf numFmtId="0" fontId="91" fillId="0" borderId="0" xfId="0" applyFont="1"/>
    <xf numFmtId="0" fontId="44" fillId="0" borderId="0" xfId="0" applyFont="1"/>
    <xf numFmtId="0" fontId="44" fillId="0" borderId="0" xfId="0" applyFont="1" applyAlignment="1">
      <alignment horizontal="right"/>
    </xf>
    <xf numFmtId="0" fontId="13" fillId="0" borderId="0" xfId="0" applyFont="1" applyAlignment="1">
      <alignment horizontal="right"/>
    </xf>
    <xf numFmtId="0" fontId="0" fillId="0" borderId="16" xfId="0" applyBorder="1" applyAlignment="1" applyProtection="1">
      <alignment horizontal="center" vertical="center"/>
    </xf>
    <xf numFmtId="2" fontId="44" fillId="0" borderId="18" xfId="0" applyNumberFormat="1" applyFont="1" applyBorder="1" applyAlignment="1">
      <alignment horizontal="center" vertical="center"/>
    </xf>
    <xf numFmtId="0" fontId="93" fillId="0" borderId="0" xfId="0" applyFont="1"/>
    <xf numFmtId="170" fontId="44" fillId="0" borderId="18" xfId="0" applyNumberFormat="1" applyFont="1" applyFill="1" applyBorder="1" applyAlignment="1">
      <alignment horizontal="center" vertical="center"/>
    </xf>
    <xf numFmtId="0" fontId="46" fillId="0" borderId="14" xfId="0" quotePrefix="1" applyFont="1" applyBorder="1" applyAlignment="1">
      <alignment horizontal="center" vertical="center"/>
    </xf>
    <xf numFmtId="0" fontId="46" fillId="0" borderId="12" xfId="0" quotePrefix="1" applyFont="1" applyBorder="1" applyAlignment="1">
      <alignment horizontal="center" vertical="center"/>
    </xf>
    <xf numFmtId="0" fontId="19" fillId="0" borderId="18" xfId="0" quotePrefix="1" applyFont="1" applyBorder="1" applyAlignment="1">
      <alignment horizontal="center" vertical="center"/>
    </xf>
    <xf numFmtId="0" fontId="19" fillId="0" borderId="10" xfId="0" quotePrefix="1" applyFont="1" applyBorder="1" applyAlignment="1">
      <alignment horizontal="center" vertical="center"/>
    </xf>
    <xf numFmtId="0" fontId="19" fillId="0" borderId="14" xfId="0" quotePrefix="1" applyFont="1" applyBorder="1" applyAlignment="1">
      <alignment horizontal="center" vertical="center"/>
    </xf>
    <xf numFmtId="0" fontId="46" fillId="0" borderId="22" xfId="0" quotePrefix="1" applyFont="1" applyBorder="1" applyAlignment="1">
      <alignment horizontal="center" vertical="center"/>
    </xf>
    <xf numFmtId="0" fontId="46" fillId="0" borderId="19" xfId="0" quotePrefix="1" applyFont="1" applyBorder="1" applyAlignment="1">
      <alignment horizontal="center" vertical="center"/>
    </xf>
    <xf numFmtId="167" fontId="0" fillId="0" borderId="17" xfId="0" quotePrefix="1" applyNumberFormat="1" applyBorder="1" applyAlignment="1">
      <alignment horizontal="center" vertical="center"/>
    </xf>
    <xf numFmtId="0" fontId="95" fillId="0" borderId="0" xfId="0" applyFont="1"/>
    <xf numFmtId="0" fontId="21" fillId="24" borderId="0" xfId="0" applyFont="1" applyFill="1"/>
    <xf numFmtId="0" fontId="21" fillId="0" borderId="0" xfId="0" applyFont="1"/>
    <xf numFmtId="2" fontId="3" fillId="0" borderId="18" xfId="0" applyNumberFormat="1" applyFont="1" applyBorder="1" applyAlignment="1">
      <alignment horizontal="center" vertical="center"/>
    </xf>
    <xf numFmtId="1" fontId="6" fillId="0" borderId="0" xfId="0" applyNumberFormat="1" applyFont="1" applyBorder="1" applyAlignment="1" applyProtection="1">
      <alignment horizontal="center" vertical="center"/>
      <protection locked="0"/>
    </xf>
    <xf numFmtId="1" fontId="32" fillId="0" borderId="0" xfId="0" applyNumberFormat="1" applyFont="1" applyBorder="1" applyAlignment="1">
      <alignment horizontal="center" vertical="center"/>
    </xf>
    <xf numFmtId="0" fontId="3" fillId="0" borderId="17" xfId="0" applyFont="1"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1" fontId="0" fillId="0" borderId="10" xfId="0" applyNumberFormat="1" applyBorder="1" applyAlignment="1">
      <alignment horizontal="center" vertical="center"/>
    </xf>
    <xf numFmtId="1" fontId="0" fillId="0" borderId="22" xfId="0" applyNumberFormat="1" applyBorder="1" applyAlignment="1">
      <alignment horizontal="center" vertical="center"/>
    </xf>
    <xf numFmtId="1" fontId="44" fillId="0" borderId="18" xfId="0" applyNumberFormat="1" applyFont="1" applyBorder="1" applyAlignment="1">
      <alignment horizontal="center" vertical="center"/>
    </xf>
    <xf numFmtId="1" fontId="3" fillId="0" borderId="10" xfId="0" quotePrefix="1" applyNumberFormat="1" applyFont="1" applyBorder="1" applyAlignment="1">
      <alignment horizontal="center" vertical="center"/>
    </xf>
    <xf numFmtId="1" fontId="3" fillId="0" borderId="18" xfId="0" applyNumberFormat="1" applyFont="1" applyBorder="1" applyAlignment="1">
      <alignment horizontal="center" vertical="center"/>
    </xf>
    <xf numFmtId="0" fontId="73" fillId="0" borderId="0" xfId="0" applyFont="1"/>
    <xf numFmtId="2" fontId="0" fillId="0" borderId="0" xfId="0" quotePrefix="1" applyNumberFormat="1" applyBorder="1" applyAlignment="1">
      <alignment horizontal="center" vertical="center"/>
    </xf>
    <xf numFmtId="2" fontId="0" fillId="0" borderId="16" xfId="0" quotePrefix="1" applyNumberFormat="1" applyBorder="1" applyAlignment="1">
      <alignment horizontal="center" vertical="center"/>
    </xf>
    <xf numFmtId="0" fontId="21" fillId="0" borderId="0" xfId="0" applyFont="1" applyFill="1" applyBorder="1" applyAlignment="1">
      <alignment vertical="center"/>
    </xf>
    <xf numFmtId="0" fontId="19"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0" fillId="0" borderId="0" xfId="0" quotePrefix="1" applyFill="1" applyBorder="1" applyAlignment="1">
      <alignment horizontal="center" vertical="center"/>
    </xf>
    <xf numFmtId="170" fontId="44" fillId="0" borderId="17" xfId="0" applyNumberFormat="1" applyFont="1" applyFill="1" applyBorder="1" applyAlignment="1">
      <alignment horizontal="center" vertical="center"/>
    </xf>
    <xf numFmtId="170" fontId="0" fillId="0" borderId="19" xfId="0" applyNumberFormat="1" applyBorder="1" applyAlignment="1">
      <alignment horizontal="center" vertical="center"/>
    </xf>
    <xf numFmtId="0" fontId="15" fillId="0" borderId="14" xfId="0" applyFont="1" applyFill="1" applyBorder="1" applyAlignment="1">
      <alignment horizontal="center" vertical="center"/>
    </xf>
    <xf numFmtId="0" fontId="94" fillId="0" borderId="19" xfId="0" applyFont="1" applyBorder="1" applyAlignment="1">
      <alignment horizontal="center" vertical="center"/>
    </xf>
    <xf numFmtId="0" fontId="24" fillId="0" borderId="0" xfId="0" applyFont="1" applyBorder="1" applyAlignment="1">
      <alignment vertical="top" wrapText="1"/>
    </xf>
    <xf numFmtId="0" fontId="3" fillId="0" borderId="0" xfId="0" applyFont="1" applyBorder="1" applyAlignment="1">
      <alignment vertical="center"/>
    </xf>
    <xf numFmtId="0" fontId="0" fillId="0" borderId="15" xfId="0" applyFill="1" applyBorder="1" applyAlignment="1">
      <alignment horizontal="center" vertical="center"/>
    </xf>
    <xf numFmtId="1" fontId="0" fillId="0" borderId="0" xfId="0" applyNumberFormat="1" applyBorder="1" applyAlignment="1">
      <alignment horizontal="center" vertical="center"/>
    </xf>
    <xf numFmtId="1" fontId="0" fillId="0" borderId="11" xfId="0" applyNumberFormat="1" applyBorder="1" applyAlignment="1">
      <alignment horizontal="center" vertical="center"/>
    </xf>
    <xf numFmtId="0" fontId="24" fillId="0" borderId="24" xfId="0" applyFont="1" applyBorder="1" applyAlignment="1">
      <alignment horizontal="center" vertical="center" wrapText="1"/>
    </xf>
    <xf numFmtId="3" fontId="13" fillId="0" borderId="24" xfId="0" applyNumberFormat="1" applyFont="1" applyBorder="1" applyAlignment="1">
      <alignment horizontal="center" vertical="center"/>
    </xf>
    <xf numFmtId="3" fontId="13" fillId="0" borderId="13" xfId="0" applyNumberFormat="1" applyFont="1" applyBorder="1" applyAlignment="1">
      <alignment horizontal="center" vertical="center"/>
    </xf>
    <xf numFmtId="3" fontId="13" fillId="0" borderId="12" xfId="0" applyNumberFormat="1" applyFont="1" applyBorder="1" applyAlignment="1">
      <alignment horizontal="center" vertical="center"/>
    </xf>
    <xf numFmtId="0" fontId="75" fillId="0" borderId="23" xfId="0" applyNumberFormat="1" applyFont="1" applyBorder="1" applyAlignment="1">
      <alignment horizontal="center" vertical="center"/>
    </xf>
    <xf numFmtId="0" fontId="75" fillId="0" borderId="15" xfId="0" applyNumberFormat="1" applyFont="1" applyBorder="1" applyAlignment="1">
      <alignment horizontal="center" vertical="center"/>
    </xf>
    <xf numFmtId="0" fontId="75" fillId="0" borderId="21" xfId="0" applyNumberFormat="1" applyFont="1" applyBorder="1" applyAlignment="1">
      <alignment horizontal="center" vertical="center"/>
    </xf>
    <xf numFmtId="0" fontId="75" fillId="0" borderId="11" xfId="0" applyNumberFormat="1" applyFont="1" applyBorder="1" applyAlignment="1">
      <alignment horizontal="center" vertical="center"/>
    </xf>
    <xf numFmtId="0" fontId="75" fillId="0" borderId="0" xfId="0" applyNumberFormat="1" applyFont="1" applyBorder="1" applyAlignment="1">
      <alignment horizontal="center" vertical="center"/>
    </xf>
    <xf numFmtId="0" fontId="75" fillId="0" borderId="16"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13" xfId="0" applyNumberFormat="1" applyFont="1" applyBorder="1" applyAlignment="1">
      <alignment horizontal="center" vertical="center"/>
    </xf>
    <xf numFmtId="1" fontId="75" fillId="0" borderId="15" xfId="0" applyNumberFormat="1" applyFont="1" applyBorder="1" applyAlignment="1">
      <alignment horizontal="center" vertical="center"/>
    </xf>
    <xf numFmtId="1" fontId="75" fillId="0" borderId="21" xfId="0" applyNumberFormat="1" applyFont="1" applyBorder="1" applyAlignment="1">
      <alignment horizontal="center" vertical="center"/>
    </xf>
    <xf numFmtId="1" fontId="75" fillId="0" borderId="23" xfId="0" applyNumberFormat="1" applyFont="1" applyBorder="1" applyAlignment="1">
      <alignment horizontal="center" vertical="center"/>
    </xf>
    <xf numFmtId="1" fontId="75" fillId="0" borderId="0" xfId="0" applyNumberFormat="1" applyFont="1" applyBorder="1" applyAlignment="1">
      <alignment horizontal="center" vertical="center"/>
    </xf>
    <xf numFmtId="1" fontId="75" fillId="0" borderId="16" xfId="0" applyNumberFormat="1" applyFont="1" applyBorder="1" applyAlignment="1">
      <alignment horizontal="center" vertical="center"/>
    </xf>
    <xf numFmtId="1" fontId="75" fillId="0" borderId="11" xfId="0" applyNumberFormat="1" applyFont="1" applyBorder="1" applyAlignment="1">
      <alignment horizontal="center" vertical="center"/>
    </xf>
    <xf numFmtId="1" fontId="2" fillId="0" borderId="24" xfId="0" applyNumberFormat="1" applyFont="1" applyBorder="1" applyAlignment="1">
      <alignment horizontal="center" vertical="center"/>
    </xf>
    <xf numFmtId="1" fontId="2" fillId="0" borderId="13" xfId="0" applyNumberFormat="1" applyFont="1" applyBorder="1" applyAlignment="1">
      <alignment horizontal="center" vertical="center"/>
    </xf>
    <xf numFmtId="1" fontId="2" fillId="0" borderId="12" xfId="0" applyNumberFormat="1" applyFont="1" applyBorder="1" applyAlignment="1">
      <alignment horizontal="center" vertical="center"/>
    </xf>
    <xf numFmtId="0" fontId="36" fillId="0" borderId="18" xfId="0" applyFont="1" applyBorder="1" applyAlignment="1" applyProtection="1">
      <alignment horizontal="center"/>
      <protection locked="0"/>
    </xf>
    <xf numFmtId="0" fontId="21" fillId="0" borderId="20" xfId="0" applyFont="1" applyBorder="1" applyAlignment="1" applyProtection="1">
      <alignment horizontal="center" vertical="center"/>
      <protection locked="0"/>
    </xf>
    <xf numFmtId="0" fontId="36" fillId="0" borderId="18" xfId="0" applyFont="1" applyBorder="1" applyAlignment="1">
      <alignment horizontal="center" vertical="center"/>
    </xf>
    <xf numFmtId="0" fontId="2" fillId="0" borderId="16" xfId="0" applyFont="1" applyBorder="1" applyAlignment="1">
      <alignment horizontal="center" vertical="center"/>
    </xf>
    <xf numFmtId="0" fontId="24" fillId="0" borderId="0" xfId="0" applyFont="1" applyAlignment="1">
      <alignment vertical="top"/>
    </xf>
    <xf numFmtId="0" fontId="33" fillId="0" borderId="15" xfId="0" quotePrefix="1" applyFont="1" applyBorder="1" applyAlignment="1">
      <alignment horizontal="left" vertical="top" wrapText="1"/>
    </xf>
    <xf numFmtId="0" fontId="42" fillId="0" borderId="12" xfId="0" applyFont="1" applyBorder="1" applyAlignment="1">
      <alignment horizontal="center" vertical="center"/>
    </xf>
    <xf numFmtId="0" fontId="42" fillId="0" borderId="24" xfId="0" applyFont="1" applyBorder="1" applyAlignment="1">
      <alignment horizontal="center" vertical="center"/>
    </xf>
    <xf numFmtId="0" fontId="42" fillId="0" borderId="13" xfId="0" applyFont="1" applyBorder="1" applyAlignment="1">
      <alignment horizontal="center" vertical="center"/>
    </xf>
    <xf numFmtId="190" fontId="3" fillId="0" borderId="17" xfId="0" applyNumberFormat="1" applyFont="1" applyBorder="1" applyAlignment="1" applyProtection="1">
      <alignment horizontal="center" vertical="center"/>
      <protection locked="0"/>
    </xf>
    <xf numFmtId="190" fontId="3" fillId="0" borderId="18" xfId="0" applyNumberFormat="1" applyFont="1" applyBorder="1" applyAlignment="1" applyProtection="1">
      <alignment horizontal="center" vertical="center"/>
      <protection locked="0"/>
    </xf>
    <xf numFmtId="190" fontId="0" fillId="0" borderId="17" xfId="0" applyNumberFormat="1" applyBorder="1" applyAlignment="1" applyProtection="1">
      <alignment horizontal="center" vertical="center"/>
      <protection locked="0"/>
    </xf>
    <xf numFmtId="0" fontId="30" fillId="0" borderId="0" xfId="0" applyFont="1"/>
    <xf numFmtId="0" fontId="24" fillId="0" borderId="15" xfId="0" applyFont="1" applyBorder="1" applyAlignment="1">
      <alignment horizontal="center" vertical="center" wrapText="1"/>
    </xf>
    <xf numFmtId="0" fontId="24" fillId="0" borderId="21" xfId="0" applyFont="1" applyBorder="1" applyAlignment="1">
      <alignment horizontal="center" vertical="center" wrapText="1"/>
    </xf>
    <xf numFmtId="0" fontId="2" fillId="0" borderId="0" xfId="0" applyFont="1" applyBorder="1" applyAlignment="1">
      <alignment horizontal="center"/>
    </xf>
    <xf numFmtId="0" fontId="76" fillId="0" borderId="0" xfId="0" applyFont="1" applyAlignment="1">
      <alignment horizontal="center"/>
    </xf>
    <xf numFmtId="0" fontId="25" fillId="0" borderId="14" xfId="0" applyFont="1" applyFill="1" applyBorder="1" applyAlignment="1">
      <alignment horizontal="center" vertical="center" wrapText="1"/>
    </xf>
    <xf numFmtId="0" fontId="24" fillId="0" borderId="0" xfId="0" applyFont="1" applyProtection="1">
      <protection locked="0"/>
    </xf>
    <xf numFmtId="0" fontId="3" fillId="0" borderId="0" xfId="0" applyFont="1" applyBorder="1" applyAlignment="1">
      <alignment horizontal="center"/>
    </xf>
    <xf numFmtId="0" fontId="3" fillId="0" borderId="11" xfId="0" applyFont="1" applyBorder="1" applyAlignment="1">
      <alignment horizontal="center"/>
    </xf>
    <xf numFmtId="0" fontId="14" fillId="0" borderId="21" xfId="0" applyFont="1" applyBorder="1" applyAlignment="1">
      <alignment horizontal="center" vertical="center"/>
    </xf>
    <xf numFmtId="0" fontId="3" fillId="0" borderId="11" xfId="0" quotePrefix="1" applyFont="1" applyBorder="1" applyAlignment="1">
      <alignment horizontal="center"/>
    </xf>
    <xf numFmtId="0" fontId="3" fillId="0" borderId="16" xfId="0" quotePrefix="1" applyFont="1" applyBorder="1" applyAlignment="1">
      <alignment horizontal="center"/>
    </xf>
    <xf numFmtId="0" fontId="3" fillId="0" borderId="0" xfId="0" quotePrefix="1" applyFont="1" applyBorder="1" applyAlignment="1">
      <alignment horizontal="center"/>
    </xf>
    <xf numFmtId="0" fontId="70" fillId="0" borderId="14" xfId="0" applyFont="1" applyBorder="1" applyAlignment="1">
      <alignment horizontal="center" vertical="center" wrapText="1"/>
    </xf>
    <xf numFmtId="0" fontId="0" fillId="0" borderId="0" xfId="0" applyAlignment="1">
      <alignment horizontal="right" vertical="top"/>
    </xf>
    <xf numFmtId="0" fontId="13" fillId="0" borderId="0" xfId="0" applyFont="1" applyAlignment="1">
      <alignment horizontal="left" vertical="center"/>
    </xf>
    <xf numFmtId="0" fontId="21" fillId="0" borderId="11" xfId="0" applyFont="1" applyBorder="1" applyAlignment="1">
      <alignment horizontal="center" vertical="center" wrapText="1"/>
    </xf>
    <xf numFmtId="0" fontId="91" fillId="0" borderId="0" xfId="0" applyFont="1" applyAlignment="1">
      <alignment horizontal="right"/>
    </xf>
    <xf numFmtId="0" fontId="91" fillId="0" borderId="0" xfId="0" applyFont="1" applyAlignment="1">
      <alignment horizontal="left"/>
    </xf>
    <xf numFmtId="1" fontId="14" fillId="0" borderId="20" xfId="0" applyNumberFormat="1" applyFont="1" applyBorder="1" applyAlignment="1">
      <alignment horizontal="center" vertical="center"/>
    </xf>
    <xf numFmtId="1" fontId="3" fillId="0" borderId="0" xfId="0" applyNumberFormat="1" applyFont="1" applyBorder="1" applyAlignment="1">
      <alignment horizontal="center" vertical="center"/>
    </xf>
    <xf numFmtId="2" fontId="3" fillId="0" borderId="0" xfId="0" applyNumberFormat="1" applyFont="1" applyBorder="1" applyAlignment="1">
      <alignment horizontal="center" vertical="center"/>
    </xf>
    <xf numFmtId="1" fontId="14" fillId="0" borderId="17" xfId="0" applyNumberFormat="1" applyFont="1" applyBorder="1" applyAlignment="1">
      <alignment horizontal="center" vertical="center"/>
    </xf>
    <xf numFmtId="2" fontId="14" fillId="0" borderId="24" xfId="0" applyNumberFormat="1" applyFont="1" applyBorder="1" applyAlignment="1">
      <alignment horizontal="center" vertical="center"/>
    </xf>
    <xf numFmtId="0" fontId="40" fillId="0" borderId="0" xfId="0" applyFont="1" applyBorder="1" applyAlignment="1">
      <alignment vertical="center"/>
    </xf>
    <xf numFmtId="0" fontId="24" fillId="0" borderId="0" xfId="0" applyFont="1" applyAlignment="1" applyProtection="1">
      <alignment vertical="top"/>
      <protection locked="0"/>
    </xf>
    <xf numFmtId="0" fontId="3" fillId="0" borderId="0" xfId="0" applyFont="1" applyAlignment="1">
      <alignment vertical="top"/>
    </xf>
    <xf numFmtId="0" fontId="13" fillId="0" borderId="14" xfId="0" applyFont="1" applyBorder="1" applyAlignment="1">
      <alignment horizontal="center" vertical="center"/>
    </xf>
    <xf numFmtId="0" fontId="48" fillId="0" borderId="14" xfId="0" quotePrefix="1" applyFont="1" applyBorder="1" applyAlignment="1">
      <alignment horizontal="center" vertical="center" wrapText="1"/>
    </xf>
    <xf numFmtId="0" fontId="24" fillId="0" borderId="0" xfId="0" applyFont="1" applyAlignment="1">
      <alignment horizontal="right" vertical="top"/>
    </xf>
    <xf numFmtId="0" fontId="26" fillId="0" borderId="0" xfId="0" applyFont="1" applyAlignment="1" applyProtection="1">
      <alignment horizontal="left"/>
      <protection locked="0"/>
    </xf>
    <xf numFmtId="0" fontId="6" fillId="0" borderId="0" xfId="0" applyFont="1" applyAlignment="1" applyProtection="1">
      <alignment horizontal="left"/>
      <protection locked="0"/>
    </xf>
    <xf numFmtId="0" fontId="25" fillId="0" borderId="20"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0" xfId="0" applyFont="1" applyBorder="1" applyAlignment="1">
      <alignment horizontal="center" vertical="center"/>
    </xf>
    <xf numFmtId="0" fontId="25" fillId="0" borderId="15"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22" xfId="0" applyFont="1" applyBorder="1" applyAlignment="1">
      <alignment horizontal="center"/>
    </xf>
    <xf numFmtId="0" fontId="2" fillId="0" borderId="19" xfId="0" applyFont="1" applyBorder="1" applyAlignment="1">
      <alignment horizontal="center"/>
    </xf>
    <xf numFmtId="0" fontId="2" fillId="0" borderId="11" xfId="0" quotePrefix="1" applyFont="1" applyBorder="1" applyAlignment="1">
      <alignment horizontal="center"/>
    </xf>
    <xf numFmtId="0" fontId="2" fillId="0" borderId="16" xfId="0" quotePrefix="1" applyFont="1" applyBorder="1" applyAlignment="1">
      <alignment horizontal="center"/>
    </xf>
    <xf numFmtId="0" fontId="2" fillId="0" borderId="17" xfId="0" quotePrefix="1" applyFont="1" applyBorder="1" applyAlignment="1">
      <alignment horizontal="center"/>
    </xf>
    <xf numFmtId="0" fontId="19" fillId="0" borderId="22"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14" fillId="0" borderId="18" xfId="0" applyFont="1" applyBorder="1" applyAlignment="1">
      <alignment horizontal="center" vertical="center"/>
    </xf>
    <xf numFmtId="0" fontId="33" fillId="0" borderId="20" xfId="0" applyFont="1" applyBorder="1" applyAlignment="1">
      <alignment horizontal="left" vertical="center"/>
    </xf>
    <xf numFmtId="0" fontId="33" fillId="0" borderId="17" xfId="0" applyFont="1" applyBorder="1" applyAlignment="1">
      <alignment horizontal="left" vertical="center"/>
    </xf>
    <xf numFmtId="0" fontId="35" fillId="0" borderId="20" xfId="0" applyFont="1" applyBorder="1" applyAlignment="1">
      <alignment horizontal="center" vertical="center" wrapText="1"/>
    </xf>
    <xf numFmtId="0" fontId="35" fillId="0" borderId="14" xfId="0" applyFont="1" applyBorder="1" applyAlignment="1">
      <alignment horizontal="center" vertical="center"/>
    </xf>
    <xf numFmtId="0" fontId="35" fillId="0" borderId="14" xfId="0" applyFont="1" applyBorder="1" applyAlignment="1">
      <alignment horizontal="center" vertical="center" wrapText="1"/>
    </xf>
    <xf numFmtId="0" fontId="21" fillId="0" borderId="18" xfId="0" applyFont="1" applyBorder="1" applyAlignment="1">
      <alignment horizontal="center" vertical="center" wrapText="1"/>
    </xf>
    <xf numFmtId="0" fontId="24" fillId="0" borderId="18" xfId="0" applyFont="1" applyBorder="1" applyAlignment="1">
      <alignment horizontal="center" vertical="top"/>
    </xf>
    <xf numFmtId="0" fontId="99" fillId="0" borderId="14" xfId="0" applyFont="1" applyBorder="1" applyAlignment="1">
      <alignment horizontal="center" vertical="center"/>
    </xf>
    <xf numFmtId="0" fontId="43" fillId="0" borderId="16" xfId="0" applyFont="1" applyBorder="1" applyAlignment="1">
      <alignment vertical="center"/>
    </xf>
    <xf numFmtId="0" fontId="94" fillId="0" borderId="16" xfId="0" applyFont="1" applyBorder="1" applyAlignment="1">
      <alignment horizontal="center" vertical="center"/>
    </xf>
    <xf numFmtId="0" fontId="0" fillId="0" borderId="16" xfId="0" applyBorder="1" applyAlignment="1"/>
    <xf numFmtId="0" fontId="21" fillId="0" borderId="10" xfId="0" applyFont="1" applyBorder="1" applyAlignment="1">
      <alignment horizontal="center" vertical="center"/>
    </xf>
    <xf numFmtId="0" fontId="20" fillId="0" borderId="22" xfId="0" applyFont="1" applyBorder="1" applyAlignment="1">
      <alignment horizontal="center" vertical="center"/>
    </xf>
    <xf numFmtId="0" fontId="73" fillId="0" borderId="16" xfId="0" applyFont="1" applyBorder="1" applyAlignment="1">
      <alignment horizontal="center" vertical="center"/>
    </xf>
    <xf numFmtId="0" fontId="42" fillId="0" borderId="14" xfId="0" applyFont="1" applyBorder="1" applyAlignment="1">
      <alignment horizontal="center" vertical="center"/>
    </xf>
    <xf numFmtId="0" fontId="40" fillId="0" borderId="14" xfId="0" applyFont="1" applyBorder="1" applyAlignment="1">
      <alignment horizontal="center" vertical="center"/>
    </xf>
    <xf numFmtId="0" fontId="2" fillId="0" borderId="24" xfId="0" applyFont="1" applyBorder="1" applyAlignment="1">
      <alignment horizontal="center" vertical="center"/>
    </xf>
    <xf numFmtId="0" fontId="3" fillId="0" borderId="0" xfId="0" applyFont="1" applyFill="1" applyBorder="1" applyAlignment="1" applyProtection="1">
      <alignment horizontal="center" vertical="center"/>
      <protection locked="0"/>
    </xf>
    <xf numFmtId="0" fontId="36" fillId="0" borderId="17" xfId="0" applyFont="1" applyBorder="1" applyAlignment="1">
      <alignment horizontal="center" vertical="center"/>
    </xf>
    <xf numFmtId="2" fontId="0" fillId="0" borderId="0" xfId="0" applyNumberFormat="1" applyFill="1" applyBorder="1" applyAlignment="1">
      <alignment horizontal="center" vertical="center"/>
    </xf>
    <xf numFmtId="2" fontId="3" fillId="0" borderId="17" xfId="0" applyNumberFormat="1" applyFont="1" applyFill="1" applyBorder="1" applyAlignment="1">
      <alignment horizontal="center" vertical="center"/>
    </xf>
    <xf numFmtId="0" fontId="18" fillId="0" borderId="0" xfId="0" applyFont="1" applyBorder="1" applyAlignment="1">
      <alignment horizontal="center" vertical="center" wrapText="1"/>
    </xf>
    <xf numFmtId="2" fontId="0" fillId="0" borderId="17" xfId="0" quotePrefix="1" applyNumberFormat="1" applyBorder="1" applyAlignment="1">
      <alignment horizontal="center" vertical="center"/>
    </xf>
    <xf numFmtId="0" fontId="82" fillId="0" borderId="0" xfId="0" applyFont="1" applyFill="1" applyBorder="1" applyAlignment="1">
      <alignment horizontal="left" vertical="center"/>
    </xf>
    <xf numFmtId="0" fontId="44" fillId="0" borderId="0" xfId="0" applyFont="1" applyBorder="1" applyAlignment="1">
      <alignment horizontal="center" vertical="center"/>
    </xf>
    <xf numFmtId="0" fontId="14" fillId="0" borderId="0" xfId="0" applyFont="1" applyBorder="1" applyAlignment="1">
      <alignment horizontal="center" vertical="top" wrapText="1"/>
    </xf>
    <xf numFmtId="0" fontId="44" fillId="0" borderId="12" xfId="0" applyFont="1" applyBorder="1" applyAlignment="1">
      <alignment horizontal="center" vertical="center"/>
    </xf>
    <xf numFmtId="0" fontId="14" fillId="0" borderId="16" xfId="0" applyFont="1" applyBorder="1" applyAlignment="1" applyProtection="1">
      <alignment horizontal="center" vertical="center"/>
    </xf>
    <xf numFmtId="0" fontId="9" fillId="0" borderId="0" xfId="0" applyFont="1" applyBorder="1" applyAlignment="1">
      <alignment horizontal="right"/>
    </xf>
    <xf numFmtId="0" fontId="9" fillId="0" borderId="0" xfId="0" applyFont="1" applyAlignment="1">
      <alignment horizontal="right"/>
    </xf>
    <xf numFmtId="0" fontId="0" fillId="0" borderId="21" xfId="0" applyBorder="1" applyAlignment="1" applyProtection="1">
      <alignment horizontal="center" vertical="center"/>
      <protection locked="0"/>
    </xf>
    <xf numFmtId="0" fontId="3" fillId="0" borderId="17" xfId="0" applyFont="1" applyFill="1" applyBorder="1" applyAlignment="1">
      <alignment horizontal="center" vertical="center"/>
    </xf>
    <xf numFmtId="1" fontId="0" fillId="0" borderId="11" xfId="0" quotePrefix="1" applyNumberFormat="1" applyBorder="1" applyAlignment="1">
      <alignment horizontal="center" vertical="center"/>
    </xf>
    <xf numFmtId="0" fontId="2" fillId="0" borderId="0" xfId="0" applyFont="1" applyAlignment="1">
      <alignment horizontal="center" vertical="top"/>
    </xf>
    <xf numFmtId="0" fontId="48" fillId="0" borderId="0" xfId="0" applyFont="1"/>
    <xf numFmtId="0" fontId="48" fillId="0" borderId="0" xfId="0" applyFont="1" applyBorder="1" applyAlignment="1">
      <alignment horizontal="right" vertical="center" wrapText="1"/>
    </xf>
    <xf numFmtId="0" fontId="44" fillId="0" borderId="0" xfId="0" applyFont="1" applyBorder="1"/>
    <xf numFmtId="0" fontId="91" fillId="0" borderId="0" xfId="0" quotePrefix="1" applyFont="1" applyBorder="1" applyAlignment="1">
      <alignment horizontal="center"/>
    </xf>
    <xf numFmtId="0" fontId="91" fillId="0" borderId="0" xfId="0" quotePrefix="1" applyFont="1" applyBorder="1"/>
    <xf numFmtId="0" fontId="60" fillId="0" borderId="20" xfId="0" quotePrefix="1" applyFont="1" applyBorder="1" applyAlignment="1">
      <alignment horizontal="center" vertical="top"/>
    </xf>
    <xf numFmtId="0" fontId="42" fillId="0" borderId="16" xfId="0" applyFont="1" applyBorder="1" applyAlignment="1">
      <alignment horizontal="left" vertical="top" wrapText="1"/>
    </xf>
    <xf numFmtId="0" fontId="41" fillId="0" borderId="17" xfId="0" applyFont="1" applyBorder="1" applyAlignment="1">
      <alignment horizontal="center"/>
    </xf>
    <xf numFmtId="0" fontId="60" fillId="0" borderId="18" xfId="0" applyFont="1" applyBorder="1" applyAlignment="1">
      <alignment horizontal="center" vertical="top" wrapText="1"/>
    </xf>
    <xf numFmtId="0" fontId="42" fillId="0" borderId="19" xfId="0" applyFont="1" applyBorder="1" applyAlignment="1">
      <alignment horizontal="left" vertical="center" wrapText="1"/>
    </xf>
    <xf numFmtId="0" fontId="100" fillId="0" borderId="0" xfId="0" applyFont="1" applyAlignment="1">
      <alignment horizontal="right"/>
    </xf>
    <xf numFmtId="0" fontId="92" fillId="0" borderId="0" xfId="0" applyFont="1" applyBorder="1" applyAlignment="1">
      <alignment horizontal="left"/>
    </xf>
    <xf numFmtId="0" fontId="101" fillId="0" borderId="0" xfId="0" applyFont="1" applyBorder="1" applyAlignment="1">
      <alignment horizontal="right"/>
    </xf>
    <xf numFmtId="0" fontId="101" fillId="0" borderId="0" xfId="0" applyFont="1" applyBorder="1"/>
    <xf numFmtId="0" fontId="102" fillId="0" borderId="0" xfId="0" applyFont="1" applyBorder="1"/>
    <xf numFmtId="0" fontId="43" fillId="0" borderId="0" xfId="0" applyFont="1" applyAlignment="1">
      <alignment horizontal="left" vertical="top"/>
    </xf>
    <xf numFmtId="0" fontId="101" fillId="0" borderId="0" xfId="0" applyFont="1"/>
    <xf numFmtId="0" fontId="101" fillId="0" borderId="0" xfId="0" applyFont="1" applyBorder="1" applyAlignment="1">
      <alignment vertical="top"/>
    </xf>
    <xf numFmtId="0" fontId="9" fillId="0" borderId="0" xfId="0" applyFont="1" applyAlignment="1">
      <alignment vertical="top"/>
    </xf>
    <xf numFmtId="0" fontId="46" fillId="0" borderId="0" xfId="0" applyFont="1" applyBorder="1" applyAlignment="1">
      <alignment horizontal="right" vertical="center" wrapText="1"/>
    </xf>
    <xf numFmtId="0" fontId="44" fillId="0" borderId="20" xfId="0" quotePrefix="1" applyFont="1" applyBorder="1" applyAlignment="1">
      <alignment horizontal="center" vertical="center"/>
    </xf>
    <xf numFmtId="0" fontId="44" fillId="0" borderId="21" xfId="0" quotePrefix="1" applyFont="1" applyFill="1" applyBorder="1" applyAlignment="1">
      <alignment horizontal="center" vertical="center"/>
    </xf>
    <xf numFmtId="0" fontId="82" fillId="0" borderId="0" xfId="0" applyFont="1" applyAlignment="1">
      <alignment horizontal="right" vertical="top"/>
    </xf>
    <xf numFmtId="0" fontId="82" fillId="0" borderId="0" xfId="0" applyFont="1"/>
    <xf numFmtId="0" fontId="19" fillId="0" borderId="0" xfId="0" applyFont="1" applyAlignment="1">
      <alignment horizontal="center" vertical="center" wrapText="1"/>
    </xf>
    <xf numFmtId="0" fontId="21" fillId="0" borderId="0" xfId="0" applyFont="1" applyBorder="1" applyAlignment="1">
      <alignment horizontal="right" vertical="center"/>
    </xf>
    <xf numFmtId="0" fontId="0" fillId="0" borderId="21" xfId="0" applyBorder="1" applyAlignment="1"/>
    <xf numFmtId="0" fontId="0" fillId="0" borderId="15" xfId="0" applyBorder="1" applyAlignment="1"/>
    <xf numFmtId="0" fontId="0" fillId="0" borderId="19" xfId="0" applyBorder="1" applyAlignment="1"/>
    <xf numFmtId="0" fontId="0" fillId="0" borderId="10" xfId="0" applyBorder="1" applyAlignment="1"/>
    <xf numFmtId="2" fontId="9" fillId="0" borderId="0" xfId="0" applyNumberFormat="1" applyFont="1" applyBorder="1" applyAlignment="1">
      <alignment horizontal="right" vertical="center"/>
    </xf>
    <xf numFmtId="0" fontId="9" fillId="0" borderId="15" xfId="0" applyFont="1" applyBorder="1" applyAlignment="1">
      <alignment horizontal="right" vertical="center"/>
    </xf>
    <xf numFmtId="0" fontId="9" fillId="0" borderId="15" xfId="0" applyFont="1" applyBorder="1" applyAlignment="1">
      <alignment horizontal="left" vertical="center"/>
    </xf>
    <xf numFmtId="0" fontId="9" fillId="0" borderId="0" xfId="0" applyFont="1" applyAlignment="1">
      <alignment horizontal="left"/>
    </xf>
    <xf numFmtId="0" fontId="0" fillId="0" borderId="11" xfId="0" quotePrefix="1" applyBorder="1" applyAlignment="1" applyProtection="1">
      <alignment horizontal="center" vertical="center"/>
      <protection locked="0"/>
    </xf>
    <xf numFmtId="0" fontId="3" fillId="0" borderId="17" xfId="0" quotePrefix="1" applyFont="1" applyBorder="1" applyAlignment="1" applyProtection="1">
      <alignment horizontal="center" vertical="center"/>
      <protection locked="0"/>
    </xf>
    <xf numFmtId="0" fontId="0" fillId="0" borderId="11" xfId="0" applyBorder="1" applyAlignment="1" applyProtection="1">
      <alignment horizontal="center"/>
      <protection locked="0"/>
    </xf>
    <xf numFmtId="0" fontId="2" fillId="0" borderId="17" xfId="0" applyFont="1" applyBorder="1" applyAlignment="1" applyProtection="1">
      <alignment horizontal="center" vertical="center"/>
    </xf>
    <xf numFmtId="0" fontId="0" fillId="0" borderId="14" xfId="0" quotePrefix="1" applyBorder="1" applyAlignment="1" applyProtection="1">
      <alignment horizontal="center" vertical="center"/>
      <protection locked="0"/>
    </xf>
    <xf numFmtId="0" fontId="17" fillId="0" borderId="20" xfId="0" quotePrefix="1" applyFont="1" applyBorder="1" applyAlignment="1">
      <alignment horizontal="center" vertical="center" wrapText="1"/>
    </xf>
    <xf numFmtId="2" fontId="44" fillId="0" borderId="20" xfId="0" applyNumberFormat="1" applyFont="1" applyBorder="1" applyAlignment="1">
      <alignment horizontal="center" vertical="center"/>
    </xf>
    <xf numFmtId="2" fontId="44" fillId="0" borderId="17" xfId="0" applyNumberFormat="1" applyFont="1" applyBorder="1" applyAlignment="1">
      <alignment horizontal="center" vertical="center"/>
    </xf>
    <xf numFmtId="170" fontId="0" fillId="0" borderId="17" xfId="0" applyNumberFormat="1" applyFill="1" applyBorder="1" applyAlignment="1">
      <alignment horizontal="center" vertical="center"/>
    </xf>
    <xf numFmtId="167" fontId="0" fillId="0" borderId="18" xfId="0" applyNumberFormat="1" applyBorder="1" applyAlignment="1">
      <alignment horizontal="center" vertical="center"/>
    </xf>
    <xf numFmtId="0" fontId="76" fillId="0" borderId="0" xfId="0" applyFont="1" applyBorder="1" applyAlignment="1">
      <alignment horizontal="center" vertical="center"/>
    </xf>
    <xf numFmtId="0" fontId="24" fillId="0" borderId="16" xfId="0" applyFont="1" applyBorder="1" applyAlignment="1">
      <alignment horizontal="center" vertical="center" wrapText="1"/>
    </xf>
    <xf numFmtId="0" fontId="24" fillId="0" borderId="11" xfId="0" applyFont="1" applyFill="1" applyBorder="1" applyAlignment="1">
      <alignment horizontal="center" vertical="center"/>
    </xf>
    <xf numFmtId="0" fontId="14" fillId="0" borderId="16" xfId="0" applyFont="1" applyBorder="1" applyAlignment="1">
      <alignment horizontal="left" vertical="center"/>
    </xf>
    <xf numFmtId="0" fontId="47" fillId="0" borderId="0" xfId="0" applyFont="1" applyBorder="1" applyAlignment="1">
      <alignment horizontal="right"/>
    </xf>
    <xf numFmtId="0" fontId="0" fillId="0" borderId="16" xfId="0" applyBorder="1" applyAlignment="1">
      <alignment horizontal="left" vertical="center"/>
    </xf>
    <xf numFmtId="0" fontId="9" fillId="0" borderId="15" xfId="0" applyFont="1" applyBorder="1" applyAlignment="1">
      <alignment horizontal="right"/>
    </xf>
    <xf numFmtId="2" fontId="0" fillId="0" borderId="21" xfId="0" applyNumberFormat="1" applyBorder="1" applyAlignment="1">
      <alignment horizontal="center" vertical="center"/>
    </xf>
    <xf numFmtId="0" fontId="3" fillId="0" borderId="23" xfId="0" applyFont="1" applyBorder="1" applyAlignment="1" applyProtection="1">
      <alignment horizontal="center" vertical="center"/>
      <protection locked="0"/>
    </xf>
    <xf numFmtId="0" fontId="3" fillId="0" borderId="20" xfId="0" quotePrefix="1" applyFont="1" applyBorder="1" applyAlignment="1">
      <alignment horizontal="center" vertical="center"/>
    </xf>
    <xf numFmtId="0" fontId="3" fillId="0" borderId="22" xfId="0" applyFont="1" applyBorder="1" applyAlignment="1">
      <alignment horizontal="center" vertical="center"/>
    </xf>
    <xf numFmtId="0" fontId="104" fillId="0" borderId="0" xfId="0" applyFont="1"/>
    <xf numFmtId="0" fontId="9" fillId="0" borderId="0" xfId="0" applyFont="1" applyAlignment="1">
      <alignment horizontal="right" vertical="top"/>
    </xf>
    <xf numFmtId="0" fontId="88" fillId="0" borderId="14" xfId="0" applyFont="1" applyBorder="1" applyAlignment="1">
      <alignment horizontal="center" vertical="center" wrapText="1"/>
    </xf>
    <xf numFmtId="0" fontId="19" fillId="0" borderId="10" xfId="0" quotePrefix="1" applyFont="1" applyBorder="1" applyAlignment="1">
      <alignment horizontal="right"/>
    </xf>
    <xf numFmtId="0" fontId="42" fillId="0" borderId="11" xfId="0" applyFont="1" applyBorder="1" applyAlignment="1">
      <alignment vertical="center"/>
    </xf>
    <xf numFmtId="2" fontId="0" fillId="0" borderId="16" xfId="0" applyNumberFormat="1" applyBorder="1" applyAlignment="1">
      <alignment vertical="center"/>
    </xf>
    <xf numFmtId="2" fontId="41" fillId="0" borderId="16" xfId="0" applyNumberFormat="1" applyFont="1" applyBorder="1" applyAlignment="1">
      <alignment horizontal="center" vertical="center"/>
    </xf>
    <xf numFmtId="2" fontId="46" fillId="0" borderId="16" xfId="0" applyNumberFormat="1" applyFont="1" applyBorder="1" applyAlignment="1">
      <alignment horizontal="center" vertical="center"/>
    </xf>
    <xf numFmtId="0" fontId="40" fillId="0" borderId="11" xfId="0" applyFont="1" applyBorder="1" applyAlignment="1">
      <alignment vertical="center"/>
    </xf>
    <xf numFmtId="2" fontId="82" fillId="0" borderId="0" xfId="0" applyNumberFormat="1" applyFont="1" applyFill="1" applyBorder="1" applyAlignment="1" applyProtection="1">
      <alignment horizontal="left" vertical="center"/>
    </xf>
    <xf numFmtId="0" fontId="47" fillId="0" borderId="0" xfId="0" applyFont="1" applyProtection="1">
      <protection locked="0"/>
    </xf>
    <xf numFmtId="0" fontId="47" fillId="0" borderId="0" xfId="0" applyFont="1" applyAlignment="1" applyProtection="1">
      <alignment horizontal="right"/>
      <protection locked="0"/>
    </xf>
    <xf numFmtId="0" fontId="59" fillId="0" borderId="0" xfId="0" applyFont="1" applyProtection="1">
      <protection locked="0"/>
    </xf>
    <xf numFmtId="0" fontId="9" fillId="0" borderId="0" xfId="0" applyFont="1" applyProtection="1">
      <protection locked="0"/>
    </xf>
    <xf numFmtId="0" fontId="59" fillId="0" borderId="0" xfId="0" applyFont="1" applyAlignment="1" applyProtection="1">
      <alignment horizontal="left" vertical="top"/>
      <protection locked="0"/>
    </xf>
    <xf numFmtId="0" fontId="59" fillId="0" borderId="0" xfId="0" applyFont="1" applyAlignment="1" applyProtection="1">
      <alignment vertical="top"/>
      <protection locked="0"/>
    </xf>
    <xf numFmtId="0" fontId="9" fillId="0" borderId="0" xfId="0" applyFont="1" applyAlignment="1" applyProtection="1">
      <alignment horizontal="center"/>
      <protection locked="0"/>
    </xf>
    <xf numFmtId="0" fontId="47" fillId="0" borderId="0" xfId="0" applyFont="1" applyAlignment="1">
      <alignment horizontal="right"/>
    </xf>
    <xf numFmtId="0" fontId="47" fillId="0" borderId="0" xfId="0" applyFont="1" applyAlignment="1" applyProtection="1">
      <alignment vertical="top"/>
      <protection locked="0"/>
    </xf>
    <xf numFmtId="0" fontId="47" fillId="0" borderId="0" xfId="0" applyFont="1" applyAlignment="1" applyProtection="1">
      <protection locked="0"/>
    </xf>
    <xf numFmtId="0" fontId="47" fillId="0" borderId="15" xfId="0" applyFont="1" applyBorder="1" applyAlignment="1" applyProtection="1">
      <alignment horizontal="right" vertical="top"/>
      <protection locked="0"/>
    </xf>
    <xf numFmtId="0" fontId="47" fillId="0" borderId="0" xfId="0" applyFont="1" applyAlignment="1" applyProtection="1">
      <alignment horizontal="right" vertical="top"/>
      <protection locked="0"/>
    </xf>
    <xf numFmtId="0" fontId="47" fillId="0" borderId="0" xfId="0" applyFont="1" applyAlignment="1" applyProtection="1">
      <alignment horizontal="left"/>
      <protection locked="0"/>
    </xf>
    <xf numFmtId="0" fontId="47" fillId="0" borderId="0" xfId="0" applyFont="1" applyBorder="1" applyAlignment="1" applyProtection="1">
      <alignment horizontal="right"/>
      <protection locked="0"/>
    </xf>
    <xf numFmtId="0" fontId="47" fillId="0" borderId="0" xfId="0" applyFont="1" applyBorder="1" applyAlignment="1" applyProtection="1">
      <alignment horizontal="right" vertical="top"/>
      <protection locked="0"/>
    </xf>
    <xf numFmtId="0" fontId="58" fillId="0" borderId="0" xfId="0" applyFont="1" applyAlignment="1" applyProtection="1">
      <alignment horizontal="right"/>
      <protection locked="0"/>
    </xf>
    <xf numFmtId="0" fontId="58" fillId="0" borderId="0" xfId="0" applyFont="1" applyAlignment="1" applyProtection="1">
      <alignment horizontal="left"/>
      <protection locked="0"/>
    </xf>
    <xf numFmtId="0" fontId="47" fillId="0" borderId="15" xfId="0" applyFont="1" applyBorder="1" applyAlignment="1" applyProtection="1">
      <alignment horizontal="right"/>
      <protection locked="0"/>
    </xf>
    <xf numFmtId="0" fontId="59" fillId="0" borderId="0" xfId="0" applyFont="1" applyAlignment="1" applyProtection="1">
      <alignment horizontal="right"/>
      <protection locked="0"/>
    </xf>
    <xf numFmtId="0" fontId="59" fillId="0" borderId="0" xfId="0" applyFont="1" applyAlignment="1" applyProtection="1">
      <protection locked="0"/>
    </xf>
    <xf numFmtId="0" fontId="59" fillId="0" borderId="0" xfId="0" applyFont="1" applyAlignment="1" applyProtection="1">
      <alignment vertical="center"/>
      <protection locked="0"/>
    </xf>
    <xf numFmtId="0" fontId="9" fillId="0" borderId="0" xfId="0" applyFont="1" applyAlignment="1" applyProtection="1">
      <alignment vertical="center"/>
      <protection locked="0"/>
    </xf>
    <xf numFmtId="0" fontId="59" fillId="0" borderId="0" xfId="0" applyFont="1" applyAlignment="1" applyProtection="1">
      <alignment horizontal="left"/>
      <protection locked="0"/>
    </xf>
    <xf numFmtId="0" fontId="109" fillId="0" borderId="0" xfId="0" applyFont="1" applyProtection="1">
      <protection locked="0"/>
    </xf>
    <xf numFmtId="0" fontId="58" fillId="0" borderId="0" xfId="0" applyFont="1"/>
    <xf numFmtId="0" fontId="59" fillId="0" borderId="15" xfId="0" applyFont="1" applyBorder="1" applyAlignment="1">
      <alignment horizontal="center"/>
    </xf>
    <xf numFmtId="0" fontId="20" fillId="0" borderId="16" xfId="0" applyFont="1" applyBorder="1" applyAlignment="1">
      <alignment horizontal="left" vertical="center"/>
    </xf>
    <xf numFmtId="0" fontId="14" fillId="0" borderId="21" xfId="0" applyFont="1" applyBorder="1" applyAlignment="1">
      <alignment vertical="center"/>
    </xf>
    <xf numFmtId="0" fontId="14" fillId="0" borderId="17" xfId="0" applyFont="1" applyBorder="1" applyAlignment="1">
      <alignment vertical="center"/>
    </xf>
    <xf numFmtId="0" fontId="110" fillId="0" borderId="0" xfId="0" applyFont="1"/>
    <xf numFmtId="0" fontId="3" fillId="0" borderId="18" xfId="0" applyFont="1" applyFill="1" applyBorder="1" applyAlignment="1">
      <alignment horizontal="center" vertical="center"/>
    </xf>
    <xf numFmtId="2" fontId="3" fillId="0" borderId="20" xfId="0" applyNumberFormat="1" applyFont="1" applyBorder="1" applyAlignment="1">
      <alignment horizontal="center" vertical="center"/>
    </xf>
    <xf numFmtId="0" fontId="3" fillId="0" borderId="23" xfId="0" quotePrefix="1" applyFont="1" applyBorder="1" applyAlignment="1" applyProtection="1">
      <alignment horizontal="center" vertical="center"/>
      <protection locked="0"/>
    </xf>
    <xf numFmtId="0" fontId="3" fillId="0" borderId="15" xfId="0" applyFont="1" applyBorder="1" applyAlignment="1">
      <alignment horizontal="center" vertical="center"/>
    </xf>
    <xf numFmtId="0" fontId="47" fillId="0" borderId="0" xfId="0" applyFont="1" applyAlignment="1">
      <alignment horizontal="left"/>
    </xf>
    <xf numFmtId="0" fontId="47" fillId="0" borderId="0" xfId="0" applyFont="1" applyBorder="1"/>
    <xf numFmtId="0" fontId="21" fillId="0" borderId="17" xfId="0" applyFont="1" applyBorder="1" applyAlignment="1">
      <alignment vertical="top" wrapText="1"/>
    </xf>
    <xf numFmtId="0" fontId="111" fillId="0" borderId="0" xfId="0" applyFont="1" applyAlignment="1">
      <alignment horizontal="right"/>
    </xf>
    <xf numFmtId="2" fontId="17" fillId="0" borderId="15" xfId="0" quotePrefix="1" applyNumberFormat="1" applyFont="1" applyBorder="1" applyAlignment="1">
      <alignment horizontal="center" vertical="center"/>
    </xf>
    <xf numFmtId="2" fontId="17" fillId="0" borderId="21" xfId="0" quotePrefix="1" applyNumberFormat="1" applyFont="1" applyBorder="1" applyAlignment="1">
      <alignment horizontal="center" vertical="center"/>
    </xf>
    <xf numFmtId="0" fontId="14" fillId="0" borderId="17" xfId="0" applyFont="1" applyBorder="1" applyAlignment="1" applyProtection="1">
      <alignment horizontal="center" vertical="center" wrapText="1" shrinkToFit="1"/>
      <protection locked="0"/>
    </xf>
    <xf numFmtId="0" fontId="47" fillId="0" borderId="0" xfId="0" applyFont="1" applyAlignment="1" applyProtection="1">
      <alignment vertical="center"/>
      <protection locked="0"/>
    </xf>
    <xf numFmtId="0" fontId="57" fillId="0" borderId="0" xfId="0" applyFont="1" applyAlignment="1" applyProtection="1">
      <alignment vertical="center"/>
      <protection locked="0"/>
    </xf>
    <xf numFmtId="0" fontId="26" fillId="0" borderId="0" xfId="0" applyFont="1" applyAlignment="1" applyProtection="1">
      <alignment vertical="center"/>
      <protection locked="0"/>
    </xf>
    <xf numFmtId="0" fontId="6" fillId="0" borderId="0" xfId="0" applyFont="1" applyAlignment="1" applyProtection="1">
      <alignment vertical="center"/>
      <protection locked="0"/>
    </xf>
    <xf numFmtId="167" fontId="8" fillId="0" borderId="0" xfId="0" applyNumberFormat="1" applyFont="1" applyBorder="1" applyAlignment="1">
      <alignment vertical="center"/>
    </xf>
    <xf numFmtId="0" fontId="6" fillId="0" borderId="0" xfId="0" applyFont="1" applyBorder="1" applyAlignment="1" applyProtection="1">
      <alignment vertical="center"/>
      <protection locked="0"/>
    </xf>
    <xf numFmtId="0" fontId="47" fillId="0" borderId="0" xfId="0" applyFont="1" applyAlignment="1">
      <alignment horizontal="right" vertical="center"/>
    </xf>
    <xf numFmtId="0" fontId="47" fillId="0" borderId="0" xfId="0" applyFont="1" applyAlignment="1" applyProtection="1">
      <alignment horizontal="left" vertical="center"/>
      <protection locked="0"/>
    </xf>
    <xf numFmtId="0" fontId="112" fillId="0" borderId="0" xfId="0" applyFont="1" applyAlignment="1">
      <alignment horizontal="right"/>
    </xf>
    <xf numFmtId="0" fontId="9" fillId="0" borderId="0" xfId="0" applyFont="1" applyAlignment="1" applyProtection="1">
      <alignment horizontal="right"/>
      <protection locked="0"/>
    </xf>
    <xf numFmtId="0" fontId="9" fillId="0" borderId="0" xfId="0" applyFont="1" applyAlignment="1" applyProtection="1">
      <alignment vertical="top"/>
      <protection locked="0"/>
    </xf>
    <xf numFmtId="0" fontId="90" fillId="0" borderId="0" xfId="0" applyFont="1" applyBorder="1" applyAlignment="1">
      <alignment horizontal="right" vertical="top"/>
    </xf>
    <xf numFmtId="0" fontId="47" fillId="0" borderId="15" xfId="0" applyFont="1" applyBorder="1" applyAlignment="1">
      <alignment horizontal="right"/>
    </xf>
    <xf numFmtId="0" fontId="47" fillId="0" borderId="0" xfId="0" applyFont="1" applyAlignment="1"/>
    <xf numFmtId="0" fontId="47" fillId="0" borderId="0" xfId="0" applyFont="1" applyAlignment="1">
      <alignment vertical="top"/>
    </xf>
    <xf numFmtId="0" fontId="47" fillId="0" borderId="0" xfId="0" applyFont="1" applyAlignment="1">
      <alignment vertical="top" wrapText="1"/>
    </xf>
    <xf numFmtId="0" fontId="47" fillId="0" borderId="0" xfId="0" quotePrefix="1" applyFont="1"/>
    <xf numFmtId="0" fontId="47" fillId="0" borderId="0" xfId="0" quotePrefix="1" applyFont="1" applyBorder="1"/>
    <xf numFmtId="0" fontId="56" fillId="0" borderId="0" xfId="0" applyFont="1" applyBorder="1"/>
    <xf numFmtId="0" fontId="56" fillId="0" borderId="0" xfId="0" applyFont="1"/>
    <xf numFmtId="0" fontId="47" fillId="0" borderId="0" xfId="0" applyFont="1" applyFill="1" applyBorder="1"/>
    <xf numFmtId="0" fontId="82" fillId="0" borderId="0" xfId="0" applyFont="1" applyFill="1" applyBorder="1" applyAlignment="1">
      <alignment horizontal="right" vertical="center"/>
    </xf>
    <xf numFmtId="0" fontId="47" fillId="0" borderId="0" xfId="0" applyFont="1" applyBorder="1" applyAlignment="1">
      <alignment horizontal="left"/>
    </xf>
    <xf numFmtId="0" fontId="47" fillId="0" borderId="0" xfId="0" applyFont="1" applyAlignment="1">
      <alignment horizontal="right" vertical="top"/>
    </xf>
    <xf numFmtId="0" fontId="47" fillId="0" borderId="0" xfId="0" applyFont="1" applyFill="1" applyBorder="1" applyAlignment="1">
      <alignment horizontal="left" vertical="center"/>
    </xf>
    <xf numFmtId="0" fontId="59" fillId="0" borderId="15" xfId="0" applyFont="1" applyBorder="1" applyAlignment="1">
      <alignment vertical="top"/>
    </xf>
    <xf numFmtId="0" fontId="110" fillId="0" borderId="0" xfId="0" applyFont="1" applyBorder="1" applyAlignment="1">
      <alignment horizontal="right" vertical="center"/>
    </xf>
    <xf numFmtId="0" fontId="47" fillId="0" borderId="15" xfId="0" applyFont="1" applyBorder="1" applyAlignment="1">
      <alignment horizontal="right" vertical="top"/>
    </xf>
    <xf numFmtId="0" fontId="47" fillId="0" borderId="0" xfId="0" applyFont="1" applyBorder="1" applyAlignment="1">
      <alignment horizontal="right" vertical="top"/>
    </xf>
    <xf numFmtId="0" fontId="47" fillId="0" borderId="15" xfId="0" applyFont="1" applyBorder="1" applyAlignment="1">
      <alignment vertical="top"/>
    </xf>
    <xf numFmtId="0" fontId="101" fillId="0" borderId="0" xfId="0" applyFont="1" applyAlignment="1">
      <alignment horizontal="right"/>
    </xf>
    <xf numFmtId="0" fontId="59" fillId="0" borderId="0" xfId="0" applyFont="1" applyAlignment="1">
      <alignment horizontal="right"/>
    </xf>
    <xf numFmtId="0" fontId="92" fillId="0" borderId="0" xfId="0" applyFont="1" applyBorder="1" applyAlignment="1" applyProtection="1">
      <alignment horizontal="right" vertical="top"/>
      <protection locked="0"/>
    </xf>
    <xf numFmtId="0" fontId="92" fillId="0" borderId="0" xfId="0" applyFont="1" applyAlignment="1">
      <alignment horizontal="right" vertical="top"/>
    </xf>
    <xf numFmtId="0" fontId="9" fillId="0" borderId="0" xfId="0" applyFont="1" applyAlignment="1">
      <alignment horizontal="left" vertical="top"/>
    </xf>
    <xf numFmtId="0" fontId="59" fillId="0" borderId="0" xfId="0" applyFont="1" applyAlignment="1">
      <alignment horizontal="left"/>
    </xf>
    <xf numFmtId="0" fontId="110" fillId="0" borderId="0" xfId="0" applyFont="1" applyAlignment="1">
      <alignment horizontal="right" vertical="top"/>
    </xf>
    <xf numFmtId="0" fontId="59" fillId="0" borderId="15" xfId="0" applyFont="1" applyBorder="1" applyAlignment="1">
      <alignment horizontal="right"/>
    </xf>
    <xf numFmtId="0" fontId="47" fillId="0" borderId="0" xfId="0" applyFont="1" applyBorder="1" applyAlignment="1"/>
    <xf numFmtId="0" fontId="82" fillId="24" borderId="0" xfId="0" applyFont="1" applyFill="1" applyAlignment="1">
      <alignment horizontal="right"/>
    </xf>
    <xf numFmtId="0" fontId="82" fillId="24" borderId="0" xfId="0" applyFont="1" applyFill="1"/>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6" fillId="0" borderId="0" xfId="0" applyFont="1" applyAlignment="1"/>
    <xf numFmtId="0" fontId="3" fillId="0" borderId="0" xfId="0" applyFont="1" applyAlignment="1"/>
    <xf numFmtId="0" fontId="70" fillId="0" borderId="22" xfId="0" applyFont="1" applyBorder="1" applyAlignment="1">
      <alignment horizontal="center" vertical="center"/>
    </xf>
    <xf numFmtId="0" fontId="70" fillId="0" borderId="10" xfId="0" applyFont="1" applyBorder="1" applyAlignment="1">
      <alignment horizontal="center" vertical="center"/>
    </xf>
    <xf numFmtId="0" fontId="70" fillId="0" borderId="19" xfId="0" applyFont="1" applyBorder="1" applyAlignment="1">
      <alignment horizontal="center" vertical="center"/>
    </xf>
    <xf numFmtId="170" fontId="3" fillId="0" borderId="0" xfId="0" applyNumberFormat="1" applyFont="1" applyBorder="1" applyAlignment="1">
      <alignment horizontal="center" vertical="center"/>
    </xf>
    <xf numFmtId="170" fontId="3" fillId="0" borderId="10" xfId="0" applyNumberFormat="1" applyFont="1" applyBorder="1" applyAlignment="1">
      <alignment horizontal="center" vertical="center"/>
    </xf>
    <xf numFmtId="2" fontId="3" fillId="0" borderId="19" xfId="0" applyNumberFormat="1" applyFont="1" applyBorder="1" applyAlignment="1">
      <alignment horizontal="center" vertical="center"/>
    </xf>
    <xf numFmtId="1" fontId="3" fillId="0" borderId="11" xfId="0" quotePrefix="1" applyNumberFormat="1" applyFont="1" applyBorder="1" applyAlignment="1">
      <alignment horizontal="center" vertical="center"/>
    </xf>
    <xf numFmtId="170" fontId="3" fillId="0" borderId="0" xfId="0" quotePrefix="1" applyNumberFormat="1" applyFont="1" applyBorder="1" applyAlignment="1">
      <alignment horizontal="center" vertical="center"/>
    </xf>
    <xf numFmtId="0" fontId="35" fillId="0" borderId="11" xfId="0" applyFont="1" applyBorder="1" applyAlignment="1">
      <alignment horizontal="center" vertical="center" wrapText="1"/>
    </xf>
    <xf numFmtId="0" fontId="35" fillId="0" borderId="0" xfId="0" applyFont="1" applyBorder="1" applyAlignment="1">
      <alignment horizontal="center" vertical="center" wrapText="1"/>
    </xf>
    <xf numFmtId="0" fontId="0" fillId="0" borderId="11" xfId="0" applyNumberFormat="1" applyBorder="1" applyAlignment="1">
      <alignment horizontal="center" vertical="center"/>
    </xf>
    <xf numFmtId="0" fontId="0" fillId="0" borderId="0" xfId="0" applyNumberFormat="1" applyBorder="1" applyAlignment="1">
      <alignment horizontal="center" vertical="center"/>
    </xf>
    <xf numFmtId="0" fontId="0" fillId="0" borderId="16" xfId="0" applyNumberFormat="1" applyBorder="1" applyAlignment="1">
      <alignment horizontal="center" vertical="center"/>
    </xf>
    <xf numFmtId="0" fontId="0" fillId="0" borderId="11" xfId="0" quotePrefix="1" applyNumberFormat="1" applyBorder="1" applyAlignment="1">
      <alignment horizontal="center" vertical="center"/>
    </xf>
    <xf numFmtId="0" fontId="0" fillId="0" borderId="0" xfId="0" quotePrefix="1" applyNumberFormat="1" applyBorder="1" applyAlignment="1">
      <alignment horizontal="center" vertical="center"/>
    </xf>
    <xf numFmtId="0" fontId="0" fillId="0" borderId="16" xfId="0" quotePrefix="1" applyNumberFormat="1" applyBorder="1" applyAlignment="1">
      <alignment horizontal="center" vertical="center"/>
    </xf>
    <xf numFmtId="3" fontId="3" fillId="0" borderId="15" xfId="0" quotePrefix="1" applyNumberFormat="1" applyFont="1" applyBorder="1" applyAlignment="1">
      <alignment horizontal="center" vertical="center"/>
    </xf>
    <xf numFmtId="3" fontId="3" fillId="0" borderId="21" xfId="0" quotePrefix="1" applyNumberFormat="1" applyFont="1" applyBorder="1" applyAlignment="1">
      <alignment horizontal="center" vertical="center"/>
    </xf>
    <xf numFmtId="3" fontId="3" fillId="0" borderId="23" xfId="0" quotePrefix="1" applyNumberFormat="1" applyFont="1" applyBorder="1" applyAlignment="1">
      <alignment horizontal="center" vertical="center"/>
    </xf>
    <xf numFmtId="3" fontId="3" fillId="0" borderId="20" xfId="0" quotePrefix="1" applyNumberFormat="1" applyFont="1" applyBorder="1" applyAlignment="1">
      <alignment horizontal="center" vertical="center"/>
    </xf>
    <xf numFmtId="0" fontId="2" fillId="0" borderId="11"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 fontId="24" fillId="0" borderId="20" xfId="0" applyNumberFormat="1" applyFont="1" applyBorder="1" applyAlignment="1">
      <alignment horizontal="center" vertical="center" wrapText="1"/>
    </xf>
    <xf numFmtId="2" fontId="16" fillId="0" borderId="16" xfId="0" applyNumberFormat="1" applyFont="1" applyBorder="1" applyAlignment="1">
      <alignment horizontal="center" vertical="center"/>
    </xf>
    <xf numFmtId="0" fontId="2" fillId="0" borderId="19" xfId="0" applyFont="1" applyBorder="1" applyAlignment="1">
      <alignment horizontal="center" vertical="center"/>
    </xf>
    <xf numFmtId="2" fontId="16" fillId="0" borderId="19" xfId="0" applyNumberFormat="1" applyFont="1" applyBorder="1" applyAlignment="1">
      <alignment horizontal="center" vertical="center"/>
    </xf>
    <xf numFmtId="170" fontId="3" fillId="0" borderId="0" xfId="0" applyNumberFormat="1" applyFont="1" applyAlignment="1">
      <alignment horizontal="center" vertical="center"/>
    </xf>
    <xf numFmtId="0" fontId="59" fillId="0" borderId="0" xfId="0" applyFont="1" applyAlignment="1">
      <alignment vertical="top"/>
    </xf>
    <xf numFmtId="0" fontId="59" fillId="0" borderId="0" xfId="0" applyFont="1" applyBorder="1" applyAlignment="1">
      <alignment horizontal="left" vertical="top"/>
    </xf>
    <xf numFmtId="1" fontId="3" fillId="0" borderId="16" xfId="0" quotePrefix="1" applyNumberFormat="1" applyFont="1" applyBorder="1" applyAlignment="1">
      <alignment horizontal="center" vertical="center"/>
    </xf>
    <xf numFmtId="0" fontId="46" fillId="0" borderId="18" xfId="0" quotePrefix="1" applyFont="1" applyBorder="1" applyAlignment="1">
      <alignment horizontal="center" vertical="center"/>
    </xf>
    <xf numFmtId="0" fontId="51" fillId="0" borderId="12" xfId="0" quotePrefix="1" applyFont="1" applyBorder="1" applyAlignment="1">
      <alignment horizontal="center" vertical="center"/>
    </xf>
    <xf numFmtId="0" fontId="51" fillId="0" borderId="13" xfId="0" quotePrefix="1" applyFont="1" applyBorder="1" applyAlignment="1">
      <alignment horizontal="center" vertical="center"/>
    </xf>
    <xf numFmtId="0" fontId="21" fillId="0" borderId="2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xf>
    <xf numFmtId="0" fontId="36" fillId="0" borderId="16" xfId="0" applyFont="1" applyBorder="1" applyAlignment="1">
      <alignment horizontal="center" vertical="center"/>
    </xf>
    <xf numFmtId="0" fontId="36" fillId="0" borderId="19" xfId="0" applyFont="1" applyBorder="1" applyAlignment="1">
      <alignment horizontal="center" vertical="center"/>
    </xf>
    <xf numFmtId="0" fontId="2" fillId="0" borderId="18" xfId="0" quotePrefix="1" applyFont="1" applyBorder="1" applyAlignment="1">
      <alignment horizontal="center"/>
    </xf>
    <xf numFmtId="0" fontId="21" fillId="0" borderId="23" xfId="0" applyFont="1" applyFill="1" applyBorder="1" applyAlignment="1">
      <alignment horizontal="center" vertical="center"/>
    </xf>
    <xf numFmtId="2" fontId="0" fillId="0" borderId="0" xfId="0" applyNumberFormat="1" applyAlignment="1">
      <alignment vertical="center"/>
    </xf>
    <xf numFmtId="2" fontId="0" fillId="0" borderId="20" xfId="0" applyNumberFormat="1" applyBorder="1" applyAlignment="1">
      <alignment vertical="center"/>
    </xf>
    <xf numFmtId="0" fontId="33" fillId="0" borderId="11" xfId="0" applyFont="1" applyBorder="1" applyAlignment="1">
      <alignment horizontal="center" vertical="center"/>
    </xf>
    <xf numFmtId="0" fontId="2" fillId="0" borderId="17" xfId="0" applyFont="1" applyBorder="1" applyAlignment="1">
      <alignment horizontal="left" vertical="center"/>
    </xf>
    <xf numFmtId="0" fontId="22" fillId="0" borderId="0" xfId="0" applyFont="1" applyAlignment="1">
      <alignment horizontal="right" vertical="center"/>
    </xf>
    <xf numFmtId="0" fontId="47" fillId="0" borderId="0" xfId="0" applyFont="1" applyBorder="1" applyAlignment="1">
      <alignment horizontal="right" vertical="center"/>
    </xf>
    <xf numFmtId="0" fontId="22" fillId="0" borderId="0" xfId="0" applyFont="1" applyAlignment="1">
      <alignment vertical="center"/>
    </xf>
    <xf numFmtId="0" fontId="22" fillId="0" borderId="0" xfId="0" applyFont="1" applyAlignment="1">
      <alignment horizontal="left" vertical="center"/>
    </xf>
    <xf numFmtId="0" fontId="57" fillId="0" borderId="15" xfId="0" applyFont="1" applyBorder="1" applyAlignment="1">
      <alignment horizontal="left" vertical="center"/>
    </xf>
    <xf numFmtId="0" fontId="57" fillId="0" borderId="0" xfId="0" applyFont="1" applyBorder="1" applyAlignment="1">
      <alignment horizontal="left" vertical="center"/>
    </xf>
    <xf numFmtId="0" fontId="47" fillId="0" borderId="0" xfId="0" applyFont="1" applyAlignment="1">
      <alignment horizontal="left" vertical="center"/>
    </xf>
    <xf numFmtId="0" fontId="0" fillId="0" borderId="0" xfId="0" applyFill="1" applyBorder="1" applyAlignment="1">
      <alignment horizontal="right" vertical="center"/>
    </xf>
    <xf numFmtId="0" fontId="9" fillId="0" borderId="0" xfId="0" applyFont="1" applyAlignment="1">
      <alignment vertical="center"/>
    </xf>
    <xf numFmtId="0" fontId="47" fillId="0" borderId="0" xfId="0" applyFont="1" applyAlignment="1">
      <alignment vertical="center"/>
    </xf>
    <xf numFmtId="0" fontId="0" fillId="0" borderId="15" xfId="0" applyBorder="1" applyAlignment="1">
      <alignment vertical="center"/>
    </xf>
    <xf numFmtId="0" fontId="0" fillId="0" borderId="21" xfId="0" applyBorder="1" applyAlignment="1">
      <alignment vertical="center"/>
    </xf>
    <xf numFmtId="1" fontId="44" fillId="0" borderId="17" xfId="0" applyNumberFormat="1" applyFont="1" applyBorder="1" applyAlignment="1">
      <alignment horizontal="center" vertical="center"/>
    </xf>
    <xf numFmtId="0" fontId="21" fillId="0" borderId="20" xfId="0" applyFont="1" applyFill="1" applyBorder="1" applyAlignment="1">
      <alignment horizontal="center" vertical="center"/>
    </xf>
    <xf numFmtId="0" fontId="0" fillId="0" borderId="22" xfId="0" quotePrefix="1" applyBorder="1" applyAlignment="1" applyProtection="1">
      <alignment horizontal="center" vertical="center"/>
      <protection locked="0"/>
    </xf>
    <xf numFmtId="1" fontId="0" fillId="0" borderId="0" xfId="0" applyNumberFormat="1" applyFill="1" applyBorder="1" applyAlignment="1">
      <alignment horizontal="center" vertical="center"/>
    </xf>
    <xf numFmtId="0" fontId="13" fillId="0" borderId="10" xfId="0" applyFont="1" applyBorder="1" applyAlignment="1">
      <alignment horizontal="left"/>
    </xf>
    <xf numFmtId="0" fontId="41" fillId="0" borderId="12" xfId="0" quotePrefix="1" applyFont="1" applyBorder="1" applyAlignment="1">
      <alignment horizontal="center" vertical="center"/>
    </xf>
    <xf numFmtId="0" fontId="19" fillId="0" borderId="22" xfId="0" applyFont="1" applyBorder="1" applyAlignment="1">
      <alignment horizontal="center" vertical="center"/>
    </xf>
    <xf numFmtId="2" fontId="0" fillId="0" borderId="17" xfId="0" applyNumberFormat="1" applyFill="1" applyBorder="1" applyAlignment="1">
      <alignment horizontal="center" vertical="center"/>
    </xf>
    <xf numFmtId="1" fontId="3" fillId="0" borderId="10" xfId="0" applyNumberFormat="1" applyFont="1" applyBorder="1" applyAlignment="1">
      <alignment horizontal="center" vertical="center"/>
    </xf>
    <xf numFmtId="0" fontId="17" fillId="0" borderId="23" xfId="0" quotePrefix="1" applyFont="1" applyFill="1" applyBorder="1" applyAlignment="1">
      <alignment horizontal="center" vertical="center"/>
    </xf>
    <xf numFmtId="0" fontId="3" fillId="0" borderId="21" xfId="0" applyFont="1" applyBorder="1" applyAlignment="1" applyProtection="1">
      <alignment horizontal="center" vertical="center"/>
      <protection locked="0"/>
    </xf>
    <xf numFmtId="0" fontId="21" fillId="0" borderId="0" xfId="0" applyFont="1" applyBorder="1" applyAlignment="1">
      <alignment vertical="center"/>
    </xf>
    <xf numFmtId="0" fontId="3" fillId="0" borderId="23" xfId="0" applyFont="1" applyBorder="1" applyAlignment="1">
      <alignment vertical="center"/>
    </xf>
    <xf numFmtId="0" fontId="3" fillId="0" borderId="15" xfId="0" applyFont="1" applyBorder="1" applyAlignment="1">
      <alignment vertical="center"/>
    </xf>
    <xf numFmtId="0" fontId="15" fillId="0" borderId="14" xfId="0" applyFont="1" applyBorder="1" applyAlignment="1">
      <alignment horizontal="center" vertical="center"/>
    </xf>
    <xf numFmtId="0" fontId="137" fillId="0" borderId="0" xfId="0" applyFont="1"/>
    <xf numFmtId="0" fontId="0" fillId="0" borderId="17" xfId="0" applyBorder="1" applyAlignment="1" applyProtection="1">
      <alignment horizontal="center"/>
      <protection locked="0"/>
    </xf>
    <xf numFmtId="0" fontId="9" fillId="0" borderId="0" xfId="0" applyFont="1" applyBorder="1" applyAlignment="1">
      <alignment horizontal="center" vertical="center"/>
    </xf>
    <xf numFmtId="0" fontId="9" fillId="0" borderId="0" xfId="0" quotePrefix="1" applyFont="1" applyBorder="1" applyAlignment="1">
      <alignment horizontal="center" vertical="center"/>
    </xf>
    <xf numFmtId="0" fontId="110" fillId="0" borderId="0" xfId="0" applyFont="1" applyAlignment="1">
      <alignment horizontal="left"/>
    </xf>
    <xf numFmtId="0" fontId="3" fillId="0" borderId="17" xfId="0" applyNumberFormat="1" applyFont="1" applyBorder="1" applyAlignment="1" applyProtection="1">
      <alignment horizontal="center" vertical="center"/>
      <protection locked="0"/>
    </xf>
    <xf numFmtId="0" fontId="45" fillId="0" borderId="14" xfId="0" applyFont="1" applyBorder="1" applyAlignment="1">
      <alignment horizontal="center" vertical="center"/>
    </xf>
    <xf numFmtId="0" fontId="110" fillId="0" borderId="0" xfId="0" applyFont="1" applyProtection="1">
      <protection locked="0"/>
    </xf>
    <xf numFmtId="0" fontId="110" fillId="0" borderId="0" xfId="0" applyFont="1" applyAlignment="1">
      <alignment horizontal="right"/>
    </xf>
    <xf numFmtId="0" fontId="46" fillId="0" borderId="13" xfId="0" quotePrefix="1" applyFont="1" applyBorder="1" applyAlignment="1">
      <alignment horizontal="center" vertical="center"/>
    </xf>
    <xf numFmtId="0" fontId="0" fillId="0" borderId="16" xfId="0" applyBorder="1" applyAlignment="1" applyProtection="1">
      <alignment horizontal="center"/>
      <protection locked="0"/>
    </xf>
    <xf numFmtId="0" fontId="0" fillId="0" borderId="17" xfId="0" quotePrefix="1" applyBorder="1" applyAlignment="1" applyProtection="1">
      <alignment horizontal="center"/>
      <protection locked="0"/>
    </xf>
    <xf numFmtId="0" fontId="3" fillId="0" borderId="0" xfId="0" applyFont="1" applyFill="1" applyBorder="1" applyAlignment="1">
      <alignment horizontal="center" vertical="center"/>
    </xf>
    <xf numFmtId="170" fontId="0" fillId="0" borderId="17" xfId="0" quotePrefix="1" applyNumberFormat="1" applyBorder="1" applyAlignment="1">
      <alignment horizontal="center" vertical="center"/>
    </xf>
    <xf numFmtId="1" fontId="0" fillId="0" borderId="23" xfId="0" applyNumberFormat="1" applyBorder="1" applyAlignment="1">
      <alignment horizontal="center" vertical="center"/>
    </xf>
    <xf numFmtId="1" fontId="0" fillId="0" borderId="23" xfId="0" quotePrefix="1" applyNumberFormat="1" applyBorder="1" applyAlignment="1">
      <alignment horizontal="center" vertical="center"/>
    </xf>
    <xf numFmtId="1" fontId="3" fillId="0" borderId="21" xfId="0" applyNumberFormat="1" applyFont="1" applyBorder="1" applyAlignment="1">
      <alignment horizontal="center" vertical="center"/>
    </xf>
    <xf numFmtId="0" fontId="0" fillId="0" borderId="15" xfId="0" applyBorder="1" applyAlignment="1">
      <alignment horizontal="center"/>
    </xf>
    <xf numFmtId="0" fontId="139" fillId="0" borderId="23" xfId="0" applyFont="1" applyBorder="1" applyAlignment="1">
      <alignment horizontal="center" vertical="center" wrapText="1"/>
    </xf>
    <xf numFmtId="0" fontId="139" fillId="0" borderId="14" xfId="0" applyFont="1" applyBorder="1" applyAlignment="1">
      <alignment horizontal="center" vertical="center" wrapText="1"/>
    </xf>
    <xf numFmtId="0" fontId="97" fillId="0" borderId="20" xfId="0" applyFont="1" applyBorder="1"/>
    <xf numFmtId="0" fontId="97" fillId="0" borderId="0" xfId="0" applyFont="1" applyBorder="1"/>
    <xf numFmtId="0" fontId="16" fillId="0" borderId="20" xfId="0" applyFont="1" applyBorder="1" applyAlignment="1">
      <alignment horizontal="center" vertical="center"/>
    </xf>
    <xf numFmtId="0" fontId="97" fillId="0" borderId="17" xfId="0" applyFont="1" applyBorder="1" applyAlignment="1">
      <alignment horizontal="center"/>
    </xf>
    <xf numFmtId="0" fontId="97" fillId="0" borderId="0" xfId="0" quotePrefix="1" applyFont="1" applyBorder="1" applyAlignment="1">
      <alignment horizontal="center"/>
    </xf>
    <xf numFmtId="0" fontId="21" fillId="0" borderId="17" xfId="0" applyFont="1" applyBorder="1"/>
    <xf numFmtId="0" fontId="97" fillId="0" borderId="0" xfId="0" applyFont="1" applyBorder="1" applyAlignment="1">
      <alignment horizontal="center"/>
    </xf>
    <xf numFmtId="0" fontId="16" fillId="0" borderId="17" xfId="0" applyFont="1" applyBorder="1" applyAlignment="1">
      <alignment horizontal="center"/>
    </xf>
    <xf numFmtId="0" fontId="140" fillId="0" borderId="0" xfId="0" applyFont="1" applyBorder="1" applyAlignment="1">
      <alignment horizontal="center"/>
    </xf>
    <xf numFmtId="0" fontId="97" fillId="0" borderId="18" xfId="0" applyFont="1" applyBorder="1" applyAlignment="1">
      <alignment horizontal="center"/>
    </xf>
    <xf numFmtId="0" fontId="97" fillId="0" borderId="10" xfId="0" applyFont="1" applyBorder="1" applyAlignment="1">
      <alignment horizontal="center"/>
    </xf>
    <xf numFmtId="0" fontId="21" fillId="0" borderId="18" xfId="0" applyFont="1" applyBorder="1"/>
    <xf numFmtId="0" fontId="139" fillId="0" borderId="20" xfId="0" applyFont="1" applyBorder="1" applyAlignment="1">
      <alignment horizontal="center" vertical="center" wrapText="1"/>
    </xf>
    <xf numFmtId="0" fontId="44" fillId="0" borderId="20" xfId="0" applyFont="1" applyBorder="1" applyAlignment="1">
      <alignment horizontal="center"/>
    </xf>
    <xf numFmtId="0" fontId="44" fillId="0" borderId="21" xfId="0" applyFont="1" applyBorder="1" applyAlignment="1">
      <alignment horizontal="left"/>
    </xf>
    <xf numFmtId="0" fontId="16" fillId="0" borderId="21" xfId="0" applyFont="1" applyBorder="1" applyAlignment="1">
      <alignment horizontal="center"/>
    </xf>
    <xf numFmtId="0" fontId="44" fillId="0" borderId="17" xfId="0" applyFont="1" applyBorder="1" applyAlignment="1">
      <alignment horizontal="center"/>
    </xf>
    <xf numFmtId="0" fontId="44" fillId="0" borderId="16" xfId="0" applyFont="1" applyBorder="1" applyAlignment="1">
      <alignment horizontal="center"/>
    </xf>
    <xf numFmtId="0" fontId="21" fillId="0" borderId="16" xfId="0" applyFont="1" applyBorder="1"/>
    <xf numFmtId="0" fontId="16" fillId="0" borderId="16" xfId="0" applyFont="1" applyBorder="1" applyAlignment="1">
      <alignment horizontal="center"/>
    </xf>
    <xf numFmtId="0" fontId="44" fillId="0" borderId="18" xfId="0" applyFont="1" applyFill="1" applyBorder="1" applyAlignment="1">
      <alignment horizontal="center"/>
    </xf>
    <xf numFmtId="0" fontId="44" fillId="0" borderId="19" xfId="0" applyFont="1" applyBorder="1" applyAlignment="1">
      <alignment horizontal="center"/>
    </xf>
    <xf numFmtId="0" fontId="21" fillId="0" borderId="19" xfId="0" applyFont="1" applyBorder="1"/>
    <xf numFmtId="0" fontId="13" fillId="0" borderId="0" xfId="34" applyFont="1" applyBorder="1" applyAlignment="1" applyProtection="1">
      <alignment horizontal="left"/>
    </xf>
    <xf numFmtId="17" fontId="19" fillId="0" borderId="17" xfId="0" applyNumberFormat="1" applyFont="1" applyBorder="1" applyAlignment="1">
      <alignment horizontal="center" vertical="center"/>
    </xf>
    <xf numFmtId="0" fontId="142" fillId="0" borderId="17" xfId="0" applyFont="1" applyBorder="1" applyAlignment="1">
      <alignment horizontal="center" vertical="center"/>
    </xf>
    <xf numFmtId="0" fontId="142" fillId="0" borderId="0" xfId="0" applyFont="1" applyBorder="1" applyAlignment="1">
      <alignment horizontal="center" vertical="center"/>
    </xf>
    <xf numFmtId="167" fontId="0" fillId="0" borderId="22" xfId="0" applyNumberFormat="1" applyBorder="1" applyAlignment="1">
      <alignment horizontal="center" vertical="center"/>
    </xf>
    <xf numFmtId="0" fontId="47" fillId="0" borderId="0" xfId="0" applyFont="1" applyAlignment="1">
      <alignment wrapText="1"/>
    </xf>
    <xf numFmtId="0" fontId="76" fillId="0" borderId="0" xfId="0" applyFont="1" applyAlignment="1">
      <alignment horizontal="center" vertical="top"/>
    </xf>
    <xf numFmtId="0" fontId="76" fillId="0" borderId="10" xfId="0" applyFont="1" applyBorder="1" applyAlignment="1">
      <alignment horizontal="center" vertical="center"/>
    </xf>
    <xf numFmtId="0" fontId="33" fillId="0" borderId="17" xfId="0" applyFont="1" applyBorder="1" applyAlignment="1" applyProtection="1">
      <alignment horizontal="left" vertical="center"/>
      <protection locked="0"/>
    </xf>
    <xf numFmtId="0" fontId="14" fillId="0" borderId="18" xfId="0" applyFont="1" applyBorder="1" applyAlignment="1" applyProtection="1">
      <alignment vertical="center"/>
      <protection locked="0"/>
    </xf>
    <xf numFmtId="0" fontId="19" fillId="0" borderId="0" xfId="0" applyFont="1" applyBorder="1" applyAlignment="1" applyProtection="1">
      <alignment horizontal="right"/>
      <protection locked="0"/>
    </xf>
    <xf numFmtId="0" fontId="76" fillId="0" borderId="10" xfId="0" applyFont="1" applyBorder="1" applyAlignment="1">
      <alignment horizontal="right" vertical="center"/>
    </xf>
    <xf numFmtId="0" fontId="0" fillId="0" borderId="10" xfId="0" applyBorder="1" applyAlignment="1">
      <alignment horizontal="right"/>
    </xf>
    <xf numFmtId="0" fontId="46" fillId="0" borderId="0" xfId="0" applyFont="1" applyBorder="1" applyAlignment="1">
      <alignment horizontal="center" vertical="center"/>
    </xf>
    <xf numFmtId="0" fontId="46"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48" fillId="0" borderId="0" xfId="0" applyFont="1" applyBorder="1" applyAlignment="1">
      <alignment horizontal="right" vertical="top"/>
    </xf>
    <xf numFmtId="1" fontId="14" fillId="0" borderId="16" xfId="0" applyNumberFormat="1" applyFont="1" applyBorder="1" applyAlignment="1">
      <alignment horizontal="center" vertical="center"/>
    </xf>
    <xf numFmtId="1" fontId="0" fillId="0" borderId="19" xfId="0" applyNumberFormat="1" applyBorder="1" applyAlignment="1">
      <alignment horizontal="center" vertical="center"/>
    </xf>
    <xf numFmtId="0" fontId="21" fillId="0" borderId="0" xfId="0" applyFont="1" applyAlignment="1">
      <alignment horizontal="right"/>
    </xf>
    <xf numFmtId="0" fontId="21" fillId="0" borderId="0" xfId="0" applyFont="1" applyAlignment="1">
      <alignment vertical="top"/>
    </xf>
    <xf numFmtId="37" fontId="0" fillId="0" borderId="16" xfId="0" applyNumberFormat="1" applyBorder="1" applyAlignment="1">
      <alignment horizontal="center" vertical="center"/>
    </xf>
    <xf numFmtId="37" fontId="0" fillId="0" borderId="17" xfId="0" applyNumberFormat="1" applyBorder="1" applyAlignment="1">
      <alignment horizontal="center" vertical="center"/>
    </xf>
    <xf numFmtId="37" fontId="3" fillId="0" borderId="17" xfId="0" applyNumberFormat="1" applyFont="1" applyBorder="1" applyAlignment="1">
      <alignment horizontal="center" vertical="center"/>
    </xf>
    <xf numFmtId="37" fontId="3" fillId="0" borderId="16" xfId="0" applyNumberFormat="1" applyFont="1" applyBorder="1" applyAlignment="1">
      <alignment horizontal="center" vertical="center"/>
    </xf>
    <xf numFmtId="37" fontId="0" fillId="0" borderId="19" xfId="0" applyNumberFormat="1" applyBorder="1" applyAlignment="1">
      <alignment horizontal="center" vertical="center"/>
    </xf>
    <xf numFmtId="37" fontId="0" fillId="0" borderId="18" xfId="0" applyNumberFormat="1" applyBorder="1" applyAlignment="1">
      <alignment horizontal="center" vertical="center"/>
    </xf>
    <xf numFmtId="0" fontId="15" fillId="0" borderId="0" xfId="0" applyFont="1" applyBorder="1" applyAlignment="1">
      <alignment horizontal="center" vertical="center"/>
    </xf>
    <xf numFmtId="0" fontId="24" fillId="0" borderId="22" xfId="0" applyFont="1" applyBorder="1" applyAlignment="1">
      <alignment horizontal="center" vertical="center" wrapText="1"/>
    </xf>
    <xf numFmtId="0" fontId="9" fillId="0" borderId="0" xfId="0" applyFont="1" applyBorder="1" applyAlignment="1">
      <alignment horizontal="left" vertical="center"/>
    </xf>
    <xf numFmtId="0" fontId="113" fillId="0" borderId="0" xfId="0" applyFont="1" applyBorder="1"/>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0" fillId="0" borderId="10" xfId="0" applyBorder="1" applyAlignment="1">
      <alignment vertical="center"/>
    </xf>
    <xf numFmtId="0" fontId="0" fillId="0" borderId="10" xfId="0" applyBorder="1" applyAlignment="1">
      <alignment horizontal="left" vertical="center"/>
    </xf>
    <xf numFmtId="0" fontId="0" fillId="0" borderId="19" xfId="0" applyBorder="1" applyAlignment="1">
      <alignment vertical="center"/>
    </xf>
    <xf numFmtId="0" fontId="59"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right" vertical="center" wrapText="1"/>
    </xf>
    <xf numFmtId="0" fontId="3" fillId="0" borderId="20" xfId="0" applyFont="1" applyBorder="1" applyAlignment="1" applyProtection="1">
      <alignment horizontal="center" vertical="center"/>
      <protection locked="0"/>
    </xf>
    <xf numFmtId="2" fontId="14" fillId="0" borderId="20" xfId="0" applyNumberFormat="1" applyFont="1" applyBorder="1" applyAlignment="1">
      <alignment horizontal="center" vertical="center"/>
    </xf>
    <xf numFmtId="2" fontId="14" fillId="0" borderId="17" xfId="0" applyNumberFormat="1" applyFont="1" applyBorder="1" applyAlignment="1">
      <alignment horizontal="center" vertical="center"/>
    </xf>
    <xf numFmtId="2" fontId="14" fillId="0" borderId="14" xfId="0" applyNumberFormat="1" applyFont="1" applyBorder="1" applyAlignment="1">
      <alignment horizontal="center" vertical="center"/>
    </xf>
    <xf numFmtId="167" fontId="0" fillId="0" borderId="11" xfId="0" applyNumberFormat="1" applyBorder="1" applyAlignment="1" applyProtection="1">
      <alignment horizontal="center" vertical="center"/>
      <protection locked="0"/>
    </xf>
    <xf numFmtId="0" fontId="41" fillId="0" borderId="0" xfId="0" applyFont="1" applyBorder="1" applyAlignment="1">
      <alignment vertical="center"/>
    </xf>
    <xf numFmtId="0" fontId="46" fillId="0" borderId="0" xfId="0" applyFont="1" applyBorder="1" applyAlignment="1">
      <alignment vertical="center"/>
    </xf>
    <xf numFmtId="0" fontId="16" fillId="0" borderId="0" xfId="0" applyFont="1" applyBorder="1" applyAlignment="1">
      <alignment vertical="center"/>
    </xf>
    <xf numFmtId="0" fontId="2" fillId="0" borderId="22" xfId="0" applyFont="1" applyBorder="1" applyAlignment="1">
      <alignment horizontal="center" vertical="center"/>
    </xf>
    <xf numFmtId="0" fontId="143" fillId="0" borderId="17" xfId="38" applyFont="1" applyFill="1" applyBorder="1" applyAlignment="1">
      <alignment horizontal="center" vertical="center"/>
    </xf>
    <xf numFmtId="0" fontId="143" fillId="0" borderId="16" xfId="38" applyFont="1" applyFill="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143" fillId="0" borderId="11" xfId="38" applyFont="1" applyFill="1" applyBorder="1" applyAlignment="1">
      <alignment horizontal="center" vertical="center"/>
    </xf>
    <xf numFmtId="2" fontId="14" fillId="0" borderId="23" xfId="0" applyNumberFormat="1" applyFont="1" applyBorder="1" applyAlignment="1" applyProtection="1">
      <alignment horizontal="center" vertical="center"/>
      <protection locked="0"/>
    </xf>
    <xf numFmtId="2" fontId="14" fillId="0" borderId="15" xfId="0" applyNumberFormat="1" applyFont="1" applyBorder="1" applyAlignment="1" applyProtection="1">
      <alignment horizontal="center" vertical="center"/>
      <protection locked="0"/>
    </xf>
    <xf numFmtId="2" fontId="14" fillId="0" borderId="21" xfId="0" applyNumberFormat="1" applyFont="1" applyBorder="1" applyAlignment="1" applyProtection="1">
      <alignment horizontal="center" vertical="center"/>
      <protection locked="0"/>
    </xf>
    <xf numFmtId="0" fontId="146" fillId="0" borderId="0" xfId="0" applyFont="1"/>
    <xf numFmtId="0" fontId="147" fillId="0" borderId="0" xfId="0" applyFont="1" applyAlignment="1">
      <alignment horizontal="right"/>
    </xf>
    <xf numFmtId="0" fontId="147" fillId="0" borderId="0" xfId="0" applyFont="1"/>
    <xf numFmtId="0" fontId="146" fillId="0" borderId="0" xfId="0" applyFont="1" applyAlignment="1">
      <alignment horizontal="right" vertical="top"/>
    </xf>
    <xf numFmtId="0" fontId="147" fillId="0" borderId="0" xfId="0" applyFont="1" applyAlignment="1">
      <alignment horizontal="left" vertical="top" wrapText="1"/>
    </xf>
    <xf numFmtId="0" fontId="146" fillId="0" borderId="0" xfId="0" applyFont="1" applyAlignment="1">
      <alignment horizontal="left" vertical="top" wrapText="1"/>
    </xf>
    <xf numFmtId="0" fontId="146" fillId="0" borderId="14" xfId="0" quotePrefix="1" applyFont="1" applyBorder="1" applyAlignment="1">
      <alignment horizontal="center" vertical="center"/>
    </xf>
    <xf numFmtId="0" fontId="146" fillId="0" borderId="24" xfId="0" quotePrefix="1" applyFont="1" applyBorder="1" applyAlignment="1">
      <alignment horizontal="center" vertical="center"/>
    </xf>
    <xf numFmtId="0" fontId="146" fillId="0" borderId="20" xfId="0" applyFont="1" applyBorder="1" applyAlignment="1">
      <alignment horizontal="center" vertical="center" wrapText="1"/>
    </xf>
    <xf numFmtId="0" fontId="147" fillId="0" borderId="0" xfId="0" applyFont="1" applyAlignment="1">
      <alignment horizontal="right" vertical="center"/>
    </xf>
    <xf numFmtId="0" fontId="147" fillId="0" borderId="0" xfId="0" applyFont="1" applyFill="1" applyBorder="1" applyAlignment="1">
      <alignment vertical="center"/>
    </xf>
    <xf numFmtId="0" fontId="146" fillId="0" borderId="0" xfId="0" applyFont="1" applyAlignment="1">
      <alignment vertical="center"/>
    </xf>
    <xf numFmtId="0" fontId="147" fillId="0" borderId="0" xfId="0" applyFont="1" applyFill="1" applyBorder="1" applyAlignment="1">
      <alignment horizontal="right"/>
    </xf>
    <xf numFmtId="0" fontId="147" fillId="0" borderId="0" xfId="0" applyFont="1" applyFill="1" applyBorder="1" applyAlignment="1">
      <alignment horizontal="right" vertical="center"/>
    </xf>
    <xf numFmtId="0" fontId="147" fillId="0" borderId="0" xfId="0" applyFont="1" applyAlignment="1">
      <alignment vertical="center"/>
    </xf>
    <xf numFmtId="0" fontId="147" fillId="0" borderId="0" xfId="0" applyFont="1" applyAlignment="1">
      <alignment horizontal="center"/>
    </xf>
    <xf numFmtId="0" fontId="147" fillId="0" borderId="0" xfId="0" applyFont="1" applyBorder="1"/>
    <xf numFmtId="0" fontId="147" fillId="0" borderId="0" xfId="0" applyFont="1" applyFill="1" applyBorder="1" applyAlignment="1">
      <alignment horizontal="left" vertical="center"/>
    </xf>
    <xf numFmtId="190" fontId="0" fillId="0" borderId="11" xfId="0" quotePrefix="1" applyNumberFormat="1" applyBorder="1" applyAlignment="1">
      <alignment horizontal="center" vertical="center"/>
    </xf>
    <xf numFmtId="190" fontId="38" fillId="0" borderId="12" xfId="0" applyNumberFormat="1" applyFont="1" applyBorder="1" applyAlignment="1">
      <alignment horizontal="center" vertical="center"/>
    </xf>
    <xf numFmtId="190" fontId="0" fillId="0" borderId="11" xfId="0" applyNumberFormat="1" applyBorder="1" applyAlignment="1">
      <alignment horizontal="center" vertical="center"/>
    </xf>
    <xf numFmtId="190" fontId="0" fillId="0" borderId="0" xfId="0" applyNumberFormat="1" applyBorder="1" applyAlignment="1">
      <alignment horizontal="center" vertical="center"/>
    </xf>
    <xf numFmtId="190" fontId="38" fillId="0" borderId="24" xfId="0" applyNumberFormat="1" applyFont="1" applyBorder="1" applyAlignment="1">
      <alignment horizontal="center" vertical="center"/>
    </xf>
    <xf numFmtId="190" fontId="0" fillId="0" borderId="0" xfId="0" quotePrefix="1" applyNumberFormat="1" applyBorder="1" applyAlignment="1">
      <alignment horizontal="center" vertical="center"/>
    </xf>
    <xf numFmtId="2" fontId="3" fillId="0" borderId="11" xfId="0" applyNumberFormat="1" applyFont="1" applyBorder="1" applyAlignment="1" applyProtection="1">
      <alignment horizontal="center" vertical="center"/>
      <protection locked="0"/>
    </xf>
    <xf numFmtId="2" fontId="3" fillId="0" borderId="0" xfId="0" applyNumberFormat="1" applyFont="1" applyBorder="1" applyAlignment="1" applyProtection="1">
      <alignment horizontal="center" vertical="center"/>
      <protection locked="0"/>
    </xf>
    <xf numFmtId="167" fontId="0" fillId="0" borderId="11" xfId="0" quotePrefix="1" applyNumberFormat="1" applyBorder="1" applyAlignment="1" applyProtection="1">
      <alignment horizontal="center" vertical="center"/>
      <protection locked="0"/>
    </xf>
    <xf numFmtId="167" fontId="0" fillId="0" borderId="11" xfId="0" quotePrefix="1" applyNumberFormat="1" applyBorder="1" applyAlignment="1">
      <alignment horizontal="center" vertical="center"/>
    </xf>
    <xf numFmtId="167" fontId="0" fillId="0" borderId="0" xfId="0" quotePrefix="1" applyNumberFormat="1" applyBorder="1" applyAlignment="1">
      <alignment horizontal="center" vertical="center"/>
    </xf>
    <xf numFmtId="167" fontId="38" fillId="0" borderId="12" xfId="0" applyNumberFormat="1" applyFont="1" applyBorder="1" applyAlignment="1">
      <alignment horizontal="center" vertical="center"/>
    </xf>
    <xf numFmtId="0" fontId="0" fillId="0" borderId="0" xfId="0" quotePrefix="1" applyAlignment="1">
      <alignment vertical="center"/>
    </xf>
    <xf numFmtId="0" fontId="144" fillId="0" borderId="0" xfId="0" applyFont="1"/>
    <xf numFmtId="0" fontId="147" fillId="0" borderId="16" xfId="0" applyFont="1" applyBorder="1" applyAlignment="1" applyProtection="1">
      <alignment vertical="center"/>
      <protection locked="0"/>
    </xf>
    <xf numFmtId="0" fontId="146" fillId="0" borderId="0" xfId="0" applyFont="1" applyBorder="1" applyAlignment="1" applyProtection="1">
      <alignment vertical="center"/>
      <protection locked="0"/>
    </xf>
    <xf numFmtId="0" fontId="147" fillId="0" borderId="0" xfId="0" applyFont="1" applyAlignment="1" applyProtection="1">
      <alignment horizontal="right" vertical="center"/>
      <protection locked="0"/>
    </xf>
    <xf numFmtId="0" fontId="57" fillId="0" borderId="0" xfId="0" applyFont="1" applyBorder="1" applyAlignment="1" applyProtection="1">
      <alignment vertical="center"/>
      <protection locked="0"/>
    </xf>
    <xf numFmtId="0" fontId="3" fillId="0" borderId="0" xfId="0" applyFont="1" applyBorder="1" applyAlignment="1">
      <alignment horizontal="right" vertical="center"/>
    </xf>
    <xf numFmtId="0" fontId="3" fillId="0" borderId="0" xfId="0" quotePrefix="1" applyFont="1" applyBorder="1" applyAlignment="1">
      <alignment horizontal="right" vertical="center"/>
    </xf>
    <xf numFmtId="0" fontId="0" fillId="0" borderId="0" xfId="0" applyAlignment="1" applyProtection="1">
      <alignment vertical="center"/>
      <protection locked="0"/>
    </xf>
    <xf numFmtId="0" fontId="17" fillId="0" borderId="15" xfId="0" quotePrefix="1" applyFont="1" applyFill="1" applyBorder="1" applyAlignment="1">
      <alignment horizontal="center" vertical="center"/>
    </xf>
    <xf numFmtId="0" fontId="9" fillId="0" borderId="0" xfId="0" applyFont="1" applyAlignment="1">
      <alignment horizontal="right" vertical="center"/>
    </xf>
    <xf numFmtId="2" fontId="25" fillId="0" borderId="12" xfId="0" applyNumberFormat="1" applyFont="1" applyBorder="1" applyAlignment="1">
      <alignment horizontal="center" vertical="center"/>
    </xf>
    <xf numFmtId="0" fontId="47" fillId="0" borderId="15" xfId="0" applyFont="1" applyBorder="1" applyAlignment="1">
      <alignment vertical="center"/>
    </xf>
    <xf numFmtId="0" fontId="47" fillId="0" borderId="15" xfId="0" applyFont="1" applyBorder="1" applyAlignment="1">
      <alignment horizontal="right" vertical="center"/>
    </xf>
    <xf numFmtId="1" fontId="14" fillId="0" borderId="0" xfId="0" applyNumberFormat="1"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2" fontId="3" fillId="0" borderId="11" xfId="0" applyNumberFormat="1" applyFont="1" applyBorder="1" applyAlignment="1">
      <alignment horizontal="center" vertical="center"/>
    </xf>
    <xf numFmtId="2" fontId="148" fillId="0" borderId="12" xfId="39" applyNumberFormat="1" applyFont="1" applyFill="1" applyBorder="1" applyAlignment="1">
      <alignment horizontal="center" vertical="center"/>
    </xf>
    <xf numFmtId="2" fontId="148" fillId="0" borderId="24" xfId="39" applyNumberFormat="1" applyFont="1" applyFill="1" applyBorder="1" applyAlignment="1">
      <alignment horizontal="center" vertical="center"/>
    </xf>
    <xf numFmtId="2" fontId="148" fillId="0" borderId="13" xfId="39" applyNumberFormat="1" applyFont="1" applyFill="1" applyBorder="1" applyAlignment="1">
      <alignment horizontal="center" vertical="center"/>
    </xf>
    <xf numFmtId="0" fontId="142" fillId="0" borderId="0" xfId="38" applyFont="1" applyFill="1" applyBorder="1" applyAlignment="1">
      <alignment horizontal="center" vertical="center"/>
    </xf>
    <xf numFmtId="0" fontId="142" fillId="0" borderId="11" xfId="38" applyFont="1" applyFill="1" applyBorder="1" applyAlignment="1">
      <alignment horizontal="center" vertical="center"/>
    </xf>
    <xf numFmtId="0" fontId="25" fillId="0" borderId="22" xfId="0" applyFont="1" applyBorder="1" applyAlignment="1">
      <alignment horizontal="center" vertical="center"/>
    </xf>
    <xf numFmtId="0" fontId="25" fillId="0" borderId="18" xfId="0" applyFont="1" applyBorder="1" applyAlignment="1">
      <alignment horizontal="center" vertical="center" wrapText="1"/>
    </xf>
    <xf numFmtId="0" fontId="142" fillId="0" borderId="22" xfId="38" applyFont="1" applyFill="1" applyBorder="1" applyAlignment="1">
      <alignment horizontal="center" vertical="center"/>
    </xf>
    <xf numFmtId="0" fontId="142" fillId="0" borderId="10" xfId="38" applyFont="1" applyFill="1" applyBorder="1" applyAlignment="1">
      <alignment horizontal="center" vertical="center"/>
    </xf>
    <xf numFmtId="0" fontId="15" fillId="0" borderId="0" xfId="0" applyFont="1" applyBorder="1" applyAlignment="1"/>
    <xf numFmtId="167" fontId="0" fillId="0" borderId="16" xfId="0" applyNumberFormat="1" applyBorder="1" applyAlignment="1">
      <alignment horizontal="center" vertical="center"/>
    </xf>
    <xf numFmtId="170" fontId="0" fillId="0" borderId="20" xfId="0" applyNumberFormat="1" applyBorder="1" applyAlignment="1">
      <alignment horizontal="center" vertical="center"/>
    </xf>
    <xf numFmtId="1" fontId="2" fillId="0" borderId="11" xfId="0" applyNumberFormat="1" applyFont="1" applyBorder="1" applyAlignment="1">
      <alignment horizontal="center" vertical="center"/>
    </xf>
    <xf numFmtId="0" fontId="0" fillId="0" borderId="23" xfId="0" applyBorder="1"/>
    <xf numFmtId="0" fontId="3" fillId="0" borderId="0" xfId="0" quotePrefix="1" applyFont="1" applyAlignment="1">
      <alignment horizontal="center"/>
    </xf>
    <xf numFmtId="0" fontId="0" fillId="0" borderId="0" xfId="0" quotePrefix="1" applyAlignment="1">
      <alignment horizontal="center"/>
    </xf>
    <xf numFmtId="0" fontId="14" fillId="24" borderId="17" xfId="0" applyFont="1" applyFill="1" applyBorder="1" applyAlignment="1" applyProtection="1">
      <alignment horizontal="center" vertical="center"/>
      <protection locked="0"/>
    </xf>
    <xf numFmtId="1" fontId="17" fillId="0" borderId="13" xfId="0" quotePrefix="1" applyNumberFormat="1" applyFont="1" applyBorder="1" applyAlignment="1">
      <alignment horizontal="center" vertical="center" wrapText="1"/>
    </xf>
    <xf numFmtId="1" fontId="0" fillId="0" borderId="16" xfId="0" applyNumberFormat="1" applyBorder="1" applyAlignment="1">
      <alignment vertical="center"/>
    </xf>
    <xf numFmtId="1" fontId="0" fillId="0" borderId="16" xfId="0" quotePrefix="1" applyNumberFormat="1" applyBorder="1" applyAlignment="1">
      <alignment horizontal="center" vertical="center"/>
    </xf>
    <xf numFmtId="1" fontId="13" fillId="0" borderId="0" xfId="0" applyNumberFormat="1" applyFont="1" applyAlignment="1">
      <alignment horizontal="left" vertical="center"/>
    </xf>
    <xf numFmtId="1" fontId="0" fillId="0" borderId="0" xfId="0" applyNumberFormat="1"/>
    <xf numFmtId="0" fontId="25" fillId="0" borderId="13" xfId="0" applyFont="1" applyFill="1" applyBorder="1" applyAlignment="1">
      <alignment horizontal="center" vertical="center"/>
    </xf>
    <xf numFmtId="0" fontId="0" fillId="0" borderId="18" xfId="0" applyFill="1" applyBorder="1" applyAlignment="1">
      <alignment horizontal="center" vertical="center"/>
    </xf>
    <xf numFmtId="1" fontId="3" fillId="0" borderId="16" xfId="0" applyNumberFormat="1" applyFont="1" applyFill="1" applyBorder="1" applyAlignment="1">
      <alignment horizontal="center" vertical="center"/>
    </xf>
    <xf numFmtId="1" fontId="3" fillId="0" borderId="19" xfId="0" applyNumberFormat="1" applyFont="1" applyFill="1" applyBorder="1" applyAlignment="1">
      <alignment horizontal="center" vertical="center"/>
    </xf>
    <xf numFmtId="167" fontId="40" fillId="0" borderId="17" xfId="0" applyNumberFormat="1" applyFont="1" applyBorder="1" applyAlignment="1" applyProtection="1">
      <alignment horizontal="center" vertical="center"/>
      <protection locked="0"/>
    </xf>
    <xf numFmtId="0" fontId="48" fillId="0" borderId="10" xfId="0" applyFont="1" applyBorder="1"/>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6" xfId="0" quotePrefix="1" applyFont="1" applyBorder="1" applyAlignment="1" applyProtection="1">
      <alignment vertical="center"/>
      <protection locked="0"/>
    </xf>
    <xf numFmtId="0" fontId="40" fillId="0" borderId="11" xfId="0" applyFont="1" applyBorder="1" applyAlignment="1">
      <alignment horizontal="center" vertical="center"/>
    </xf>
    <xf numFmtId="0" fontId="2" fillId="0" borderId="17" xfId="0" applyFont="1" applyBorder="1" applyAlignment="1">
      <alignment horizontal="center"/>
    </xf>
    <xf numFmtId="0" fontId="3" fillId="0" borderId="17" xfId="0" applyFont="1" applyBorder="1" applyAlignment="1">
      <alignment horizontal="center"/>
    </xf>
    <xf numFmtId="0" fontId="3" fillId="0" borderId="16" xfId="0" applyFont="1" applyFill="1" applyBorder="1" applyAlignment="1">
      <alignment horizontal="center" vertical="center"/>
    </xf>
    <xf numFmtId="0" fontId="149" fillId="0" borderId="17" xfId="0" applyFont="1" applyBorder="1" applyAlignment="1">
      <alignment vertical="center"/>
    </xf>
    <xf numFmtId="2" fontId="9" fillId="0" borderId="0" xfId="0" applyNumberFormat="1" applyFont="1" applyAlignment="1" applyProtection="1">
      <alignment horizontal="left"/>
      <protection locked="0"/>
    </xf>
    <xf numFmtId="0" fontId="150" fillId="0" borderId="0" xfId="0" applyFont="1"/>
    <xf numFmtId="0" fontId="0" fillId="0" borderId="16" xfId="0" quotePrefix="1" applyBorder="1" applyAlignment="1" applyProtection="1">
      <alignment vertical="center"/>
      <protection locked="0"/>
    </xf>
    <xf numFmtId="0" fontId="0" fillId="0" borderId="17" xfId="0" applyFill="1" applyBorder="1" applyAlignment="1" applyProtection="1">
      <alignment horizontal="center" vertical="center"/>
    </xf>
    <xf numFmtId="0" fontId="0" fillId="0" borderId="0" xfId="0" applyFill="1" applyBorder="1" applyAlignment="1" applyProtection="1">
      <alignment horizontal="center" vertical="center"/>
      <protection locked="0"/>
    </xf>
    <xf numFmtId="0" fontId="9" fillId="0" borderId="0" xfId="0" applyFont="1" applyFill="1" applyBorder="1" applyAlignment="1">
      <alignment horizontal="left" vertical="center"/>
    </xf>
    <xf numFmtId="0" fontId="9" fillId="0" borderId="0" xfId="0" applyFont="1" applyAlignment="1">
      <alignment vertical="top" wrapText="1"/>
    </xf>
    <xf numFmtId="0" fontId="9" fillId="0" borderId="15" xfId="0" applyFont="1" applyBorder="1" applyAlignment="1">
      <alignment vertical="top" wrapText="1"/>
    </xf>
    <xf numFmtId="2" fontId="0" fillId="0" borderId="16" xfId="0" applyNumberFormat="1" applyFill="1" applyBorder="1" applyAlignment="1">
      <alignment horizontal="center" vertical="center"/>
    </xf>
    <xf numFmtId="0" fontId="151" fillId="0" borderId="0" xfId="0" applyFont="1"/>
    <xf numFmtId="0" fontId="110" fillId="0" borderId="15" xfId="0" applyFont="1" applyBorder="1" applyAlignment="1" applyProtection="1">
      <alignment wrapText="1"/>
      <protection locked="0"/>
    </xf>
    <xf numFmtId="0" fontId="110" fillId="0" borderId="0" xfId="0" applyFont="1" applyAlignment="1" applyProtection="1">
      <alignment wrapText="1"/>
      <protection locked="0"/>
    </xf>
    <xf numFmtId="0" fontId="110" fillId="0" borderId="0" xfId="0" applyFont="1" applyBorder="1" applyAlignment="1" applyProtection="1">
      <alignment wrapText="1"/>
      <protection locked="0"/>
    </xf>
    <xf numFmtId="0" fontId="14" fillId="0" borderId="17" xfId="0" applyFont="1" applyFill="1" applyBorder="1" applyAlignment="1">
      <alignment horizontal="center" vertical="center"/>
    </xf>
    <xf numFmtId="0" fontId="3" fillId="0" borderId="11" xfId="0" applyFont="1" applyFill="1" applyBorder="1" applyAlignment="1">
      <alignment horizontal="center"/>
    </xf>
    <xf numFmtId="0" fontId="14" fillId="0" borderId="15" xfId="0" applyFont="1" applyFill="1" applyBorder="1" applyAlignment="1">
      <alignment horizontal="center" vertical="center"/>
    </xf>
    <xf numFmtId="0" fontId="40" fillId="0" borderId="16" xfId="0" applyFont="1" applyFill="1" applyBorder="1" applyAlignment="1">
      <alignment horizontal="center"/>
    </xf>
    <xf numFmtId="0" fontId="14" fillId="0" borderId="0" xfId="0" applyFont="1" applyFill="1" applyBorder="1" applyAlignment="1" applyProtection="1">
      <alignment horizontal="center" vertical="center"/>
      <protection locked="0"/>
    </xf>
    <xf numFmtId="0" fontId="42" fillId="0" borderId="24" xfId="0" applyFont="1" applyFill="1" applyBorder="1" applyAlignment="1">
      <alignment horizontal="center" vertical="center"/>
    </xf>
    <xf numFmtId="0" fontId="3" fillId="0" borderId="11"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42" fillId="0" borderId="12" xfId="0" applyFont="1" applyFill="1" applyBorder="1" applyAlignment="1">
      <alignment horizontal="center" vertical="center"/>
    </xf>
    <xf numFmtId="0" fontId="42" fillId="0" borderId="13" xfId="0" applyFont="1" applyFill="1" applyBorder="1" applyAlignment="1">
      <alignment horizontal="center" vertical="center"/>
    </xf>
    <xf numFmtId="0" fontId="6" fillId="0" borderId="0" xfId="0" applyFont="1" applyFill="1"/>
    <xf numFmtId="167" fontId="0" fillId="0" borderId="17" xfId="0" applyNumberFormat="1" applyFill="1" applyBorder="1" applyAlignment="1">
      <alignment horizontal="center" vertical="center"/>
    </xf>
    <xf numFmtId="167" fontId="14" fillId="0" borderId="16" xfId="0" applyNumberFormat="1" applyFont="1" applyFill="1" applyBorder="1" applyAlignment="1" applyProtection="1">
      <alignment horizontal="center" vertical="center"/>
      <protection locked="0"/>
    </xf>
    <xf numFmtId="190" fontId="0" fillId="0" borderId="18" xfId="0" applyNumberFormat="1" applyFill="1" applyBorder="1" applyAlignment="1" applyProtection="1">
      <alignment horizontal="center" vertical="center"/>
      <protection locked="0"/>
    </xf>
    <xf numFmtId="0" fontId="25" fillId="0" borderId="13" xfId="0" applyFont="1" applyFill="1" applyBorder="1" applyAlignment="1">
      <alignment horizontal="center"/>
    </xf>
    <xf numFmtId="167" fontId="40" fillId="0" borderId="16" xfId="0" applyNumberFormat="1" applyFont="1" applyFill="1" applyBorder="1" applyAlignment="1">
      <alignment horizontal="center" vertical="center"/>
    </xf>
    <xf numFmtId="167" fontId="40" fillId="0" borderId="16" xfId="0" applyNumberFormat="1" applyFont="1" applyFill="1" applyBorder="1" applyAlignment="1" applyProtection="1">
      <alignment horizontal="center" vertical="center"/>
      <protection locked="0"/>
    </xf>
    <xf numFmtId="167" fontId="14" fillId="0" borderId="16" xfId="0" applyNumberFormat="1" applyFont="1" applyFill="1" applyBorder="1" applyAlignment="1">
      <alignment horizontal="center" vertical="center"/>
    </xf>
    <xf numFmtId="0" fontId="0" fillId="0" borderId="17" xfId="0" quotePrefix="1" applyFill="1" applyBorder="1" applyAlignment="1">
      <alignment horizontal="center" vertical="center"/>
    </xf>
    <xf numFmtId="167" fontId="14" fillId="0" borderId="19" xfId="0" applyNumberFormat="1" applyFont="1" applyFill="1" applyBorder="1" applyAlignment="1">
      <alignment horizontal="center" vertical="center"/>
    </xf>
    <xf numFmtId="1" fontId="25" fillId="0" borderId="13" xfId="0" applyNumberFormat="1" applyFont="1" applyFill="1" applyBorder="1" applyAlignment="1">
      <alignment horizontal="center" vertical="center"/>
    </xf>
    <xf numFmtId="0" fontId="24" fillId="0" borderId="20" xfId="0" applyFont="1" applyBorder="1" applyAlignment="1" applyProtection="1">
      <alignment horizontal="center" vertical="center" wrapText="1"/>
      <protection locked="0"/>
    </xf>
    <xf numFmtId="0" fontId="110" fillId="0" borderId="15" xfId="0" applyFont="1" applyBorder="1" applyAlignment="1" applyProtection="1">
      <alignment horizontal="right" vertical="top"/>
      <protection locked="0"/>
    </xf>
    <xf numFmtId="0" fontId="48" fillId="0" borderId="10" xfId="0" applyFont="1" applyBorder="1" applyAlignment="1">
      <alignment horizontal="right" vertical="center"/>
    </xf>
    <xf numFmtId="0" fontId="44" fillId="0" borderId="14" xfId="0" applyFont="1" applyBorder="1" applyAlignment="1">
      <alignment horizontal="center" vertical="center"/>
    </xf>
    <xf numFmtId="0" fontId="2" fillId="0" borderId="18" xfId="0" applyFont="1" applyBorder="1" applyAlignment="1" applyProtection="1">
      <alignment horizontal="center" vertical="center"/>
    </xf>
    <xf numFmtId="0" fontId="2" fillId="0" borderId="10" xfId="0" applyFont="1" applyBorder="1" applyAlignment="1" applyProtection="1">
      <alignment horizontal="center" vertical="center"/>
      <protection locked="0"/>
    </xf>
    <xf numFmtId="0" fontId="88" fillId="0" borderId="0" xfId="0" applyFont="1" applyFill="1" applyBorder="1" applyAlignment="1">
      <alignment vertical="top" wrapText="1"/>
    </xf>
    <xf numFmtId="170" fontId="0" fillId="0" borderId="0" xfId="0" applyNumberFormat="1" applyAlignment="1">
      <alignment horizontal="center" vertical="center"/>
    </xf>
    <xf numFmtId="2" fontId="0" fillId="0" borderId="0" xfId="0" applyNumberFormat="1"/>
    <xf numFmtId="167" fontId="3" fillId="0" borderId="17" xfId="0" applyNumberFormat="1" applyFont="1" applyBorder="1" applyAlignment="1">
      <alignment horizontal="center" vertical="center"/>
    </xf>
    <xf numFmtId="0" fontId="47" fillId="0" borderId="15" xfId="0" applyFont="1" applyFill="1" applyBorder="1" applyAlignment="1">
      <alignment horizontal="left" vertical="center"/>
    </xf>
    <xf numFmtId="0" fontId="111" fillId="0" borderId="0" xfId="0" applyFont="1" applyAlignment="1" applyProtection="1">
      <alignment horizontal="right"/>
      <protection locked="0"/>
    </xf>
    <xf numFmtId="0" fontId="152" fillId="0" borderId="0" xfId="0" applyFont="1"/>
    <xf numFmtId="1" fontId="3" fillId="0" borderId="22" xfId="0" applyNumberFormat="1" applyFont="1" applyFill="1" applyBorder="1" applyAlignment="1">
      <alignment horizontal="center" vertical="center"/>
    </xf>
    <xf numFmtId="0" fontId="47" fillId="0" borderId="0" xfId="0" applyFont="1" applyBorder="1" applyAlignment="1" applyProtection="1">
      <alignment horizontal="center"/>
      <protection locked="0"/>
    </xf>
    <xf numFmtId="0" fontId="9" fillId="0" borderId="0" xfId="0" applyFont="1" applyBorder="1" applyAlignment="1" applyProtection="1">
      <alignment horizontal="right"/>
    </xf>
    <xf numFmtId="0" fontId="9" fillId="0" borderId="0" xfId="0" applyFont="1" applyBorder="1" applyProtection="1">
      <protection locked="0"/>
    </xf>
    <xf numFmtId="0" fontId="71" fillId="0" borderId="0" xfId="0" applyFont="1" applyProtection="1">
      <protection locked="0"/>
    </xf>
    <xf numFmtId="0" fontId="110" fillId="0" borderId="0" xfId="0" applyFont="1" applyAlignment="1" applyProtection="1">
      <alignment horizontal="right"/>
      <protection locked="0"/>
    </xf>
    <xf numFmtId="0" fontId="6" fillId="0" borderId="11" xfId="0" applyFont="1" applyBorder="1" applyAlignment="1">
      <alignment horizontal="center"/>
    </xf>
    <xf numFmtId="2" fontId="3" fillId="0" borderId="10" xfId="0" applyNumberFormat="1" applyFont="1" applyBorder="1" applyAlignment="1">
      <alignment horizontal="center" vertical="center"/>
    </xf>
    <xf numFmtId="0" fontId="136" fillId="0" borderId="0" xfId="0" applyFont="1" applyAlignment="1"/>
    <xf numFmtId="0" fontId="133" fillId="0" borderId="0" xfId="0" applyFont="1" applyAlignment="1">
      <alignment horizontal="center"/>
    </xf>
    <xf numFmtId="0" fontId="11" fillId="0" borderId="0" xfId="0" applyFont="1" applyAlignment="1">
      <alignment horizontal="center"/>
    </xf>
    <xf numFmtId="0" fontId="134" fillId="0" borderId="0" xfId="0" applyFont="1" applyAlignment="1">
      <alignment horizontal="center"/>
    </xf>
    <xf numFmtId="0" fontId="135" fillId="0" borderId="0" xfId="0" applyFont="1" applyAlignment="1">
      <alignment horizontal="center"/>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center"/>
    </xf>
    <xf numFmtId="0" fontId="12" fillId="0" borderId="0" xfId="0" applyFont="1" applyAlignment="1">
      <alignment horizontal="center"/>
    </xf>
    <xf numFmtId="0" fontId="136" fillId="0" borderId="0" xfId="0" applyFont="1" applyAlignment="1">
      <alignment horizontal="left"/>
    </xf>
    <xf numFmtId="0" fontId="65" fillId="0" borderId="0" xfId="0" applyFont="1" applyAlignment="1">
      <alignment horizontal="center" vertical="top"/>
    </xf>
    <xf numFmtId="0" fontId="69" fillId="0" borderId="0" xfId="0" applyFont="1" applyAlignment="1">
      <alignment horizontal="center"/>
    </xf>
    <xf numFmtId="0" fontId="105" fillId="0" borderId="0" xfId="0" applyFont="1" applyAlignment="1">
      <alignment horizontal="justify" vertical="justify" wrapText="1"/>
    </xf>
    <xf numFmtId="0" fontId="106" fillId="0" borderId="0" xfId="0" applyFont="1" applyAlignment="1">
      <alignment horizontal="justify" vertical="justify" wrapText="1"/>
    </xf>
    <xf numFmtId="0" fontId="107" fillId="0" borderId="0" xfId="0" applyFont="1" applyAlignment="1">
      <alignment wrapText="1"/>
    </xf>
    <xf numFmtId="0" fontId="0" fillId="0" borderId="0" xfId="0" applyAlignment="1">
      <alignment wrapText="1"/>
    </xf>
    <xf numFmtId="0" fontId="138" fillId="0" borderId="10" xfId="0" applyFont="1" applyBorder="1" applyAlignment="1">
      <alignment horizontal="center"/>
    </xf>
    <xf numFmtId="0" fontId="141" fillId="0" borderId="10" xfId="0" applyFont="1" applyBorder="1" applyAlignment="1">
      <alignment horizontal="right" vertical="top"/>
    </xf>
    <xf numFmtId="0" fontId="141" fillId="0" borderId="0" xfId="0" applyFont="1" applyBorder="1" applyAlignment="1">
      <alignment horizontal="right" vertical="top"/>
    </xf>
    <xf numFmtId="0" fontId="0" fillId="0" borderId="0" xfId="0" applyBorder="1" applyAlignment="1">
      <alignment horizontal="center"/>
    </xf>
    <xf numFmtId="0" fontId="15" fillId="0" borderId="0" xfId="0" applyFont="1" applyBorder="1" applyAlignment="1">
      <alignment horizontal="center"/>
    </xf>
    <xf numFmtId="0" fontId="0" fillId="0" borderId="0" xfId="0" applyAlignment="1">
      <alignment horizontal="center"/>
    </xf>
    <xf numFmtId="0" fontId="23" fillId="0" borderId="0" xfId="0" applyFont="1" applyAlignment="1">
      <alignment horizontal="center" vertical="top"/>
    </xf>
    <xf numFmtId="0" fontId="72" fillId="0" borderId="0" xfId="0" applyFont="1" applyAlignment="1">
      <alignment horizontal="center" vertical="top"/>
    </xf>
    <xf numFmtId="0" fontId="23" fillId="0" borderId="0" xfId="0" applyFont="1" applyAlignment="1">
      <alignment horizontal="right" vertical="top"/>
    </xf>
    <xf numFmtId="0" fontId="19" fillId="0" borderId="0"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4" fillId="0" borderId="20"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0" xfId="0" applyFont="1" applyBorder="1" applyAlignment="1">
      <alignment horizontal="center" vertical="center"/>
    </xf>
    <xf numFmtId="0" fontId="24" fillId="0" borderId="18" xfId="0" applyFont="1" applyBorder="1" applyAlignment="1">
      <alignment horizontal="center" vertical="center"/>
    </xf>
    <xf numFmtId="0" fontId="9" fillId="0" borderId="0" xfId="0" applyFont="1" applyAlignment="1">
      <alignment horizontal="right"/>
    </xf>
    <xf numFmtId="0" fontId="21" fillId="0" borderId="11" xfId="0" applyFont="1" applyFill="1" applyBorder="1" applyAlignment="1">
      <alignment horizontal="center" vertical="center"/>
    </xf>
    <xf numFmtId="0" fontId="21" fillId="0" borderId="16" xfId="0" applyFont="1" applyFill="1" applyBorder="1" applyAlignment="1">
      <alignment horizontal="center" vertical="center"/>
    </xf>
    <xf numFmtId="0" fontId="17" fillId="0" borderId="12" xfId="0" quotePrefix="1" applyFont="1" applyBorder="1" applyAlignment="1">
      <alignment horizontal="center" vertical="center"/>
    </xf>
    <xf numFmtId="0" fontId="17" fillId="0" borderId="13" xfId="0" quotePrefix="1" applyFont="1" applyBorder="1" applyAlignment="1">
      <alignment horizontal="center" vertical="center"/>
    </xf>
    <xf numFmtId="0" fontId="76" fillId="0" borderId="0" xfId="0" applyFont="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13" fillId="0" borderId="13" xfId="0" applyFont="1" applyBorder="1" applyAlignment="1">
      <alignment horizontal="center" vertical="center"/>
    </xf>
    <xf numFmtId="0" fontId="24" fillId="0" borderId="23"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19" xfId="0" applyFont="1" applyBorder="1" applyAlignment="1">
      <alignment horizontal="center" vertical="center"/>
    </xf>
    <xf numFmtId="0" fontId="42" fillId="0" borderId="0" xfId="0" applyFont="1" applyBorder="1" applyAlignment="1">
      <alignment horizont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76" fillId="0" borderId="0" xfId="0" applyFont="1" applyAlignment="1">
      <alignment horizontal="center" vertical="top"/>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24" fillId="0" borderId="17" xfId="0" applyFont="1" applyBorder="1" applyAlignment="1">
      <alignment horizontal="center" vertical="center"/>
    </xf>
    <xf numFmtId="0" fontId="94" fillId="0" borderId="12" xfId="0" applyFont="1" applyBorder="1" applyAlignment="1">
      <alignment horizontal="center" vertical="center"/>
    </xf>
    <xf numFmtId="0" fontId="94" fillId="0" borderId="13" xfId="0" applyFont="1" applyBorder="1" applyAlignment="1">
      <alignment horizontal="center" vertical="center"/>
    </xf>
    <xf numFmtId="0" fontId="76" fillId="0" borderId="0" xfId="0" applyFont="1" applyAlignment="1">
      <alignment horizontal="center" vertical="top" wrapText="1"/>
    </xf>
    <xf numFmtId="0" fontId="76" fillId="0" borderId="0" xfId="0" applyFont="1" applyAlignment="1">
      <alignment horizontal="center"/>
    </xf>
    <xf numFmtId="0" fontId="41" fillId="0" borderId="17" xfId="0" applyFont="1" applyBorder="1" applyAlignment="1">
      <alignment horizontal="center" vertical="center" wrapText="1"/>
    </xf>
    <xf numFmtId="0" fontId="0" fillId="0" borderId="17" xfId="0" applyBorder="1" applyAlignment="1">
      <alignment horizontal="center" vertical="center"/>
    </xf>
    <xf numFmtId="0" fontId="24" fillId="0" borderId="17" xfId="0" applyFont="1" applyBorder="1" applyAlignment="1">
      <alignment horizontal="center" vertical="center" wrapText="1"/>
    </xf>
    <xf numFmtId="0" fontId="13" fillId="0" borderId="12" xfId="0" applyFont="1" applyBorder="1" applyAlignment="1">
      <alignment horizontal="center" vertical="top"/>
    </xf>
    <xf numFmtId="0" fontId="13" fillId="0" borderId="24" xfId="0" applyFont="1" applyBorder="1" applyAlignment="1">
      <alignment horizontal="center" vertical="top"/>
    </xf>
    <xf numFmtId="0" fontId="13" fillId="0" borderId="13" xfId="0" applyFont="1" applyBorder="1" applyAlignment="1">
      <alignment horizontal="center" vertical="top"/>
    </xf>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24" fillId="0" borderId="2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5" fillId="0" borderId="0" xfId="0" applyFont="1" applyBorder="1" applyAlignment="1" applyProtection="1">
      <alignment horizontal="center"/>
    </xf>
    <xf numFmtId="0" fontId="5" fillId="0" borderId="10" xfId="0" applyFont="1" applyBorder="1" applyAlignment="1" applyProtection="1">
      <alignment horizontal="center"/>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24"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41" fillId="0" borderId="17" xfId="0" applyFont="1" applyBorder="1" applyAlignment="1">
      <alignment horizontal="center" vertical="center"/>
    </xf>
    <xf numFmtId="0" fontId="80" fillId="0" borderId="17" xfId="0" applyFont="1" applyBorder="1" applyAlignment="1">
      <alignment horizontal="center" vertical="center"/>
    </xf>
    <xf numFmtId="0" fontId="14" fillId="0" borderId="20" xfId="0" applyFont="1" applyBorder="1" applyAlignment="1">
      <alignment horizontal="center" vertical="center" wrapText="1"/>
    </xf>
    <xf numFmtId="0" fontId="14" fillId="0" borderId="17" xfId="0" applyFont="1" applyBorder="1" applyAlignment="1">
      <alignment horizontal="center" vertical="center"/>
    </xf>
    <xf numFmtId="0" fontId="14" fillId="0" borderId="17" xfId="0" applyFont="1" applyBorder="1" applyAlignment="1">
      <alignment horizontal="center" vertical="center" wrapText="1"/>
    </xf>
    <xf numFmtId="0" fontId="21" fillId="0" borderId="20"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76" fillId="0" borderId="0" xfId="0" applyFont="1" applyAlignment="1">
      <alignment horizontal="center" shrinkToFit="1"/>
    </xf>
    <xf numFmtId="0" fontId="24" fillId="0" borderId="11" xfId="0" applyFont="1" applyBorder="1" applyAlignment="1">
      <alignment horizontal="center" vertical="center" wrapText="1"/>
    </xf>
    <xf numFmtId="0" fontId="24" fillId="0" borderId="22" xfId="0" applyFont="1" applyBorder="1" applyAlignment="1">
      <alignment horizontal="center" vertical="center" wrapText="1"/>
    </xf>
    <xf numFmtId="0" fontId="76" fillId="0" borderId="0" xfId="0" applyFont="1" applyBorder="1" applyAlignment="1">
      <alignment horizontal="center" vertical="center" wrapText="1"/>
    </xf>
    <xf numFmtId="0" fontId="92" fillId="0" borderId="12" xfId="0" applyFont="1" applyBorder="1" applyAlignment="1">
      <alignment horizontal="center" vertical="center"/>
    </xf>
    <xf numFmtId="0" fontId="92" fillId="0" borderId="13" xfId="0" applyFont="1" applyBorder="1" applyAlignment="1">
      <alignment horizontal="center" vertical="center"/>
    </xf>
    <xf numFmtId="0" fontId="25" fillId="0" borderId="12"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0" fillId="0" borderId="11" xfId="0" applyBorder="1" applyAlignment="1">
      <alignment horizontal="center" vertical="center"/>
    </xf>
    <xf numFmtId="0" fontId="0" fillId="0" borderId="16" xfId="0" applyBorder="1" applyAlignment="1">
      <alignment horizontal="center" vertical="center"/>
    </xf>
    <xf numFmtId="1" fontId="0" fillId="0" borderId="11" xfId="0" applyNumberFormat="1" applyBorder="1" applyAlignment="1">
      <alignment horizontal="center" vertical="center"/>
    </xf>
    <xf numFmtId="1" fontId="0" fillId="0" borderId="16" xfId="0" applyNumberFormat="1" applyBorder="1" applyAlignment="1">
      <alignment horizontal="center" vertical="center"/>
    </xf>
    <xf numFmtId="0" fontId="0" fillId="0" borderId="1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2" fontId="0" fillId="0" borderId="11" xfId="0" applyNumberFormat="1" applyBorder="1" applyAlignment="1" applyProtection="1">
      <alignment horizontal="center" vertical="center"/>
      <protection locked="0"/>
    </xf>
    <xf numFmtId="2" fontId="0" fillId="0" borderId="16" xfId="0" applyNumberForma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2" fontId="25" fillId="0" borderId="12" xfId="0" applyNumberFormat="1" applyFont="1" applyBorder="1" applyAlignment="1" applyProtection="1">
      <alignment horizontal="center" vertical="center"/>
      <protection locked="0"/>
    </xf>
    <xf numFmtId="2" fontId="25" fillId="0" borderId="13" xfId="0" applyNumberFormat="1" applyFont="1" applyBorder="1" applyAlignment="1" applyProtection="1">
      <alignment horizontal="center" vertical="center"/>
      <protection locked="0"/>
    </xf>
    <xf numFmtId="0" fontId="17" fillId="0" borderId="24" xfId="0" quotePrefix="1" applyFont="1" applyBorder="1" applyAlignment="1">
      <alignment horizontal="center" vertical="center"/>
    </xf>
    <xf numFmtId="1" fontId="14" fillId="0" borderId="0" xfId="0" applyNumberFormat="1" applyFont="1" applyBorder="1" applyAlignment="1" applyProtection="1">
      <alignment horizontal="center" vertical="center"/>
      <protection locked="0"/>
    </xf>
    <xf numFmtId="1" fontId="14" fillId="0" borderId="16" xfId="0" applyNumberFormat="1" applyFon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6" xfId="0" applyNumberFormat="1" applyBorder="1" applyAlignment="1" applyProtection="1">
      <alignment horizontal="center" vertical="center"/>
      <protection locked="0"/>
    </xf>
    <xf numFmtId="0" fontId="42" fillId="0" borderId="0" xfId="0" applyFont="1" applyAlignment="1">
      <alignment horizontal="center"/>
    </xf>
    <xf numFmtId="2" fontId="24" fillId="0" borderId="23" xfId="0" applyNumberFormat="1" applyFont="1" applyBorder="1" applyAlignment="1">
      <alignment horizontal="center" vertical="center" wrapText="1"/>
    </xf>
    <xf numFmtId="2" fontId="24" fillId="0" borderId="21"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5" xfId="0" applyFont="1" applyBorder="1" applyAlignment="1">
      <alignment horizontal="center" vertical="center" wrapText="1"/>
    </xf>
    <xf numFmtId="2" fontId="0" fillId="0" borderId="11" xfId="0" applyNumberFormat="1" applyBorder="1" applyAlignment="1">
      <alignment horizontal="center" vertical="center" wrapText="1"/>
    </xf>
    <xf numFmtId="2" fontId="0" fillId="0" borderId="16" xfId="0" applyNumberFormat="1" applyBorder="1" applyAlignment="1">
      <alignment horizontal="center" vertical="center" wrapText="1"/>
    </xf>
    <xf numFmtId="1" fontId="25" fillId="0" borderId="24" xfId="0" applyNumberFormat="1" applyFont="1" applyBorder="1" applyAlignment="1" applyProtection="1">
      <alignment horizontal="center" vertical="center"/>
      <protection locked="0"/>
    </xf>
    <xf numFmtId="1" fontId="25" fillId="0" borderId="13" xfId="0" applyNumberFormat="1" applyFont="1" applyBorder="1" applyAlignment="1" applyProtection="1">
      <alignment horizontal="center" vertical="center"/>
      <protection locked="0"/>
    </xf>
    <xf numFmtId="2" fontId="17" fillId="0" borderId="12" xfId="0" quotePrefix="1" applyNumberFormat="1" applyFont="1" applyBorder="1" applyAlignment="1">
      <alignment horizontal="center" vertical="center" wrapText="1"/>
    </xf>
    <xf numFmtId="2" fontId="17" fillId="0" borderId="13" xfId="0" quotePrefix="1" applyNumberFormat="1" applyFont="1" applyBorder="1" applyAlignment="1">
      <alignment horizontal="center" vertical="center" wrapText="1"/>
    </xf>
    <xf numFmtId="2" fontId="0" fillId="0" borderId="22" xfId="0" applyNumberFormat="1" applyBorder="1" applyAlignment="1">
      <alignment horizontal="center" vertical="center" wrapText="1"/>
    </xf>
    <xf numFmtId="2" fontId="0" fillId="0" borderId="19" xfId="0" applyNumberFormat="1" applyBorder="1" applyAlignment="1">
      <alignment horizontal="center" vertical="center" wrapText="1"/>
    </xf>
    <xf numFmtId="0" fontId="42" fillId="0" borderId="0"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24" xfId="0" applyFont="1" applyBorder="1" applyAlignment="1">
      <alignment horizontal="center" vertical="center"/>
    </xf>
    <xf numFmtId="0" fontId="22" fillId="0" borderId="0" xfId="0" applyFont="1" applyBorder="1" applyAlignment="1">
      <alignment horizontal="right"/>
    </xf>
    <xf numFmtId="0" fontId="70" fillId="0" borderId="20"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8" xfId="0" applyFont="1" applyBorder="1" applyAlignment="1">
      <alignment horizontal="center" vertical="center" wrapText="1"/>
    </xf>
    <xf numFmtId="0" fontId="24" fillId="0" borderId="16" xfId="0" applyFont="1" applyBorder="1" applyAlignment="1">
      <alignment horizontal="center" vertical="center" wrapText="1"/>
    </xf>
    <xf numFmtId="2" fontId="0" fillId="0" borderId="10" xfId="0" applyNumberFormat="1" applyBorder="1" applyAlignment="1">
      <alignment horizontal="right"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3" xfId="0" applyFont="1" applyBorder="1" applyAlignment="1">
      <alignment horizontal="center" vertical="center"/>
    </xf>
    <xf numFmtId="0" fontId="13" fillId="0" borderId="15" xfId="0" applyFont="1" applyBorder="1" applyAlignment="1">
      <alignment horizontal="center" vertical="center"/>
    </xf>
    <xf numFmtId="0" fontId="9" fillId="0" borderId="15" xfId="0" applyFont="1" applyBorder="1" applyAlignment="1">
      <alignment horizontal="center" vertical="center"/>
    </xf>
    <xf numFmtId="0" fontId="13" fillId="0" borderId="24" xfId="0" applyFont="1" applyBorder="1" applyAlignment="1">
      <alignment horizontal="center" vertical="center" wrapText="1"/>
    </xf>
    <xf numFmtId="0" fontId="24" fillId="0" borderId="1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24" fillId="0" borderId="12" xfId="0" applyFont="1" applyBorder="1" applyAlignment="1">
      <alignment horizontal="center" vertical="center" wrapText="1" shrinkToFit="1"/>
    </xf>
    <xf numFmtId="0" fontId="24" fillId="0" borderId="13" xfId="0" applyFont="1" applyBorder="1" applyAlignment="1">
      <alignment horizontal="center" vertical="center" wrapText="1" shrinkToFit="1"/>
    </xf>
    <xf numFmtId="0" fontId="76" fillId="0" borderId="0" xfId="0" applyFont="1" applyAlignment="1">
      <alignment horizontal="center" wrapText="1"/>
    </xf>
    <xf numFmtId="0" fontId="0" fillId="0" borderId="0" xfId="0" applyBorder="1" applyAlignment="1">
      <alignment horizontal="center" vertical="center"/>
    </xf>
    <xf numFmtId="0" fontId="40" fillId="0" borderId="0" xfId="0" applyFont="1" applyBorder="1" applyAlignment="1">
      <alignment horizont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9" fillId="0" borderId="11" xfId="0" applyFont="1" applyBorder="1" applyAlignment="1">
      <alignment horizontal="right" vertical="center"/>
    </xf>
    <xf numFmtId="0" fontId="19" fillId="0" borderId="0" xfId="0" applyFont="1" applyBorder="1" applyAlignment="1">
      <alignment horizontal="right" vertical="center"/>
    </xf>
    <xf numFmtId="0" fontId="76" fillId="0" borderId="0" xfId="0" applyFont="1" applyBorder="1" applyAlignment="1">
      <alignment horizontal="center" wrapText="1"/>
    </xf>
    <xf numFmtId="0" fontId="13" fillId="0" borderId="15" xfId="0" applyFont="1" applyBorder="1" applyAlignment="1">
      <alignment horizontal="center" vertical="center" wrapText="1"/>
    </xf>
    <xf numFmtId="0" fontId="47" fillId="0" borderId="0" xfId="0" applyFont="1" applyBorder="1" applyAlignment="1">
      <alignment horizontal="right"/>
    </xf>
    <xf numFmtId="0" fontId="0" fillId="0" borderId="22" xfId="0" applyBorder="1" applyAlignment="1">
      <alignment horizontal="center" vertical="center"/>
    </xf>
    <xf numFmtId="0" fontId="0" fillId="0" borderId="10" xfId="0" applyBorder="1" applyAlignment="1">
      <alignment horizontal="center" vertical="center"/>
    </xf>
    <xf numFmtId="0" fontId="76" fillId="0" borderId="0" xfId="0" applyFont="1" applyBorder="1" applyAlignment="1">
      <alignment horizontal="center"/>
    </xf>
    <xf numFmtId="0" fontId="17" fillId="0" borderId="12" xfId="0" quotePrefix="1" applyFont="1" applyBorder="1" applyAlignment="1">
      <alignment horizontal="center" vertical="top" wrapText="1"/>
    </xf>
    <xf numFmtId="0" fontId="17" fillId="0" borderId="13" xfId="0" quotePrefix="1" applyFont="1" applyBorder="1" applyAlignment="1">
      <alignment horizontal="center" vertical="top" wrapText="1"/>
    </xf>
    <xf numFmtId="0" fontId="76" fillId="0" borderId="10" xfId="0" applyFont="1" applyBorder="1" applyAlignment="1">
      <alignment horizontal="center"/>
    </xf>
    <xf numFmtId="2" fontId="0" fillId="0" borderId="17" xfId="0" applyNumberFormat="1" applyBorder="1" applyAlignment="1" applyProtection="1">
      <alignment horizontal="center" vertical="center"/>
      <protection locked="0"/>
    </xf>
    <xf numFmtId="2" fontId="0" fillId="0" borderId="22" xfId="0" applyNumberFormat="1" applyBorder="1" applyAlignment="1" applyProtection="1">
      <alignment horizontal="center"/>
      <protection locked="0"/>
    </xf>
    <xf numFmtId="2" fontId="0" fillId="0" borderId="19" xfId="0" applyNumberFormat="1" applyBorder="1" applyAlignment="1" applyProtection="1">
      <alignment horizontal="center"/>
      <protection locked="0"/>
    </xf>
    <xf numFmtId="2" fontId="2" fillId="0" borderId="14" xfId="0" applyNumberFormat="1" applyFont="1" applyBorder="1" applyAlignment="1" applyProtection="1">
      <alignment horizontal="center" vertical="center"/>
      <protection locked="0"/>
    </xf>
    <xf numFmtId="2" fontId="2" fillId="0" borderId="13" xfId="0" applyNumberFormat="1" applyFont="1" applyBorder="1" applyAlignment="1" applyProtection="1">
      <alignment horizontal="center" vertical="center"/>
      <protection locked="0"/>
    </xf>
    <xf numFmtId="3" fontId="15" fillId="0" borderId="15" xfId="0" applyNumberFormat="1" applyFont="1" applyBorder="1" applyAlignment="1">
      <alignment horizontal="center" vertical="center"/>
    </xf>
    <xf numFmtId="3" fontId="15" fillId="0" borderId="23" xfId="0" applyNumberFormat="1" applyFont="1" applyBorder="1" applyAlignment="1">
      <alignment horizontal="center" vertical="center"/>
    </xf>
    <xf numFmtId="3" fontId="15" fillId="0" borderId="21" xfId="0" applyNumberFormat="1" applyFont="1" applyBorder="1" applyAlignment="1">
      <alignment horizontal="center" vertical="center"/>
    </xf>
    <xf numFmtId="0" fontId="44" fillId="0" borderId="20" xfId="0" applyFont="1" applyBorder="1" applyAlignment="1">
      <alignment horizontal="center" vertical="center" wrapText="1"/>
    </xf>
    <xf numFmtId="0" fontId="44" fillId="0" borderId="18" xfId="0" applyFont="1" applyBorder="1" applyAlignment="1">
      <alignment horizontal="center" vertical="center" wrapText="1"/>
    </xf>
    <xf numFmtId="0" fontId="14" fillId="0" borderId="0" xfId="0" applyFont="1" applyBorder="1" applyAlignment="1">
      <alignment horizontal="center"/>
    </xf>
    <xf numFmtId="0" fontId="84" fillId="0" borderId="0" xfId="0" applyFont="1" applyBorder="1" applyAlignment="1">
      <alignment horizontal="center"/>
    </xf>
    <xf numFmtId="0" fontId="44" fillId="0" borderId="23" xfId="0" applyFont="1" applyBorder="1" applyAlignment="1">
      <alignment horizontal="center" vertical="center" wrapText="1"/>
    </xf>
    <xf numFmtId="0" fontId="44" fillId="0" borderId="11"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18"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20"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87" fillId="0" borderId="0" xfId="0" applyFont="1" applyBorder="1" applyAlignment="1">
      <alignment horizontal="center" vertical="top" wrapText="1"/>
    </xf>
    <xf numFmtId="0" fontId="91" fillId="0" borderId="12" xfId="0" applyFont="1" applyBorder="1" applyAlignment="1" applyProtection="1">
      <alignment horizontal="center" vertical="center" wrapText="1"/>
      <protection locked="0"/>
    </xf>
    <xf numFmtId="0" fontId="91" fillId="0" borderId="24" xfId="0" applyFont="1" applyBorder="1" applyAlignment="1" applyProtection="1">
      <alignment horizontal="center" vertical="center" wrapText="1"/>
      <protection locked="0"/>
    </xf>
    <xf numFmtId="0" fontId="42" fillId="0" borderId="12" xfId="0" applyFont="1" applyBorder="1" applyAlignment="1">
      <alignment horizontal="center" vertical="center" wrapText="1"/>
    </xf>
    <xf numFmtId="0" fontId="42" fillId="0" borderId="24" xfId="0" applyFont="1" applyBorder="1" applyAlignment="1">
      <alignment horizontal="center" vertical="center" wrapText="1"/>
    </xf>
    <xf numFmtId="0" fontId="19" fillId="0" borderId="13" xfId="0" applyFont="1" applyBorder="1" applyAlignment="1">
      <alignment horizontal="center" vertical="center" wrapText="1"/>
    </xf>
    <xf numFmtId="0" fontId="7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2" fillId="0" borderId="0" xfId="0" applyFont="1" applyBorder="1" applyAlignment="1" applyProtection="1">
      <alignment horizontal="center"/>
      <protection locked="0"/>
    </xf>
    <xf numFmtId="0" fontId="110" fillId="0" borderId="0" xfId="0" applyFont="1" applyAlignment="1" applyProtection="1">
      <alignment wrapText="1"/>
      <protection locked="0"/>
    </xf>
    <xf numFmtId="0" fontId="110" fillId="0" borderId="0" xfId="0" applyFont="1" applyAlignment="1">
      <alignment wrapText="1"/>
    </xf>
    <xf numFmtId="0" fontId="9" fillId="0" borderId="0" xfId="0" applyFont="1" applyAlignment="1">
      <alignment wrapText="1"/>
    </xf>
    <xf numFmtId="0" fontId="76" fillId="0" borderId="0" xfId="0" applyFont="1" applyBorder="1" applyAlignment="1" applyProtection="1">
      <alignment horizontal="center" vertical="top" wrapText="1"/>
      <protection locked="0"/>
    </xf>
    <xf numFmtId="0" fontId="24" fillId="0" borderId="20"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42" fillId="0" borderId="12"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9" fillId="0" borderId="15" xfId="0" applyFont="1" applyBorder="1" applyAlignment="1" applyProtection="1">
      <alignment horizontal="left" vertical="center" wrapText="1"/>
      <protection locked="0"/>
    </xf>
    <xf numFmtId="0" fontId="9" fillId="0" borderId="15"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76" fillId="0" borderId="0" xfId="0" applyFont="1" applyBorder="1" applyAlignment="1">
      <alignment horizontal="center" vertical="top" wrapText="1"/>
    </xf>
    <xf numFmtId="0" fontId="42" fillId="0" borderId="12" xfId="0" applyFont="1" applyBorder="1" applyAlignment="1">
      <alignment horizontal="center" vertical="center"/>
    </xf>
    <xf numFmtId="0" fontId="42" fillId="0" borderId="24" xfId="0" applyFont="1" applyBorder="1" applyAlignment="1">
      <alignment horizontal="center" vertical="center"/>
    </xf>
    <xf numFmtId="0" fontId="42" fillId="0" borderId="13" xfId="0" applyFont="1" applyBorder="1" applyAlignment="1">
      <alignment horizontal="center" vertical="center"/>
    </xf>
    <xf numFmtId="0" fontId="47" fillId="0" borderId="0" xfId="0" applyFont="1" applyAlignment="1" applyProtection="1">
      <alignment vertical="top" wrapText="1"/>
      <protection locked="0"/>
    </xf>
    <xf numFmtId="0" fontId="9" fillId="0" borderId="0" xfId="0" applyFont="1" applyAlignment="1">
      <alignment vertical="top" wrapText="1"/>
    </xf>
    <xf numFmtId="0" fontId="75" fillId="0" borderId="12" xfId="0" applyFont="1" applyBorder="1" applyAlignment="1">
      <alignment horizontal="center" vertical="center"/>
    </xf>
    <xf numFmtId="0" fontId="75" fillId="0" borderId="24" xfId="0" applyFont="1" applyBorder="1" applyAlignment="1">
      <alignment horizontal="center" vertical="center"/>
    </xf>
    <xf numFmtId="0" fontId="75" fillId="0" borderId="13" xfId="0" applyFont="1" applyBorder="1" applyAlignment="1">
      <alignment horizontal="center" vertical="center"/>
    </xf>
    <xf numFmtId="0" fontId="90" fillId="0" borderId="0" xfId="0" applyFont="1" applyBorder="1" applyAlignment="1">
      <alignment horizontal="left" vertical="top" wrapText="1"/>
    </xf>
    <xf numFmtId="0" fontId="76" fillId="0" borderId="0" xfId="0" applyFont="1" applyAlignment="1">
      <alignment horizontal="center" vertical="center" wrapText="1"/>
    </xf>
    <xf numFmtId="0" fontId="73" fillId="0" borderId="24" xfId="0" applyFont="1" applyBorder="1" applyAlignment="1">
      <alignment horizontal="center" vertical="center" wrapText="1"/>
    </xf>
    <xf numFmtId="0" fontId="73" fillId="0" borderId="13" xfId="0" applyFont="1" applyBorder="1" applyAlignment="1">
      <alignment horizontal="center" vertical="center" wrapText="1"/>
    </xf>
    <xf numFmtId="0" fontId="113" fillId="0" borderId="15" xfId="0" applyFont="1" applyFill="1" applyBorder="1" applyAlignment="1">
      <alignment horizontal="left" vertical="top" wrapText="1"/>
    </xf>
    <xf numFmtId="0" fontId="24" fillId="0" borderId="15" xfId="0" applyFont="1" applyBorder="1" applyAlignment="1">
      <alignment horizontal="center" vertical="center"/>
    </xf>
    <xf numFmtId="0" fontId="21" fillId="0" borderId="12" xfId="0" applyFont="1" applyBorder="1" applyAlignment="1">
      <alignment horizontal="center"/>
    </xf>
    <xf numFmtId="0" fontId="21" fillId="0" borderId="24" xfId="0" applyFont="1" applyBorder="1" applyAlignment="1">
      <alignment horizontal="center"/>
    </xf>
    <xf numFmtId="0" fontId="21" fillId="0" borderId="13" xfId="0" applyFont="1" applyBorder="1" applyAlignment="1">
      <alignment horizontal="center"/>
    </xf>
    <xf numFmtId="0" fontId="14" fillId="0" borderId="0" xfId="0" applyFont="1" applyBorder="1" applyAlignment="1">
      <alignment horizontal="left" vertical="top" wrapText="1"/>
    </xf>
    <xf numFmtId="0" fontId="46" fillId="0" borderId="0" xfId="0" applyFont="1" applyBorder="1" applyAlignment="1">
      <alignment horizontal="left" vertical="top" wrapText="1"/>
    </xf>
    <xf numFmtId="0" fontId="46" fillId="0" borderId="16" xfId="0" applyFont="1" applyBorder="1" applyAlignment="1">
      <alignment horizontal="left" vertical="top" wrapText="1"/>
    </xf>
    <xf numFmtId="0" fontId="14" fillId="0" borderId="15" xfId="0" applyFont="1" applyBorder="1" applyAlignment="1">
      <alignment horizontal="left"/>
    </xf>
    <xf numFmtId="0" fontId="14" fillId="0" borderId="21" xfId="0" applyFont="1" applyBorder="1" applyAlignment="1">
      <alignment horizontal="left"/>
    </xf>
    <xf numFmtId="0" fontId="14" fillId="0" borderId="10" xfId="0" applyFont="1" applyBorder="1" applyAlignment="1">
      <alignment horizontal="left"/>
    </xf>
    <xf numFmtId="0" fontId="14" fillId="0" borderId="19" xfId="0" applyFont="1" applyBorder="1" applyAlignment="1">
      <alignment horizontal="left"/>
    </xf>
    <xf numFmtId="0" fontId="45" fillId="0" borderId="0" xfId="0" applyFont="1" applyBorder="1" applyAlignment="1">
      <alignment horizontal="justify" vertical="top" wrapText="1"/>
    </xf>
    <xf numFmtId="0" fontId="45" fillId="0" borderId="16" xfId="0" applyFont="1" applyBorder="1" applyAlignment="1">
      <alignment horizontal="justify" vertical="top" wrapText="1"/>
    </xf>
    <xf numFmtId="0" fontId="45" fillId="0" borderId="0" xfId="0" applyFont="1" applyBorder="1" applyAlignment="1">
      <alignment horizontal="left" vertical="top" wrapText="1"/>
    </xf>
    <xf numFmtId="0" fontId="45" fillId="0" borderId="16" xfId="0" applyFont="1" applyBorder="1" applyAlignment="1">
      <alignment horizontal="left" vertical="top" wrapText="1"/>
    </xf>
    <xf numFmtId="0" fontId="17" fillId="0" borderId="23" xfId="0" quotePrefix="1" applyFont="1" applyBorder="1" applyAlignment="1">
      <alignment horizontal="center"/>
    </xf>
    <xf numFmtId="0" fontId="17" fillId="0" borderId="15" xfId="0" quotePrefix="1" applyFont="1" applyBorder="1" applyAlignment="1">
      <alignment horizontal="center"/>
    </xf>
    <xf numFmtId="0" fontId="17" fillId="0" borderId="21" xfId="0" quotePrefix="1" applyFont="1" applyBorder="1" applyAlignment="1">
      <alignment horizontal="center"/>
    </xf>
    <xf numFmtId="0" fontId="25" fillId="0" borderId="12" xfId="0" applyFont="1" applyBorder="1" applyAlignment="1">
      <alignment horizontal="center"/>
    </xf>
    <xf numFmtId="0" fontId="25" fillId="0" borderId="24" xfId="0" applyFont="1" applyBorder="1" applyAlignment="1">
      <alignment horizontal="center"/>
    </xf>
    <xf numFmtId="0" fontId="25" fillId="0" borderId="13" xfId="0" applyFont="1" applyBorder="1" applyAlignment="1">
      <alignment horizontal="center"/>
    </xf>
    <xf numFmtId="0" fontId="45" fillId="0" borderId="0" xfId="0" applyFont="1" applyBorder="1" applyAlignment="1">
      <alignment horizontal="left"/>
    </xf>
    <xf numFmtId="0" fontId="45" fillId="0" borderId="16" xfId="0" applyFont="1" applyBorder="1" applyAlignment="1">
      <alignment horizontal="left"/>
    </xf>
    <xf numFmtId="0" fontId="14" fillId="0" borderId="0" xfId="0" applyFont="1" applyBorder="1" applyAlignment="1">
      <alignment horizontal="left"/>
    </xf>
    <xf numFmtId="0" fontId="14" fillId="0" borderId="16" xfId="0" applyFont="1" applyBorder="1" applyAlignment="1">
      <alignment horizontal="left"/>
    </xf>
    <xf numFmtId="0" fontId="21" fillId="0" borderId="12" xfId="0" applyFont="1" applyBorder="1" applyAlignment="1">
      <alignment horizontal="center" vertical="center"/>
    </xf>
    <xf numFmtId="0" fontId="21" fillId="0" borderId="24" xfId="0" applyFont="1" applyBorder="1" applyAlignment="1">
      <alignment horizontal="center" vertical="center"/>
    </xf>
    <xf numFmtId="0" fontId="21" fillId="0" borderId="13" xfId="0" applyFont="1" applyBorder="1" applyAlignment="1">
      <alignment horizontal="center" vertical="center"/>
    </xf>
    <xf numFmtId="0" fontId="17" fillId="0" borderId="12" xfId="0" quotePrefix="1" applyFont="1" applyBorder="1" applyAlignment="1">
      <alignment horizontal="center"/>
    </xf>
    <xf numFmtId="0" fontId="17" fillId="0" borderId="24" xfId="0" quotePrefix="1" applyFont="1" applyBorder="1" applyAlignment="1">
      <alignment horizontal="center"/>
    </xf>
    <xf numFmtId="0" fontId="17" fillId="0" borderId="13" xfId="0" quotePrefix="1" applyFont="1" applyBorder="1" applyAlignment="1">
      <alignment horizontal="center"/>
    </xf>
    <xf numFmtId="0" fontId="47" fillId="0" borderId="15" xfId="0" applyFont="1" applyBorder="1" applyAlignment="1" applyProtection="1">
      <alignment vertical="top" wrapText="1"/>
      <protection locked="0"/>
    </xf>
    <xf numFmtId="0" fontId="9" fillId="0" borderId="15" xfId="0" applyFont="1" applyBorder="1" applyAlignment="1">
      <alignment vertical="top" wrapText="1"/>
    </xf>
    <xf numFmtId="0" fontId="110" fillId="0" borderId="15" xfId="0" applyFont="1" applyBorder="1" applyAlignment="1" applyProtection="1">
      <alignment horizontal="left" vertical="top" wrapText="1"/>
      <protection locked="0"/>
    </xf>
    <xf numFmtId="0" fontId="110" fillId="0" borderId="0" xfId="0" applyFont="1" applyBorder="1" applyAlignment="1" applyProtection="1">
      <alignment horizontal="left" vertical="top" wrapText="1"/>
      <protection locked="0"/>
    </xf>
    <xf numFmtId="0" fontId="40" fillId="0" borderId="0" xfId="0" applyFont="1" applyBorder="1" applyAlignment="1">
      <alignment horizontal="left" wrapText="1"/>
    </xf>
    <xf numFmtId="0" fontId="40" fillId="0" borderId="16" xfId="0" applyFont="1" applyBorder="1" applyAlignment="1">
      <alignment horizontal="left"/>
    </xf>
    <xf numFmtId="0" fontId="40" fillId="0" borderId="0" xfId="0" applyFont="1" applyBorder="1" applyAlignment="1">
      <alignment horizontal="justify" wrapText="1" shrinkToFit="1"/>
    </xf>
    <xf numFmtId="0" fontId="40" fillId="0" borderId="16" xfId="0" applyFont="1" applyBorder="1" applyAlignment="1">
      <alignment horizontal="justify" shrinkToFit="1"/>
    </xf>
    <xf numFmtId="0" fontId="40" fillId="0" borderId="0" xfId="0" applyFont="1" applyBorder="1" applyAlignment="1">
      <alignment horizontal="left" wrapText="1" shrinkToFit="1"/>
    </xf>
    <xf numFmtId="0" fontId="40" fillId="0" borderId="16" xfId="0" applyFont="1" applyBorder="1" applyAlignment="1">
      <alignment horizontal="left" shrinkToFit="1"/>
    </xf>
    <xf numFmtId="0" fontId="40" fillId="0" borderId="16" xfId="0" applyFont="1" applyBorder="1" applyAlignment="1">
      <alignment horizontal="left" wrapText="1"/>
    </xf>
    <xf numFmtId="0" fontId="19" fillId="0" borderId="12" xfId="0" applyFont="1" applyBorder="1" applyAlignment="1">
      <alignment horizontal="center"/>
    </xf>
    <xf numFmtId="0" fontId="19" fillId="0" borderId="13" xfId="0" applyFont="1" applyBorder="1" applyAlignment="1">
      <alignment horizontal="center"/>
    </xf>
    <xf numFmtId="0" fontId="25" fillId="0" borderId="24" xfId="0" applyFont="1" applyBorder="1" applyAlignment="1">
      <alignment vertical="center"/>
    </xf>
    <xf numFmtId="0" fontId="44" fillId="0" borderId="24" xfId="0" applyFont="1" applyBorder="1" applyAlignment="1">
      <alignment vertical="center"/>
    </xf>
    <xf numFmtId="0" fontId="14" fillId="0" borderId="0" xfId="0" applyFont="1" applyBorder="1" applyAlignment="1">
      <alignment horizontal="left" vertical="center"/>
    </xf>
    <xf numFmtId="0" fontId="14" fillId="0" borderId="16" xfId="0" applyFont="1" applyBorder="1" applyAlignment="1">
      <alignment horizontal="left" vertical="center"/>
    </xf>
    <xf numFmtId="0" fontId="14" fillId="0" borderId="10" xfId="0" applyFont="1" applyBorder="1" applyAlignment="1">
      <alignment horizontal="left" vertical="center"/>
    </xf>
    <xf numFmtId="0" fontId="14" fillId="0" borderId="19" xfId="0" applyFont="1" applyBorder="1" applyAlignment="1">
      <alignment horizontal="lef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4" fillId="0" borderId="15" xfId="0" applyFont="1" applyBorder="1" applyAlignment="1">
      <alignment horizontal="left" vertical="center"/>
    </xf>
    <xf numFmtId="0" fontId="14" fillId="0" borderId="21" xfId="0" applyFont="1" applyBorder="1" applyAlignment="1">
      <alignment horizontal="left" vertical="center"/>
    </xf>
    <xf numFmtId="0" fontId="40" fillId="0" borderId="0" xfId="0" applyFont="1" applyBorder="1" applyAlignment="1">
      <alignment horizontal="left" vertical="center" wrapText="1"/>
    </xf>
    <xf numFmtId="0" fontId="40" fillId="0" borderId="16" xfId="0" applyFont="1" applyBorder="1" applyAlignment="1">
      <alignment horizontal="left" vertical="center" wrapText="1"/>
    </xf>
    <xf numFmtId="0" fontId="24" fillId="0" borderId="16" xfId="0" applyFont="1" applyBorder="1" applyAlignment="1">
      <alignment horizontal="center" vertical="center"/>
    </xf>
    <xf numFmtId="0" fontId="21" fillId="0" borderId="0" xfId="0" applyFont="1" applyBorder="1" applyAlignment="1">
      <alignment horizontal="left" vertical="center" wrapText="1"/>
    </xf>
    <xf numFmtId="0" fontId="21" fillId="0" borderId="16" xfId="0" applyFont="1" applyBorder="1" applyAlignment="1">
      <alignment horizontal="left" vertical="center" wrapText="1"/>
    </xf>
    <xf numFmtId="0" fontId="21" fillId="0" borderId="10" xfId="0" applyFont="1" applyBorder="1" applyAlignment="1">
      <alignment horizontal="left" vertical="center"/>
    </xf>
    <xf numFmtId="0" fontId="21" fillId="0" borderId="19" xfId="0" applyFont="1" applyBorder="1" applyAlignment="1">
      <alignment horizontal="left" vertical="center"/>
    </xf>
    <xf numFmtId="0" fontId="21" fillId="0" borderId="0" xfId="0" applyFont="1" applyBorder="1" applyAlignment="1">
      <alignment horizontal="left" vertical="center"/>
    </xf>
    <xf numFmtId="0" fontId="21" fillId="0" borderId="16" xfId="0" applyFont="1" applyBorder="1" applyAlignment="1">
      <alignment horizontal="left" vertical="center"/>
    </xf>
    <xf numFmtId="0" fontId="21" fillId="0" borderId="15" xfId="0" applyFont="1" applyBorder="1" applyAlignment="1">
      <alignment horizontal="center" vertical="center"/>
    </xf>
    <xf numFmtId="0" fontId="21" fillId="0" borderId="15" xfId="0" applyFont="1" applyBorder="1" applyAlignment="1">
      <alignment horizontal="left" vertical="center"/>
    </xf>
    <xf numFmtId="0" fontId="21" fillId="0" borderId="21" xfId="0" applyFont="1" applyBorder="1" applyAlignment="1">
      <alignment horizontal="left" vertical="center"/>
    </xf>
    <xf numFmtId="0" fontId="47" fillId="0" borderId="15" xfId="0" applyFont="1" applyBorder="1" applyAlignment="1" applyProtection="1">
      <alignment horizontal="left" vertical="center" wrapText="1"/>
      <protection locked="0"/>
    </xf>
    <xf numFmtId="0" fontId="25" fillId="0" borderId="24" xfId="0" applyFont="1" applyBorder="1" applyAlignment="1">
      <alignment horizontal="left" vertical="center"/>
    </xf>
    <xf numFmtId="0" fontId="25" fillId="0" borderId="13" xfId="0" applyFont="1" applyBorder="1" applyAlignment="1">
      <alignment horizontal="left" vertical="center"/>
    </xf>
    <xf numFmtId="0" fontId="40" fillId="0" borderId="0" xfId="0" applyFont="1" applyBorder="1" applyAlignment="1">
      <alignment horizontal="left" vertical="top" wrapText="1"/>
    </xf>
    <xf numFmtId="0" fontId="40" fillId="0" borderId="16" xfId="0" applyFont="1" applyBorder="1" applyAlignment="1">
      <alignment horizontal="left" vertical="top" wrapText="1"/>
    </xf>
    <xf numFmtId="0" fontId="40" fillId="0" borderId="0" xfId="0" applyFont="1" applyBorder="1" applyAlignment="1">
      <alignment horizontal="justify" vertical="top" wrapText="1"/>
    </xf>
    <xf numFmtId="0" fontId="40" fillId="0" borderId="16" xfId="0" applyFont="1" applyBorder="1" applyAlignment="1">
      <alignment horizontal="justify" vertical="top" wrapText="1"/>
    </xf>
    <xf numFmtId="0" fontId="25" fillId="0" borderId="24" xfId="0" applyFont="1" applyBorder="1" applyAlignment="1">
      <alignment horizontal="center" vertical="center"/>
    </xf>
    <xf numFmtId="0" fontId="47" fillId="0" borderId="15" xfId="0" applyFont="1" applyBorder="1" applyAlignment="1" applyProtection="1">
      <alignment horizontal="left" vertical="top" wrapText="1"/>
      <protection locked="0"/>
    </xf>
    <xf numFmtId="0" fontId="17" fillId="0" borderId="23" xfId="0" quotePrefix="1" applyFont="1" applyBorder="1" applyAlignment="1">
      <alignment horizontal="center" vertical="center"/>
    </xf>
    <xf numFmtId="0" fontId="17" fillId="0" borderId="15" xfId="0" quotePrefix="1" applyFont="1" applyBorder="1" applyAlignment="1">
      <alignment horizontal="center" vertical="center"/>
    </xf>
    <xf numFmtId="0" fontId="17" fillId="0" borderId="21" xfId="0" quotePrefix="1" applyFont="1" applyBorder="1" applyAlignment="1">
      <alignment horizontal="center" vertical="center"/>
    </xf>
    <xf numFmtId="0" fontId="21" fillId="0" borderId="15" xfId="0" applyFont="1" applyBorder="1" applyAlignment="1">
      <alignment vertical="center"/>
    </xf>
    <xf numFmtId="0" fontId="21" fillId="0" borderId="21" xfId="0" applyFont="1" applyBorder="1" applyAlignment="1">
      <alignment vertical="center"/>
    </xf>
    <xf numFmtId="0" fontId="33" fillId="0" borderId="0" xfId="0" applyFont="1" applyAlignment="1">
      <alignment horizontal="center"/>
    </xf>
    <xf numFmtId="0" fontId="76" fillId="0" borderId="0" xfId="0" applyFont="1" applyBorder="1" applyAlignment="1">
      <alignment horizontal="center" vertical="top"/>
    </xf>
    <xf numFmtId="0" fontId="24" fillId="0" borderId="24" xfId="0" applyFont="1" applyBorder="1" applyAlignment="1">
      <alignment horizontal="center" vertical="center" wrapText="1"/>
    </xf>
    <xf numFmtId="0" fontId="3" fillId="0" borderId="1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42" fillId="0" borderId="0" xfId="0" applyFont="1" applyAlignment="1">
      <alignment horizontal="center" vertical="center"/>
    </xf>
    <xf numFmtId="0" fontId="76" fillId="0" borderId="0" xfId="0" applyFont="1" applyBorder="1" applyAlignment="1">
      <alignment horizontal="center" vertical="center"/>
    </xf>
    <xf numFmtId="0" fontId="24" fillId="0" borderId="24" xfId="0" applyFont="1" applyBorder="1" applyAlignment="1">
      <alignment horizontal="center" vertical="center"/>
    </xf>
    <xf numFmtId="0" fontId="42" fillId="0" borderId="10" xfId="0" applyFont="1" applyBorder="1" applyAlignment="1">
      <alignment horizontal="center" vertical="center"/>
    </xf>
    <xf numFmtId="0" fontId="50" fillId="0" borderId="12" xfId="0" applyFont="1" applyBorder="1" applyAlignment="1">
      <alignment horizontal="center" vertical="center"/>
    </xf>
    <xf numFmtId="0" fontId="50" fillId="0" borderId="24" xfId="0" applyFont="1" applyBorder="1" applyAlignment="1">
      <alignment horizontal="center" vertical="center"/>
    </xf>
    <xf numFmtId="0" fontId="50" fillId="0" borderId="13" xfId="0" applyFont="1" applyBorder="1" applyAlignment="1">
      <alignment horizontal="center" vertical="center"/>
    </xf>
    <xf numFmtId="0" fontId="14" fillId="0" borderId="0" xfId="0" applyFont="1" applyBorder="1" applyAlignment="1" applyProtection="1">
      <alignment horizontal="center" vertical="center"/>
      <protection locked="0"/>
    </xf>
    <xf numFmtId="0" fontId="9" fillId="0" borderId="1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19" xfId="0" applyBorder="1" applyAlignment="1">
      <alignment horizontal="center" vertical="center"/>
    </xf>
    <xf numFmtId="0" fontId="42" fillId="0" borderId="19" xfId="0" applyFont="1" applyBorder="1" applyAlignment="1">
      <alignment horizontal="center" vertical="center"/>
    </xf>
    <xf numFmtId="0" fontId="0" fillId="0" borderId="11" xfId="0" applyBorder="1" applyAlignment="1">
      <alignment horizontal="center"/>
    </xf>
    <xf numFmtId="0" fontId="0" fillId="0" borderId="16" xfId="0" applyBorder="1" applyAlignment="1">
      <alignment horizontal="center"/>
    </xf>
    <xf numFmtId="0" fontId="14" fillId="0" borderId="23"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78" fillId="0" borderId="0" xfId="0" applyFont="1" applyAlignment="1">
      <alignment horizontal="center" vertical="center" wrapText="1"/>
    </xf>
    <xf numFmtId="0" fontId="76" fillId="0" borderId="10" xfId="0" applyFont="1" applyBorder="1" applyAlignment="1">
      <alignment horizontal="center" wrapText="1"/>
    </xf>
    <xf numFmtId="0" fontId="3" fillId="0" borderId="1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24" fillId="0" borderId="14" xfId="0" applyFont="1" applyBorder="1" applyAlignment="1">
      <alignment horizontal="center" vertical="center"/>
    </xf>
    <xf numFmtId="0" fontId="21" fillId="0" borderId="23" xfId="0" applyFont="1" applyFill="1" applyBorder="1" applyAlignment="1">
      <alignment horizontal="center" vertical="center"/>
    </xf>
    <xf numFmtId="0" fontId="21" fillId="0" borderId="21" xfId="0" applyFont="1" applyFill="1" applyBorder="1" applyAlignment="1">
      <alignment horizontal="center" vertical="center"/>
    </xf>
    <xf numFmtId="0" fontId="47" fillId="0" borderId="0" xfId="0" applyFont="1" applyBorder="1" applyAlignment="1" applyProtection="1">
      <alignment horizontal="right" vertical="center"/>
      <protection locked="0"/>
    </xf>
    <xf numFmtId="0" fontId="24" fillId="0" borderId="14" xfId="0" applyFont="1" applyBorder="1" applyAlignment="1">
      <alignment horizontal="center" vertical="center" wrapText="1"/>
    </xf>
    <xf numFmtId="0" fontId="0" fillId="0" borderId="0" xfId="0" applyAlignment="1">
      <alignment horizontal="center" vertical="center"/>
    </xf>
    <xf numFmtId="0" fontId="21" fillId="0" borderId="22" xfId="0" applyFont="1" applyFill="1"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31" fillId="0" borderId="22" xfId="0" applyFont="1" applyBorder="1" applyAlignment="1">
      <alignment horizontal="left" vertical="center" wrapText="1"/>
    </xf>
    <xf numFmtId="0" fontId="51" fillId="0" borderId="19" xfId="0" applyFont="1" applyBorder="1" applyAlignment="1">
      <alignment vertical="center"/>
    </xf>
    <xf numFmtId="0" fontId="14" fillId="0" borderId="11" xfId="0" applyFont="1" applyBorder="1" applyAlignment="1">
      <alignment horizontal="left" vertical="center"/>
    </xf>
    <xf numFmtId="0" fontId="0" fillId="0" borderId="16" xfId="0" applyBorder="1" applyAlignment="1">
      <alignment horizontal="left" vertical="center"/>
    </xf>
    <xf numFmtId="0" fontId="21" fillId="0" borderId="11" xfId="0" quotePrefix="1" applyFont="1" applyBorder="1" applyAlignment="1">
      <alignment horizontal="center" vertical="center"/>
    </xf>
    <xf numFmtId="0" fontId="21" fillId="0" borderId="16" xfId="0" quotePrefix="1" applyFont="1" applyBorder="1" applyAlignment="1">
      <alignment horizontal="center" vertical="center"/>
    </xf>
    <xf numFmtId="0" fontId="21" fillId="0" borderId="22" xfId="0" quotePrefix="1" applyFont="1" applyBorder="1" applyAlignment="1">
      <alignment horizontal="center" vertical="center"/>
    </xf>
    <xf numFmtId="0" fontId="21" fillId="0" borderId="19" xfId="0" quotePrefix="1" applyFont="1" applyBorder="1" applyAlignment="1">
      <alignment horizontal="center" vertical="center"/>
    </xf>
    <xf numFmtId="0" fontId="14" fillId="0" borderId="23" xfId="0" applyFont="1" applyBorder="1" applyAlignment="1">
      <alignment horizontal="left" vertical="center"/>
    </xf>
    <xf numFmtId="0" fontId="17" fillId="0" borderId="13" xfId="0" applyFont="1" applyBorder="1" applyAlignment="1">
      <alignment horizontal="center" vertical="center"/>
    </xf>
    <xf numFmtId="0" fontId="76" fillId="0" borderId="10" xfId="0" applyFont="1" applyBorder="1" applyAlignment="1">
      <alignment horizontal="center" vertical="top" wrapText="1"/>
    </xf>
    <xf numFmtId="0" fontId="21" fillId="0" borderId="23" xfId="0" quotePrefix="1" applyFont="1" applyBorder="1" applyAlignment="1">
      <alignment horizontal="center" vertical="center"/>
    </xf>
    <xf numFmtId="0" fontId="21" fillId="0" borderId="21" xfId="0" quotePrefix="1" applyFont="1" applyBorder="1" applyAlignment="1">
      <alignment horizontal="center" vertical="center"/>
    </xf>
    <xf numFmtId="0" fontId="46" fillId="0" borderId="21" xfId="0" applyFont="1" applyBorder="1" applyAlignment="1">
      <alignment horizontal="left" vertical="center"/>
    </xf>
    <xf numFmtId="0" fontId="14" fillId="0" borderId="22" xfId="0" applyFont="1" applyBorder="1" applyAlignment="1">
      <alignment horizontal="left" vertical="center" wrapText="1"/>
    </xf>
    <xf numFmtId="0" fontId="14" fillId="0" borderId="19" xfId="0" applyFont="1" applyBorder="1" applyAlignment="1">
      <alignment horizontal="left" vertical="center" wrapText="1"/>
    </xf>
    <xf numFmtId="0" fontId="47" fillId="0" borderId="15" xfId="0" applyFont="1" applyBorder="1" applyAlignment="1">
      <alignment horizontal="left" vertical="top" wrapText="1"/>
    </xf>
    <xf numFmtId="0" fontId="14" fillId="0" borderId="17" xfId="0" applyFont="1" applyBorder="1" applyAlignment="1">
      <alignment horizontal="left" vertical="center"/>
    </xf>
    <xf numFmtId="0" fontId="46" fillId="0" borderId="16" xfId="0" applyFont="1" applyBorder="1" applyAlignment="1">
      <alignment horizontal="left" vertical="center"/>
    </xf>
    <xf numFmtId="0" fontId="14" fillId="0" borderId="22" xfId="0" applyFont="1" applyBorder="1" applyAlignment="1">
      <alignment horizontal="left" vertical="center" shrinkToFit="1"/>
    </xf>
    <xf numFmtId="0" fontId="14" fillId="0" borderId="19" xfId="0" applyFont="1" applyBorder="1" applyAlignment="1">
      <alignment horizontal="left" vertical="center" shrinkToFit="1"/>
    </xf>
    <xf numFmtId="0" fontId="36" fillId="0" borderId="11" xfId="0" applyFont="1" applyBorder="1" applyAlignment="1">
      <alignment horizontal="center" vertical="center"/>
    </xf>
    <xf numFmtId="0" fontId="36" fillId="0" borderId="16" xfId="0" applyFont="1" applyBorder="1" applyAlignment="1">
      <alignment horizontal="center" vertical="center"/>
    </xf>
    <xf numFmtId="0" fontId="96" fillId="0" borderId="11" xfId="0" applyFont="1" applyBorder="1" applyAlignment="1">
      <alignment horizontal="center" vertical="center"/>
    </xf>
    <xf numFmtId="0" fontId="96" fillId="0" borderId="16" xfId="0" applyFont="1" applyBorder="1" applyAlignment="1">
      <alignment horizontal="center" vertical="center"/>
    </xf>
    <xf numFmtId="0" fontId="44" fillId="0" borderId="11" xfId="0" applyFont="1" applyBorder="1" applyAlignment="1">
      <alignment horizontal="center" vertical="center"/>
    </xf>
    <xf numFmtId="0" fontId="44" fillId="0" borderId="16" xfId="0" applyFont="1" applyBorder="1" applyAlignment="1">
      <alignment horizontal="center" vertical="center"/>
    </xf>
    <xf numFmtId="0" fontId="36" fillId="0" borderId="22" xfId="0" applyFont="1" applyBorder="1" applyAlignment="1">
      <alignment horizontal="center" vertical="center"/>
    </xf>
    <xf numFmtId="0" fontId="36"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18" xfId="0" applyFont="1" applyBorder="1" applyAlignment="1">
      <alignment horizontal="center" vertical="center"/>
    </xf>
    <xf numFmtId="2" fontId="97" fillId="0" borderId="11" xfId="0" applyNumberFormat="1" applyFont="1" applyBorder="1" applyAlignment="1">
      <alignment horizontal="center" vertical="center"/>
    </xf>
    <xf numFmtId="2" fontId="97" fillId="0" borderId="16" xfId="0" applyNumberFormat="1" applyFont="1" applyBorder="1" applyAlignment="1">
      <alignment horizontal="center" vertical="center"/>
    </xf>
    <xf numFmtId="0" fontId="97" fillId="0" borderId="23" xfId="0" applyFont="1" applyBorder="1" applyAlignment="1">
      <alignment horizontal="center" vertical="center"/>
    </xf>
    <xf numFmtId="0" fontId="97" fillId="0" borderId="21" xfId="0" applyFont="1" applyBorder="1" applyAlignment="1">
      <alignment horizontal="center" vertical="center"/>
    </xf>
    <xf numFmtId="0" fontId="44" fillId="0" borderId="23" xfId="0" applyFont="1" applyBorder="1" applyAlignment="1">
      <alignment horizontal="center" vertical="center"/>
    </xf>
    <xf numFmtId="0" fontId="44" fillId="0" borderId="21" xfId="0" applyFont="1" applyBorder="1" applyAlignment="1">
      <alignment horizontal="center" vertical="center"/>
    </xf>
    <xf numFmtId="0" fontId="36" fillId="0" borderId="23" xfId="0" applyFont="1" applyBorder="1" applyAlignment="1">
      <alignment horizontal="center" vertical="center"/>
    </xf>
    <xf numFmtId="0" fontId="36" fillId="0" borderId="21" xfId="0" applyFont="1" applyBorder="1" applyAlignment="1">
      <alignment horizontal="center" vertical="center"/>
    </xf>
    <xf numFmtId="0" fontId="96" fillId="0" borderId="23" xfId="0" applyFont="1" applyBorder="1" applyAlignment="1">
      <alignment horizontal="center" vertical="center"/>
    </xf>
    <xf numFmtId="0" fontId="96" fillId="0" borderId="21" xfId="0" applyFont="1" applyBorder="1" applyAlignment="1">
      <alignment horizontal="center" vertical="center"/>
    </xf>
    <xf numFmtId="0" fontId="44" fillId="0" borderId="10" xfId="0" applyFont="1" applyBorder="1" applyAlignment="1">
      <alignment horizontal="center" vertical="center"/>
    </xf>
    <xf numFmtId="2" fontId="97" fillId="0" borderId="10" xfId="0" applyNumberFormat="1" applyFont="1" applyBorder="1" applyAlignment="1">
      <alignment horizontal="center" vertical="center"/>
    </xf>
    <xf numFmtId="2" fontId="97" fillId="0" borderId="19" xfId="0" applyNumberFormat="1" applyFont="1" applyBorder="1" applyAlignment="1">
      <alignment horizontal="center" vertical="center"/>
    </xf>
    <xf numFmtId="2" fontId="96" fillId="0" borderId="22" xfId="0" applyNumberFormat="1" applyFont="1" applyBorder="1" applyAlignment="1">
      <alignment horizontal="center" vertical="center"/>
    </xf>
    <xf numFmtId="2" fontId="96" fillId="0" borderId="10" xfId="0" applyNumberFormat="1" applyFont="1" applyBorder="1" applyAlignment="1">
      <alignment horizontal="center" vertical="center"/>
    </xf>
    <xf numFmtId="2" fontId="97" fillId="0" borderId="0" xfId="0" applyNumberFormat="1" applyFont="1" applyBorder="1" applyAlignment="1">
      <alignment horizontal="center" vertical="center"/>
    </xf>
    <xf numFmtId="0" fontId="44" fillId="0" borderId="0" xfId="0" applyFont="1" applyBorder="1" applyAlignment="1">
      <alignment horizontal="center" vertical="center"/>
    </xf>
    <xf numFmtId="2" fontId="96" fillId="0" borderId="0" xfId="0" applyNumberFormat="1" applyFont="1" applyBorder="1" applyAlignment="1">
      <alignment horizontal="center" vertical="center"/>
    </xf>
    <xf numFmtId="2" fontId="96" fillId="0" borderId="16" xfId="0" applyNumberFormat="1" applyFont="1" applyBorder="1" applyAlignment="1">
      <alignment horizontal="center" vertical="center"/>
    </xf>
    <xf numFmtId="0" fontId="42" fillId="0" borderId="10" xfId="0" applyFont="1" applyBorder="1" applyAlignment="1">
      <alignment horizontal="center"/>
    </xf>
    <xf numFmtId="0" fontId="76" fillId="0" borderId="10" xfId="0" applyFont="1" applyBorder="1" applyAlignment="1">
      <alignment horizontal="center" vertical="top"/>
    </xf>
    <xf numFmtId="0" fontId="90" fillId="0" borderId="0" xfId="0" applyFont="1" applyBorder="1" applyAlignment="1">
      <alignment horizontal="left" vertical="center"/>
    </xf>
    <xf numFmtId="0" fontId="9" fillId="0" borderId="0" xfId="0" applyFont="1" applyBorder="1" applyAlignment="1">
      <alignment horizontal="left" vertical="center"/>
    </xf>
    <xf numFmtId="0" fontId="47" fillId="0" borderId="0" xfId="0" applyFont="1" applyAlignment="1">
      <alignment horizontal="left" vertical="top" wrapText="1"/>
    </xf>
    <xf numFmtId="0" fontId="2" fillId="0" borderId="0" xfId="0" applyFont="1" applyBorder="1" applyAlignment="1">
      <alignment horizontal="center"/>
    </xf>
    <xf numFmtId="0" fontId="112" fillId="0" borderId="15" xfId="0" applyFont="1" applyBorder="1" applyAlignment="1">
      <alignment horizontal="left" vertical="top" wrapText="1"/>
    </xf>
    <xf numFmtId="0" fontId="110" fillId="0" borderId="15" xfId="0" applyFont="1" applyBorder="1" applyAlignment="1">
      <alignment horizontal="left" vertical="top" wrapText="1"/>
    </xf>
    <xf numFmtId="0" fontId="110" fillId="0" borderId="0" xfId="0" applyFont="1" applyAlignment="1">
      <alignment horizontal="left" vertical="top" wrapText="1"/>
    </xf>
    <xf numFmtId="0" fontId="76" fillId="0" borderId="10" xfId="0" applyFont="1" applyBorder="1" applyAlignment="1">
      <alignment horizontal="center" vertical="center" wrapText="1"/>
    </xf>
    <xf numFmtId="0" fontId="21" fillId="0" borderId="23"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19" xfId="0" applyFont="1" applyBorder="1" applyAlignment="1">
      <alignment horizontal="center" vertical="center"/>
    </xf>
    <xf numFmtId="0" fontId="19" fillId="0" borderId="20" xfId="0" applyFont="1" applyBorder="1" applyAlignment="1">
      <alignment horizontal="center" vertical="center" wrapText="1"/>
    </xf>
    <xf numFmtId="0" fontId="19" fillId="0" borderId="18" xfId="0" applyFont="1" applyBorder="1" applyAlignment="1">
      <alignment horizontal="center" vertical="center"/>
    </xf>
    <xf numFmtId="0" fontId="88" fillId="0" borderId="15" xfId="0" applyFont="1" applyFill="1" applyBorder="1" applyAlignment="1">
      <alignment horizontal="left" vertical="top" wrapText="1"/>
    </xf>
    <xf numFmtId="0" fontId="88" fillId="0" borderId="0" xfId="0" applyFont="1" applyFill="1" applyBorder="1" applyAlignment="1">
      <alignment horizontal="left" vertical="top" wrapText="1"/>
    </xf>
    <xf numFmtId="0" fontId="21" fillId="0" borderId="0" xfId="0" applyFont="1" applyBorder="1" applyAlignment="1">
      <alignment horizontal="center" vertical="center"/>
    </xf>
    <xf numFmtId="0" fontId="9" fillId="0" borderId="15" xfId="0" applyFont="1" applyBorder="1" applyAlignment="1">
      <alignment horizontal="left"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21" fillId="0" borderId="10" xfId="0" applyFont="1" applyBorder="1" applyAlignment="1">
      <alignment horizontal="center" vertical="center"/>
    </xf>
    <xf numFmtId="0" fontId="0" fillId="0" borderId="12" xfId="0" quotePrefix="1" applyBorder="1" applyAlignment="1">
      <alignment horizontal="center" vertical="center"/>
    </xf>
    <xf numFmtId="0" fontId="0" fillId="0" borderId="13" xfId="0" quotePrefix="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1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21" fillId="0" borderId="11"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19" xfId="0" applyFill="1" applyBorder="1" applyAlignment="1">
      <alignment horizontal="center" vertical="center"/>
    </xf>
    <xf numFmtId="0" fontId="17" fillId="0" borderId="12" xfId="0" quotePrefix="1" applyFont="1" applyBorder="1" applyAlignment="1">
      <alignment horizontal="center" vertical="center" wrapText="1"/>
    </xf>
    <xf numFmtId="0" fontId="17" fillId="0" borderId="13" xfId="0" applyFont="1" applyBorder="1" applyAlignment="1">
      <alignment horizontal="center" vertical="center" wrapText="1"/>
    </xf>
    <xf numFmtId="1" fontId="24" fillId="0" borderId="21" xfId="0" applyNumberFormat="1" applyFont="1" applyBorder="1" applyAlignment="1">
      <alignment horizontal="center" vertical="center" wrapText="1"/>
    </xf>
    <xf numFmtId="1" fontId="24" fillId="0" borderId="16" xfId="0" applyNumberFormat="1" applyFont="1" applyBorder="1" applyAlignment="1">
      <alignment horizontal="center" vertical="center" wrapText="1"/>
    </xf>
    <xf numFmtId="0" fontId="92" fillId="0" borderId="0" xfId="0" applyFont="1" applyAlignment="1">
      <alignment horizontal="left" vertical="top" wrapText="1"/>
    </xf>
    <xf numFmtId="0" fontId="9" fillId="0" borderId="0" xfId="0" applyFont="1" applyAlignment="1">
      <alignment horizontal="left" vertical="top" wrapText="1"/>
    </xf>
    <xf numFmtId="0" fontId="92" fillId="0" borderId="0" xfId="0" applyFont="1" applyBorder="1" applyAlignment="1" applyProtection="1">
      <alignment horizontal="left" vertical="top" wrapText="1"/>
      <protection locked="0"/>
    </xf>
    <xf numFmtId="0" fontId="9" fillId="0" borderId="0" xfId="0" applyFont="1" applyBorder="1" applyAlignment="1">
      <alignment vertical="top"/>
    </xf>
    <xf numFmtId="1" fontId="0" fillId="0" borderId="10" xfId="0" applyNumberFormat="1" applyBorder="1" applyAlignment="1">
      <alignment horizontal="center" vertical="center"/>
    </xf>
    <xf numFmtId="1" fontId="0" fillId="0" borderId="19" xfId="0" applyNumberFormat="1" applyBorder="1" applyAlignment="1">
      <alignment horizontal="center" vertical="center"/>
    </xf>
    <xf numFmtId="2" fontId="0" fillId="0" borderId="10" xfId="0" applyNumberFormat="1" applyBorder="1" applyAlignment="1">
      <alignment horizontal="center" vertical="center"/>
    </xf>
    <xf numFmtId="2" fontId="0" fillId="0" borderId="19" xfId="0" applyNumberFormat="1" applyBorder="1" applyAlignment="1">
      <alignment horizontal="center" vertical="center"/>
    </xf>
    <xf numFmtId="0" fontId="0" fillId="0" borderId="0" xfId="0" applyFill="1" applyBorder="1" applyAlignment="1">
      <alignment horizontal="center" vertical="center"/>
    </xf>
    <xf numFmtId="1" fontId="0" fillId="0" borderId="22" xfId="0" applyNumberFormat="1" applyFill="1" applyBorder="1" applyAlignment="1">
      <alignment horizontal="center" vertical="center"/>
    </xf>
    <xf numFmtId="1" fontId="0" fillId="0" borderId="10" xfId="0" applyNumberFormat="1" applyFill="1" applyBorder="1" applyAlignment="1">
      <alignment horizontal="center" vertical="center"/>
    </xf>
    <xf numFmtId="1" fontId="0" fillId="0" borderId="19" xfId="0" applyNumberFormat="1" applyFill="1" applyBorder="1" applyAlignment="1">
      <alignment horizontal="center" vertical="center"/>
    </xf>
    <xf numFmtId="0" fontId="24" fillId="0" borderId="12" xfId="0" applyFont="1" applyBorder="1" applyAlignment="1">
      <alignment horizontal="center" vertical="top" wrapText="1"/>
    </xf>
    <xf numFmtId="0" fontId="24" fillId="0" borderId="13" xfId="0" applyFont="1" applyBorder="1" applyAlignment="1">
      <alignment horizontal="center" vertical="top"/>
    </xf>
    <xf numFmtId="0" fontId="24" fillId="0" borderId="13" xfId="0" applyFont="1" applyBorder="1" applyAlignment="1">
      <alignment horizontal="center" vertical="top" wrapText="1"/>
    </xf>
    <xf numFmtId="2" fontId="0" fillId="0" borderId="23" xfId="0" applyNumberFormat="1" applyBorder="1" applyAlignment="1">
      <alignment horizontal="center" vertical="center"/>
    </xf>
    <xf numFmtId="2" fontId="0" fillId="0" borderId="21" xfId="0" applyNumberFormat="1" applyBorder="1" applyAlignment="1">
      <alignment horizontal="center" vertical="center"/>
    </xf>
    <xf numFmtId="2" fontId="0" fillId="0" borderId="11" xfId="0" applyNumberFormat="1" applyBorder="1" applyAlignment="1">
      <alignment horizontal="center" vertical="center"/>
    </xf>
    <xf numFmtId="2" fontId="0" fillId="0" borderId="16" xfId="0" applyNumberFormat="1"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28" fillId="0" borderId="2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9" xfId="0" applyFont="1" applyBorder="1" applyAlignment="1">
      <alignment horizontal="center" vertical="center" wrapText="1"/>
    </xf>
    <xf numFmtId="0" fontId="147" fillId="0" borderId="15" xfId="0" applyFont="1" applyBorder="1" applyAlignment="1">
      <alignment horizontal="left" vertical="top" wrapText="1"/>
    </xf>
    <xf numFmtId="0" fontId="147" fillId="0" borderId="0" xfId="0" applyFont="1" applyAlignment="1">
      <alignment horizontal="left" vertical="top" wrapText="1"/>
    </xf>
    <xf numFmtId="0" fontId="24" fillId="0" borderId="24" xfId="0" applyFont="1" applyBorder="1" applyAlignment="1">
      <alignment horizontal="center" vertical="top" wrapText="1"/>
    </xf>
    <xf numFmtId="0" fontId="24" fillId="0" borderId="23" xfId="0" applyFont="1" applyBorder="1" applyAlignment="1">
      <alignment horizontal="center" vertical="top" wrapText="1"/>
    </xf>
    <xf numFmtId="0" fontId="24" fillId="0" borderId="21" xfId="0" applyFont="1" applyBorder="1" applyAlignment="1">
      <alignment horizontal="center" vertical="top" wrapText="1"/>
    </xf>
    <xf numFmtId="2" fontId="0" fillId="0" borderId="0" xfId="0" applyNumberFormat="1" applyBorder="1" applyAlignment="1">
      <alignment horizontal="center" vertical="center"/>
    </xf>
    <xf numFmtId="0" fontId="15" fillId="0" borderId="23"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6" xfId="0" applyFont="1" applyBorder="1" applyAlignment="1">
      <alignment horizontal="center" vertical="center" shrinkToFit="1"/>
    </xf>
    <xf numFmtId="0" fontId="103" fillId="0" borderId="0" xfId="0" applyFont="1" applyAlignment="1">
      <alignment horizontal="center" vertical="center" wrapText="1"/>
    </xf>
    <xf numFmtId="0" fontId="13" fillId="0" borderId="16" xfId="0" applyFont="1" applyBorder="1" applyAlignment="1">
      <alignment horizontal="center" vertical="center" wrapText="1"/>
    </xf>
    <xf numFmtId="0" fontId="44" fillId="0" borderId="12" xfId="0" quotePrefix="1" applyFont="1" applyBorder="1" applyAlignment="1">
      <alignment horizontal="center" vertical="center"/>
    </xf>
    <xf numFmtId="0" fontId="44" fillId="0" borderId="13" xfId="0" quotePrefix="1" applyFont="1" applyBorder="1" applyAlignment="1">
      <alignment horizontal="center" vertical="center"/>
    </xf>
    <xf numFmtId="0" fontId="13" fillId="0" borderId="14" xfId="0" applyFont="1" applyBorder="1" applyAlignment="1">
      <alignment horizontal="center" vertical="center"/>
    </xf>
    <xf numFmtId="0" fontId="13" fillId="0" borderId="14" xfId="0" applyFont="1" applyBorder="1" applyAlignment="1">
      <alignment horizontal="center" vertical="center" wrapText="1"/>
    </xf>
    <xf numFmtId="0" fontId="82" fillId="0" borderId="15" xfId="0" applyFont="1" applyBorder="1" applyAlignment="1">
      <alignment horizontal="left" vertical="top" wrapText="1"/>
    </xf>
    <xf numFmtId="0" fontId="82" fillId="0" borderId="0" xfId="0" applyFont="1" applyBorder="1" applyAlignment="1">
      <alignment horizontal="left" vertical="top" wrapText="1"/>
    </xf>
    <xf numFmtId="0" fontId="15" fillId="0" borderId="22" xfId="0" applyFont="1" applyBorder="1" applyAlignment="1">
      <alignment horizontal="center" vertical="center" shrinkToFit="1"/>
    </xf>
    <xf numFmtId="0" fontId="15" fillId="0" borderId="19" xfId="0" applyFont="1" applyBorder="1" applyAlignment="1">
      <alignment horizontal="center" vertical="center" shrinkToFit="1"/>
    </xf>
    <xf numFmtId="0" fontId="42" fillId="0" borderId="0" xfId="0" applyFont="1" applyBorder="1" applyAlignment="1">
      <alignment horizontal="center" vertical="top"/>
    </xf>
    <xf numFmtId="0" fontId="22" fillId="0" borderId="0" xfId="0" applyFont="1" applyBorder="1" applyAlignment="1">
      <alignment horizontal="left" vertical="top" wrapText="1"/>
    </xf>
    <xf numFmtId="0" fontId="0" fillId="0" borderId="0" xfId="0"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21" fillId="0" borderId="0" xfId="0" applyFont="1" applyBorder="1" applyAlignment="1">
      <alignment horizontal="left" vertical="top"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vertical="center" wrapText="1"/>
    </xf>
    <xf numFmtId="0" fontId="0" fillId="0" borderId="0" xfId="0" applyAlignment="1">
      <alignment vertical="center"/>
    </xf>
    <xf numFmtId="0" fontId="0" fillId="0" borderId="16" xfId="0" applyBorder="1" applyAlignment="1">
      <alignment vertical="center"/>
    </xf>
    <xf numFmtId="0" fontId="3" fillId="0" borderId="22" xfId="0" applyFont="1" applyBorder="1" applyAlignment="1">
      <alignment horizontal="left" vertical="center" wrapText="1"/>
    </xf>
    <xf numFmtId="0" fontId="3" fillId="0" borderId="10" xfId="0" applyFont="1" applyBorder="1" applyAlignment="1">
      <alignment horizontal="left" vertical="center" wrapText="1"/>
    </xf>
    <xf numFmtId="0" fontId="18" fillId="0" borderId="0" xfId="0" applyFont="1" applyBorder="1" applyAlignment="1">
      <alignment horizontal="center" vertical="center"/>
    </xf>
    <xf numFmtId="0" fontId="84" fillId="0" borderId="0" xfId="0" applyFont="1" applyAlignment="1">
      <alignment horizontal="center" vertical="top" wrapText="1"/>
    </xf>
    <xf numFmtId="0" fontId="91" fillId="0" borderId="12" xfId="0" quotePrefix="1" applyFont="1" applyBorder="1" applyAlignment="1">
      <alignment horizontal="center" vertical="center"/>
    </xf>
    <xf numFmtId="0" fontId="91" fillId="0" borderId="13" xfId="0" quotePrefix="1" applyFont="1" applyBorder="1" applyAlignment="1">
      <alignment horizontal="center" vertical="center"/>
    </xf>
    <xf numFmtId="0" fontId="91" fillId="0" borderId="22" xfId="0" quotePrefix="1" applyFont="1" applyBorder="1" applyAlignment="1">
      <alignment horizontal="center" vertical="center"/>
    </xf>
    <xf numFmtId="0" fontId="91" fillId="0" borderId="19" xfId="0" quotePrefix="1" applyFont="1" applyBorder="1" applyAlignment="1">
      <alignment horizontal="center" vertical="center"/>
    </xf>
    <xf numFmtId="0" fontId="22" fillId="0" borderId="0" xfId="0" applyFont="1" applyBorder="1" applyAlignment="1">
      <alignment vertical="top" wrapText="1"/>
    </xf>
    <xf numFmtId="0" fontId="0" fillId="0" borderId="0" xfId="0" applyAlignment="1">
      <alignment vertical="top" wrapText="1"/>
    </xf>
    <xf numFmtId="0" fontId="22" fillId="0" borderId="15" xfId="0" applyFont="1" applyBorder="1" applyAlignment="1">
      <alignment vertical="top" wrapText="1"/>
    </xf>
    <xf numFmtId="0" fontId="0" fillId="0" borderId="15" xfId="0" applyBorder="1"/>
    <xf numFmtId="0" fontId="0" fillId="0" borderId="0" xfId="0"/>
    <xf numFmtId="0" fontId="44" fillId="0" borderId="24" xfId="0" applyFont="1" applyBorder="1" applyAlignment="1">
      <alignment horizontal="center" vertical="center"/>
    </xf>
    <xf numFmtId="0" fontId="44" fillId="0" borderId="13" xfId="0" applyFont="1" applyBorder="1" applyAlignment="1">
      <alignment horizontal="center" vertical="center"/>
    </xf>
    <xf numFmtId="0" fontId="91" fillId="0" borderId="12" xfId="0" quotePrefix="1" applyFont="1" applyBorder="1" applyAlignment="1">
      <alignment horizontal="center" vertical="center" wrapText="1"/>
    </xf>
    <xf numFmtId="0" fontId="91" fillId="0" borderId="13" xfId="0" quotePrefix="1" applyFont="1" applyBorder="1" applyAlignment="1">
      <alignment horizontal="center" vertical="center" wrapText="1"/>
    </xf>
    <xf numFmtId="2" fontId="0" fillId="0" borderId="0" xfId="0" applyNumberFormat="1" applyFill="1" applyBorder="1" applyAlignment="1">
      <alignment horizontal="center" vertical="center"/>
    </xf>
    <xf numFmtId="2" fontId="0" fillId="0" borderId="16" xfId="0" applyNumberFormat="1" applyFill="1" applyBorder="1" applyAlignment="1">
      <alignment horizontal="center" vertical="center"/>
    </xf>
    <xf numFmtId="0" fontId="44" fillId="0" borderId="17" xfId="0" applyFont="1" applyBorder="1" applyAlignment="1">
      <alignment horizontal="center" vertical="center" wrapText="1"/>
    </xf>
    <xf numFmtId="0" fontId="91" fillId="0" borderId="24" xfId="0" quotePrefix="1" applyFont="1" applyBorder="1" applyAlignment="1">
      <alignment horizontal="center" vertical="center" wrapText="1"/>
    </xf>
    <xf numFmtId="0" fontId="44" fillId="0" borderId="12" xfId="0" applyFont="1" applyBorder="1" applyAlignment="1">
      <alignment horizontal="center" vertical="center"/>
    </xf>
    <xf numFmtId="0" fontId="84" fillId="0" borderId="10" xfId="0" applyFont="1" applyBorder="1" applyAlignment="1">
      <alignment horizontal="center" wrapText="1"/>
    </xf>
    <xf numFmtId="0" fontId="18" fillId="0" borderId="0" xfId="0" applyFont="1" applyBorder="1" applyAlignment="1">
      <alignment horizontal="center"/>
    </xf>
    <xf numFmtId="0" fontId="84" fillId="0" borderId="10" xfId="0" applyFont="1" applyBorder="1" applyAlignment="1">
      <alignment horizontal="center" vertical="center"/>
    </xf>
    <xf numFmtId="0" fontId="19" fillId="0" borderId="24" xfId="0" applyFont="1" applyBorder="1" applyAlignment="1">
      <alignment horizontal="center" vertical="center"/>
    </xf>
    <xf numFmtId="0" fontId="44" fillId="0" borderId="15"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9" xfId="0" applyFont="1" applyBorder="1" applyAlignment="1">
      <alignment horizontal="center" vertical="center" wrapText="1"/>
    </xf>
    <xf numFmtId="0" fontId="84" fillId="0" borderId="0" xfId="0" applyFont="1" applyAlignment="1">
      <alignment horizontal="center"/>
    </xf>
    <xf numFmtId="0" fontId="90" fillId="0" borderId="15" xfId="0" applyFont="1" applyBorder="1" applyAlignment="1">
      <alignment horizontal="left" vertical="top" wrapText="1"/>
    </xf>
    <xf numFmtId="0" fontId="35" fillId="0" borderId="20" xfId="0" applyFont="1" applyBorder="1" applyAlignment="1">
      <alignment horizontal="center" vertical="center" wrapText="1"/>
    </xf>
    <xf numFmtId="0" fontId="35" fillId="0" borderId="18" xfId="0" applyFont="1" applyBorder="1" applyAlignment="1">
      <alignment horizontal="center" vertical="center" wrapText="1"/>
    </xf>
    <xf numFmtId="167" fontId="0" fillId="0" borderId="11" xfId="0" applyNumberFormat="1" applyBorder="1" applyAlignment="1" applyProtection="1">
      <alignment horizontal="center" vertical="center"/>
      <protection locked="0"/>
    </xf>
    <xf numFmtId="167" fontId="0" fillId="0" borderId="0" xfId="0" applyNumberFormat="1" applyBorder="1" applyAlignment="1" applyProtection="1">
      <alignment horizontal="center" vertical="center"/>
      <protection locked="0"/>
    </xf>
    <xf numFmtId="167" fontId="0" fillId="0" borderId="16" xfId="0" applyNumberFormat="1" applyBorder="1" applyAlignment="1" applyProtection="1">
      <alignment horizontal="center" vertical="center"/>
      <protection locked="0"/>
    </xf>
    <xf numFmtId="167" fontId="3" fillId="0" borderId="11" xfId="0" applyNumberFormat="1"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7" fontId="3" fillId="0" borderId="16" xfId="0" applyNumberFormat="1" applyFont="1" applyBorder="1" applyAlignment="1" applyProtection="1">
      <alignment horizontal="center" vertical="center"/>
      <protection locked="0"/>
    </xf>
    <xf numFmtId="167" fontId="3" fillId="0" borderId="23" xfId="0" applyNumberFormat="1" applyFont="1" applyBorder="1" applyAlignment="1" applyProtection="1">
      <alignment horizontal="center" vertical="center"/>
      <protection locked="0"/>
    </xf>
    <xf numFmtId="167" fontId="3" fillId="0" borderId="15" xfId="0" applyNumberFormat="1" applyFont="1" applyBorder="1" applyAlignment="1" applyProtection="1">
      <alignment horizontal="center" vertical="center"/>
      <protection locked="0"/>
    </xf>
    <xf numFmtId="167" fontId="3" fillId="0" borderId="21" xfId="0" applyNumberFormat="1" applyFont="1" applyBorder="1" applyAlignment="1" applyProtection="1">
      <alignment horizontal="center" vertical="center"/>
      <protection locked="0"/>
    </xf>
    <xf numFmtId="0" fontId="41" fillId="0" borderId="23" xfId="0" applyFont="1" applyBorder="1" applyAlignment="1">
      <alignment horizontal="center" vertical="center"/>
    </xf>
    <xf numFmtId="0" fontId="41" fillId="0" borderId="15" xfId="0" applyFont="1" applyBorder="1" applyAlignment="1">
      <alignment horizontal="center" vertical="center"/>
    </xf>
    <xf numFmtId="0" fontId="41" fillId="0" borderId="21" xfId="0" applyFont="1" applyBorder="1" applyAlignment="1">
      <alignment horizontal="center" vertical="center"/>
    </xf>
    <xf numFmtId="0" fontId="41" fillId="0" borderId="12" xfId="0" quotePrefix="1" applyFont="1" applyBorder="1" applyAlignment="1">
      <alignment horizontal="center" vertical="center"/>
    </xf>
    <xf numFmtId="0" fontId="41" fillId="0" borderId="24" xfId="0" quotePrefix="1" applyFont="1" applyBorder="1" applyAlignment="1">
      <alignment horizontal="center" vertical="center"/>
    </xf>
    <xf numFmtId="0" fontId="41" fillId="0" borderId="13" xfId="0" quotePrefix="1" applyFont="1" applyBorder="1" applyAlignment="1">
      <alignment horizontal="center" vertical="center"/>
    </xf>
    <xf numFmtId="167" fontId="3" fillId="0" borderId="22" xfId="0" applyNumberFormat="1" applyFont="1" applyBorder="1" applyAlignment="1" applyProtection="1">
      <alignment horizontal="center" vertical="center"/>
      <protection locked="0"/>
    </xf>
    <xf numFmtId="167" fontId="3" fillId="0" borderId="10" xfId="0" applyNumberFormat="1" applyFont="1" applyBorder="1" applyAlignment="1" applyProtection="1">
      <alignment horizontal="center" vertical="center"/>
      <protection locked="0"/>
    </xf>
    <xf numFmtId="167" fontId="3" fillId="0" borderId="19" xfId="0" applyNumberFormat="1" applyFont="1" applyBorder="1" applyAlignment="1" applyProtection="1">
      <alignment horizontal="center" vertical="center"/>
      <protection locked="0"/>
    </xf>
    <xf numFmtId="167" fontId="0" fillId="0" borderId="22" xfId="0" applyNumberFormat="1" applyBorder="1" applyAlignment="1" applyProtection="1">
      <alignment horizontal="center" vertical="center"/>
      <protection locked="0"/>
    </xf>
    <xf numFmtId="167" fontId="0" fillId="0" borderId="10" xfId="0" applyNumberFormat="1" applyBorder="1" applyAlignment="1" applyProtection="1">
      <alignment horizontal="center" vertical="center"/>
      <protection locked="0"/>
    </xf>
    <xf numFmtId="167" fontId="0" fillId="0" borderId="19" xfId="0" applyNumberFormat="1" applyBorder="1" applyAlignment="1" applyProtection="1">
      <alignment horizontal="center" vertical="center"/>
      <protection locked="0"/>
    </xf>
    <xf numFmtId="0" fontId="15" fillId="0" borderId="10" xfId="0" applyFont="1" applyBorder="1" applyAlignment="1">
      <alignment horizontal="right"/>
    </xf>
    <xf numFmtId="0" fontId="132" fillId="0" borderId="0" xfId="0" applyFont="1" applyAlignment="1">
      <alignment horizontal="center" vertical="center" wrapText="1"/>
    </xf>
    <xf numFmtId="0" fontId="47" fillId="0" borderId="0" xfId="0" applyFont="1" applyAlignment="1">
      <alignment vertical="top" wrapText="1"/>
    </xf>
    <xf numFmtId="0" fontId="0" fillId="0" borderId="11" xfId="0" quotePrefix="1" applyBorder="1" applyAlignment="1">
      <alignment horizontal="center" vertical="center"/>
    </xf>
    <xf numFmtId="0" fontId="0" fillId="0" borderId="16" xfId="0" quotePrefix="1" applyBorder="1" applyAlignment="1">
      <alignment horizontal="center" vertical="center"/>
    </xf>
    <xf numFmtId="0" fontId="0" fillId="0" borderId="23" xfId="0" quotePrefix="1" applyBorder="1" applyAlignment="1">
      <alignment horizontal="center" vertical="center"/>
    </xf>
    <xf numFmtId="0" fontId="0" fillId="0" borderId="21" xfId="0" quotePrefix="1" applyBorder="1" applyAlignment="1">
      <alignment horizontal="center" vertical="center"/>
    </xf>
    <xf numFmtId="0" fontId="0" fillId="0" borderId="10" xfId="0" applyBorder="1" applyAlignment="1">
      <alignment horizontal="center"/>
    </xf>
    <xf numFmtId="0" fontId="19" fillId="0" borderId="10" xfId="0" applyFont="1" applyBorder="1" applyAlignment="1">
      <alignment horizontal="right"/>
    </xf>
    <xf numFmtId="0" fontId="36" fillId="0" borderId="10" xfId="0" applyFont="1" applyBorder="1" applyAlignment="1">
      <alignment horizontal="center" vertical="center"/>
    </xf>
    <xf numFmtId="0" fontId="36" fillId="0" borderId="0" xfId="0" applyFont="1" applyBorder="1" applyAlignment="1">
      <alignment horizontal="center" vertical="center"/>
    </xf>
    <xf numFmtId="2" fontId="3" fillId="0" borderId="22" xfId="0" applyNumberFormat="1" applyFont="1" applyBorder="1" applyAlignment="1">
      <alignment horizontal="center" vertical="center"/>
    </xf>
    <xf numFmtId="2" fontId="3" fillId="0" borderId="19"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0" fillId="0" borderId="22" xfId="0" applyNumberFormat="1" applyBorder="1" applyAlignment="1">
      <alignment horizontal="center" vertical="center"/>
    </xf>
    <xf numFmtId="0" fontId="0" fillId="0" borderId="13" xfId="0" applyBorder="1" applyAlignment="1">
      <alignment vertical="center"/>
    </xf>
    <xf numFmtId="1" fontId="3" fillId="0" borderId="11" xfId="0" applyNumberFormat="1" applyFont="1" applyBorder="1" applyAlignment="1">
      <alignment horizontal="center" vertical="center"/>
    </xf>
    <xf numFmtId="1" fontId="3" fillId="0" borderId="16"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16" xfId="0" applyNumberFormat="1" applyFont="1" applyBorder="1" applyAlignment="1">
      <alignment horizontal="center" vertical="center"/>
    </xf>
    <xf numFmtId="2" fontId="3" fillId="0" borderId="0" xfId="0" applyNumberFormat="1" applyFont="1" applyBorder="1" applyAlignment="1">
      <alignment horizontal="center" vertical="center"/>
    </xf>
    <xf numFmtId="0" fontId="19" fillId="0" borderId="10" xfId="0" applyFont="1" applyBorder="1" applyAlignment="1">
      <alignment horizontal="right" vertical="top" wrapText="1"/>
    </xf>
    <xf numFmtId="0" fontId="58" fillId="0" borderId="15" xfId="0" applyFont="1" applyFill="1" applyBorder="1" applyAlignment="1">
      <alignment horizontal="left" vertical="center" wrapText="1"/>
    </xf>
    <xf numFmtId="0" fontId="58" fillId="0" borderId="0" xfId="0" applyFont="1" applyFill="1" applyBorder="1" applyAlignment="1">
      <alignment horizontal="left" vertical="center" wrapText="1"/>
    </xf>
    <xf numFmtId="1" fontId="3" fillId="0" borderId="23" xfId="0" applyNumberFormat="1" applyFont="1" applyBorder="1" applyAlignment="1">
      <alignment horizontal="center" vertical="center"/>
    </xf>
    <xf numFmtId="1" fontId="3" fillId="0" borderId="21" xfId="0" applyNumberFormat="1" applyFont="1" applyBorder="1" applyAlignment="1">
      <alignment horizontal="center" vertical="center"/>
    </xf>
    <xf numFmtId="2" fontId="0" fillId="0" borderId="22" xfId="0" quotePrefix="1" applyNumberFormat="1" applyBorder="1" applyAlignment="1">
      <alignment horizontal="center" vertical="center"/>
    </xf>
    <xf numFmtId="2" fontId="0" fillId="0" borderId="10" xfId="0" quotePrefix="1" applyNumberFormat="1" applyBorder="1" applyAlignment="1">
      <alignment horizontal="center" vertical="center"/>
    </xf>
    <xf numFmtId="0" fontId="24" fillId="0" borderId="12"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40" fillId="0" borderId="12" xfId="0" applyFont="1" applyBorder="1" applyAlignment="1" applyProtection="1">
      <alignment horizontal="center" vertical="center"/>
      <protection locked="0"/>
    </xf>
    <xf numFmtId="0" fontId="40" fillId="0" borderId="24"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2" fontId="0" fillId="0" borderId="23" xfId="0" applyNumberFormat="1" applyFill="1" applyBorder="1" applyAlignment="1">
      <alignment horizontal="center" vertical="center"/>
    </xf>
    <xf numFmtId="2" fontId="0" fillId="0" borderId="15"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0" fillId="0" borderId="19" xfId="0" quotePrefix="1" applyNumberFormat="1" applyBorder="1" applyAlignment="1">
      <alignment horizontal="center" vertical="center"/>
    </xf>
    <xf numFmtId="2" fontId="0" fillId="0" borderId="15" xfId="0" applyNumberFormat="1" applyBorder="1" applyAlignment="1">
      <alignment horizontal="center" vertical="center"/>
    </xf>
    <xf numFmtId="0" fontId="21" fillId="0" borderId="16"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7" fillId="0" borderId="12" xfId="0" quotePrefix="1" applyFont="1" applyFill="1" applyBorder="1" applyAlignment="1">
      <alignment horizontal="center" vertical="center"/>
    </xf>
    <xf numFmtId="0" fontId="17" fillId="0" borderId="13" xfId="0" quotePrefix="1" applyFont="1" applyFill="1" applyBorder="1" applyAlignment="1">
      <alignment horizontal="center" vertical="center"/>
    </xf>
    <xf numFmtId="0" fontId="3"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 fontId="3" fillId="0" borderId="17" xfId="0" applyNumberFormat="1" applyFont="1" applyBorder="1" applyAlignment="1">
      <alignment horizontal="center" vertical="center"/>
    </xf>
    <xf numFmtId="0" fontId="24" fillId="0" borderId="19" xfId="0" applyFont="1" applyBorder="1" applyAlignment="1">
      <alignment horizontal="center" vertical="top" wrapText="1"/>
    </xf>
    <xf numFmtId="0" fontId="24" fillId="0" borderId="22" xfId="0" applyFont="1" applyBorder="1" applyAlignment="1">
      <alignment horizontal="center" vertical="top" wrapText="1"/>
    </xf>
    <xf numFmtId="0" fontId="24" fillId="0" borderId="20" xfId="0" applyFont="1" applyBorder="1" applyAlignment="1">
      <alignment horizontal="center" vertical="top" wrapText="1"/>
    </xf>
    <xf numFmtId="0" fontId="24" fillId="0" borderId="18" xfId="0" applyFont="1" applyBorder="1" applyAlignment="1">
      <alignment horizontal="center" vertical="top" wrapText="1"/>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24" fillId="0" borderId="18" xfId="0" applyFont="1" applyBorder="1" applyAlignment="1">
      <alignment horizontal="center" vertical="top"/>
    </xf>
    <xf numFmtId="0" fontId="15" fillId="0" borderId="20" xfId="0" applyFont="1" applyBorder="1" applyAlignment="1">
      <alignment horizontal="center" vertical="center" wrapText="1"/>
    </xf>
    <xf numFmtId="0" fontId="15" fillId="0" borderId="18" xfId="0" applyFont="1" applyBorder="1" applyAlignment="1">
      <alignment horizontal="center" vertical="center" wrapText="1"/>
    </xf>
    <xf numFmtId="0" fontId="20" fillId="0" borderId="14" xfId="0" applyFont="1" applyBorder="1" applyAlignment="1">
      <alignment horizontal="center" vertical="center"/>
    </xf>
    <xf numFmtId="0" fontId="19" fillId="0" borderId="0" xfId="0" applyFont="1" applyBorder="1" applyAlignment="1">
      <alignment horizontal="right"/>
    </xf>
    <xf numFmtId="0" fontId="21" fillId="0" borderId="20" xfId="0" applyFont="1" applyBorder="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0" fillId="0" borderId="24" xfId="0" applyFont="1" applyBorder="1" applyAlignment="1">
      <alignment horizontal="center" vertical="center"/>
    </xf>
    <xf numFmtId="0" fontId="20" fillId="0" borderId="13" xfId="0" applyFont="1" applyBorder="1" applyAlignment="1">
      <alignment horizontal="center" vertical="center"/>
    </xf>
    <xf numFmtId="0" fontId="20" fillId="0" borderId="12" xfId="0" applyFont="1" applyBorder="1" applyAlignment="1">
      <alignment horizontal="center" vertical="center"/>
    </xf>
    <xf numFmtId="0" fontId="21" fillId="0" borderId="18" xfId="0" applyFont="1" applyBorder="1" applyAlignment="1">
      <alignment horizontal="left" vertical="center" wrapText="1"/>
    </xf>
    <xf numFmtId="0" fontId="21" fillId="0" borderId="18" xfId="0" applyFont="1" applyBorder="1" applyAlignment="1">
      <alignment horizontal="left" vertical="center"/>
    </xf>
    <xf numFmtId="0" fontId="21" fillId="0" borderId="17" xfId="0" applyFont="1" applyBorder="1" applyAlignment="1" applyProtection="1">
      <alignment horizontal="left" vertical="center" wrapText="1"/>
      <protection locked="0"/>
    </xf>
    <xf numFmtId="0" fontId="70" fillId="0" borderId="12" xfId="0" applyFont="1" applyBorder="1" applyAlignment="1">
      <alignment horizontal="center" vertical="center"/>
    </xf>
    <xf numFmtId="0" fontId="70" fillId="0" borderId="24" xfId="0" applyFont="1" applyBorder="1" applyAlignment="1">
      <alignment horizontal="center" vertical="center"/>
    </xf>
    <xf numFmtId="0" fontId="70" fillId="0" borderId="13" xfId="0" applyFont="1" applyBorder="1" applyAlignment="1">
      <alignment horizontal="center" vertical="center"/>
    </xf>
    <xf numFmtId="0" fontId="47" fillId="0" borderId="0" xfId="0" applyFont="1" applyAlignment="1">
      <alignment horizontal="center"/>
    </xf>
    <xf numFmtId="0" fontId="103" fillId="0" borderId="10" xfId="0" applyFont="1" applyBorder="1" applyAlignment="1">
      <alignment horizontal="center" vertical="center" wrapText="1"/>
    </xf>
    <xf numFmtId="0" fontId="0" fillId="0" borderId="18" xfId="0" applyBorder="1"/>
    <xf numFmtId="0" fontId="76" fillId="0" borderId="10" xfId="0" applyFont="1" applyBorder="1" applyAlignment="1">
      <alignment horizontal="center" vertical="center"/>
    </xf>
    <xf numFmtId="0" fontId="86" fillId="0" borderId="0" xfId="0" applyFont="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Sheet1" xfId="38"/>
    <cellStyle name="Normal_Sheet2"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1.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66675</xdr:rowOff>
    </xdr:from>
    <xdr:to>
      <xdr:col>9</xdr:col>
      <xdr:colOff>552450</xdr:colOff>
      <xdr:row>32</xdr:row>
      <xdr:rowOff>85725</xdr:rowOff>
    </xdr:to>
    <xdr:sp macro="" textlink="">
      <xdr:nvSpPr>
        <xdr:cNvPr id="1027" name="WordArt 3"/>
        <xdr:cNvSpPr>
          <a:spLocks noChangeArrowheads="1" noChangeShapeType="1"/>
        </xdr:cNvSpPr>
      </xdr:nvSpPr>
      <xdr:spPr bwMode="auto">
        <a:xfrm>
          <a:off x="0" y="381000"/>
          <a:ext cx="6038850" cy="4229100"/>
        </a:xfrm>
        <a:prstGeom prst="rect">
          <a:avLst/>
        </a:prstGeom>
      </xdr:spPr>
      <xdr:txBody>
        <a:bodyPr wrap="none" fromWordArt="1">
          <a:prstTxWarp prst="textArchUp">
            <a:avLst>
              <a:gd name="adj" fmla="val 12257413"/>
            </a:avLst>
          </a:prstTxWarp>
        </a:bodyPr>
        <a:lstStyle/>
        <a:p>
          <a:pPr algn="ctr" rtl="0"/>
          <a:r>
            <a:rPr lang="en-US" sz="3600" kern="10" spc="0">
              <a:ln w="9525">
                <a:solidFill>
                  <a:srgbClr val="993366"/>
                </a:solidFill>
                <a:round/>
                <a:headEnd/>
                <a:tailEnd/>
              </a:ln>
              <a:solidFill>
                <a:srgbClr val="993366"/>
              </a:solidFill>
              <a:effectLst/>
              <a:latin typeface="Arial"/>
              <a:cs typeface="Arial"/>
            </a:rPr>
            <a:t>District Statistical Handbook</a:t>
          </a:r>
        </a:p>
      </xdr:txBody>
    </xdr:sp>
    <xdr:clientData/>
  </xdr:twoCellAnchor>
  <xdr:twoCellAnchor>
    <xdr:from>
      <xdr:col>2</xdr:col>
      <xdr:colOff>400050</xdr:colOff>
      <xdr:row>10</xdr:row>
      <xdr:rowOff>38100</xdr:rowOff>
    </xdr:from>
    <xdr:to>
      <xdr:col>7</xdr:col>
      <xdr:colOff>419100</xdr:colOff>
      <xdr:row>13</xdr:row>
      <xdr:rowOff>38100</xdr:rowOff>
    </xdr:to>
    <xdr:sp macro="" textlink="">
      <xdr:nvSpPr>
        <xdr:cNvPr id="1033" name="WordArt 9"/>
        <xdr:cNvSpPr>
          <a:spLocks noChangeArrowheads="1" noChangeShapeType="1" noTextEdit="1"/>
        </xdr:cNvSpPr>
      </xdr:nvSpPr>
      <xdr:spPr bwMode="auto">
        <a:xfrm>
          <a:off x="1619250" y="1133475"/>
          <a:ext cx="3067050" cy="485775"/>
        </a:xfrm>
        <a:prstGeom prst="rect">
          <a:avLst/>
        </a:prstGeom>
      </xdr:spPr>
      <xdr:txBody>
        <a:bodyPr wrap="none" fromWordArt="1">
          <a:prstTxWarp prst="textPlain">
            <a:avLst>
              <a:gd name="adj" fmla="val 50000"/>
            </a:avLst>
          </a:prstTxWarp>
        </a:bodyPr>
        <a:lstStyle/>
        <a:p>
          <a:pPr algn="ctr" rtl="0"/>
          <a:r>
            <a:rPr lang="en-US" sz="2800" kern="10" spc="0">
              <a:ln w="9525">
                <a:noFill/>
                <a:round/>
                <a:headEnd/>
                <a:tailEnd/>
              </a:ln>
              <a:solidFill>
                <a:srgbClr val="008000"/>
              </a:solidFill>
              <a:effectLst>
                <a:outerShdw dist="45791" dir="2021404" algn="ctr" rotWithShape="0">
                  <a:srgbClr val="C0C0C0"/>
                </a:outerShdw>
              </a:effectLst>
              <a:latin typeface="Times New Roman"/>
              <a:cs typeface="Times New Roman"/>
            </a:rPr>
            <a:t>MALDA</a:t>
          </a:r>
        </a:p>
      </xdr:txBody>
    </xdr:sp>
    <xdr:clientData/>
  </xdr:twoCellAnchor>
  <xdr:twoCellAnchor editAs="oneCell">
    <xdr:from>
      <xdr:col>0</xdr:col>
      <xdr:colOff>19050</xdr:colOff>
      <xdr:row>19</xdr:row>
      <xdr:rowOff>66675</xdr:rowOff>
    </xdr:from>
    <xdr:to>
      <xdr:col>9</xdr:col>
      <xdr:colOff>590550</xdr:colOff>
      <xdr:row>53</xdr:row>
      <xdr:rowOff>85725</xdr:rowOff>
    </xdr:to>
    <xdr:pic>
      <xdr:nvPicPr>
        <xdr:cNvPr id="69632" name="Picture 10" descr="maldah"/>
        <xdr:cNvPicPr>
          <a:picLocks noChangeAspect="1" noChangeArrowheads="1"/>
        </xdr:cNvPicPr>
      </xdr:nvPicPr>
      <xdr:blipFill>
        <a:blip xmlns:r="http://schemas.openxmlformats.org/officeDocument/2006/relationships" r:embed="rId1"/>
        <a:srcRect/>
        <a:stretch>
          <a:fillRect/>
        </a:stretch>
      </xdr:blipFill>
      <xdr:spPr bwMode="auto">
        <a:xfrm>
          <a:off x="19050" y="3143250"/>
          <a:ext cx="6057900" cy="5715000"/>
        </a:xfrm>
        <a:prstGeom prst="rect">
          <a:avLst/>
        </a:prstGeom>
        <a:noFill/>
        <a:ln w="9525">
          <a:noFill/>
          <a:miter lim="800000"/>
          <a:headEnd/>
          <a:tailEnd/>
        </a:ln>
      </xdr:spPr>
    </xdr:pic>
    <xdr:clientData/>
  </xdr:twoCellAnchor>
  <xdr:twoCellAnchor>
    <xdr:from>
      <xdr:col>3</xdr:col>
      <xdr:colOff>219075</xdr:colOff>
      <xdr:row>15</xdr:row>
      <xdr:rowOff>38100</xdr:rowOff>
    </xdr:from>
    <xdr:to>
      <xdr:col>6</xdr:col>
      <xdr:colOff>476250</xdr:colOff>
      <xdr:row>17</xdr:row>
      <xdr:rowOff>9525</xdr:rowOff>
    </xdr:to>
    <xdr:sp macro="" textlink="">
      <xdr:nvSpPr>
        <xdr:cNvPr id="6147" name="WordArt 3" descr="White marble"/>
        <xdr:cNvSpPr>
          <a:spLocks noChangeArrowheads="1" noChangeShapeType="1" noTextEdit="1"/>
        </xdr:cNvSpPr>
      </xdr:nvSpPr>
      <xdr:spPr bwMode="auto">
        <a:xfrm>
          <a:off x="2286000" y="2524125"/>
          <a:ext cx="2085975" cy="295275"/>
        </a:xfrm>
        <a:prstGeom prst="rect">
          <a:avLst/>
        </a:prstGeom>
      </xdr:spPr>
      <xdr:txBody>
        <a:bodyPr wrap="none" fromWordArt="1">
          <a:prstTxWarp prst="textPlain">
            <a:avLst>
              <a:gd name="adj" fmla="val 50000"/>
            </a:avLst>
          </a:prstTxWarp>
          <a:scene3d>
            <a:camera prst="legacyObliqueRight"/>
            <a:lightRig rig="legacyHarsh3" dir="t"/>
          </a:scene3d>
          <a:sp3d extrusionH="100000" prstMaterial="legacyMatte">
            <a:extrusionClr>
              <a:srgbClr val="663300"/>
            </a:extrusionClr>
          </a:sp3d>
        </a:bodyPr>
        <a:lstStyle/>
        <a:p>
          <a:pPr algn="ctr" rtl="0"/>
          <a:r>
            <a:rPr lang="en-IN" sz="2800" kern="10" spc="0">
              <a:ln w="9525">
                <a:round/>
                <a:headEnd/>
                <a:tailEnd/>
              </a:ln>
              <a:blipFill dpi="0" rotWithShape="0">
                <a:blip xmlns:r="http://schemas.openxmlformats.org/officeDocument/2006/relationships" r:embed="rId2"/>
                <a:srcRect/>
                <a:tile tx="0" ty="0" sx="100000" sy="100000" flip="none" algn="tl"/>
              </a:blipFill>
              <a:effectLst/>
              <a:latin typeface="Garamond"/>
            </a:rPr>
            <a:t>2014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876300</xdr:colOff>
      <xdr:row>18</xdr:row>
      <xdr:rowOff>47625</xdr:rowOff>
    </xdr:from>
    <xdr:to>
      <xdr:col>1</xdr:col>
      <xdr:colOff>914400</xdr:colOff>
      <xdr:row>19</xdr:row>
      <xdr:rowOff>219075</xdr:rowOff>
    </xdr:to>
    <xdr:sp macro="" textlink="">
      <xdr:nvSpPr>
        <xdr:cNvPr id="62941" name="AutoShape 4"/>
        <xdr:cNvSpPr>
          <a:spLocks/>
        </xdr:cNvSpPr>
      </xdr:nvSpPr>
      <xdr:spPr bwMode="auto">
        <a:xfrm>
          <a:off x="1695450" y="4171950"/>
          <a:ext cx="38100" cy="419100"/>
        </a:xfrm>
        <a:prstGeom prst="leftBrace">
          <a:avLst>
            <a:gd name="adj1" fmla="val 91667"/>
            <a:gd name="adj2" fmla="val 50000"/>
          </a:avLst>
        </a:prstGeom>
        <a:noFill/>
        <a:ln w="9525">
          <a:solidFill>
            <a:srgbClr val="000000"/>
          </a:solidFill>
          <a:round/>
          <a:headEnd/>
          <a:tailEnd/>
        </a:ln>
      </xdr:spPr>
    </xdr:sp>
    <xdr:clientData/>
  </xdr:twoCellAnchor>
  <xdr:twoCellAnchor>
    <xdr:from>
      <xdr:col>1</xdr:col>
      <xdr:colOff>847725</xdr:colOff>
      <xdr:row>10</xdr:row>
      <xdr:rowOff>9525</xdr:rowOff>
    </xdr:from>
    <xdr:to>
      <xdr:col>1</xdr:col>
      <xdr:colOff>904875</xdr:colOff>
      <xdr:row>12</xdr:row>
      <xdr:rowOff>0</xdr:rowOff>
    </xdr:to>
    <xdr:sp macro="" textlink="">
      <xdr:nvSpPr>
        <xdr:cNvPr id="62942" name="AutoShape 6"/>
        <xdr:cNvSpPr>
          <a:spLocks/>
        </xdr:cNvSpPr>
      </xdr:nvSpPr>
      <xdr:spPr bwMode="auto">
        <a:xfrm>
          <a:off x="1666875" y="2152650"/>
          <a:ext cx="57150" cy="485775"/>
        </a:xfrm>
        <a:prstGeom prst="leftBrace">
          <a:avLst>
            <a:gd name="adj1" fmla="val 70833"/>
            <a:gd name="adj2" fmla="val 50000"/>
          </a:avLst>
        </a:prstGeom>
        <a:noFill/>
        <a:ln w="9525">
          <a:solidFill>
            <a:srgbClr val="000000"/>
          </a:solidFill>
          <a:round/>
          <a:headEnd/>
          <a:tailEnd/>
        </a:ln>
      </xdr:spPr>
    </xdr:sp>
    <xdr:clientData/>
  </xdr:twoCellAnchor>
  <xdr:twoCellAnchor>
    <xdr:from>
      <xdr:col>1</xdr:col>
      <xdr:colOff>885825</xdr:colOff>
      <xdr:row>8</xdr:row>
      <xdr:rowOff>28575</xdr:rowOff>
    </xdr:from>
    <xdr:to>
      <xdr:col>2</xdr:col>
      <xdr:colOff>19050</xdr:colOff>
      <xdr:row>9</xdr:row>
      <xdr:rowOff>209550</xdr:rowOff>
    </xdr:to>
    <xdr:sp macro="" textlink="">
      <xdr:nvSpPr>
        <xdr:cNvPr id="62943" name="AutoShape 7"/>
        <xdr:cNvSpPr>
          <a:spLocks/>
        </xdr:cNvSpPr>
      </xdr:nvSpPr>
      <xdr:spPr bwMode="auto">
        <a:xfrm>
          <a:off x="1704975" y="1676400"/>
          <a:ext cx="76200" cy="428625"/>
        </a:xfrm>
        <a:prstGeom prst="leftBrace">
          <a:avLst>
            <a:gd name="adj1" fmla="val 46875"/>
            <a:gd name="adj2" fmla="val 50000"/>
          </a:avLst>
        </a:prstGeom>
        <a:noFill/>
        <a:ln w="9525">
          <a:solidFill>
            <a:srgbClr val="000000"/>
          </a:solidFill>
          <a:round/>
          <a:headEnd/>
          <a:tailEnd/>
        </a:ln>
      </xdr:spPr>
    </xdr:sp>
    <xdr:clientData/>
  </xdr:twoCellAnchor>
  <xdr:twoCellAnchor>
    <xdr:from>
      <xdr:col>1</xdr:col>
      <xdr:colOff>857250</xdr:colOff>
      <xdr:row>20</xdr:row>
      <xdr:rowOff>9525</xdr:rowOff>
    </xdr:from>
    <xdr:to>
      <xdr:col>1</xdr:col>
      <xdr:colOff>914400</xdr:colOff>
      <xdr:row>22</xdr:row>
      <xdr:rowOff>0</xdr:rowOff>
    </xdr:to>
    <xdr:sp macro="" textlink="">
      <xdr:nvSpPr>
        <xdr:cNvPr id="62944" name="AutoShape 9"/>
        <xdr:cNvSpPr>
          <a:spLocks/>
        </xdr:cNvSpPr>
      </xdr:nvSpPr>
      <xdr:spPr bwMode="auto">
        <a:xfrm>
          <a:off x="1676400" y="4629150"/>
          <a:ext cx="57150" cy="485775"/>
        </a:xfrm>
        <a:prstGeom prst="leftBrace">
          <a:avLst>
            <a:gd name="adj1" fmla="val 70833"/>
            <a:gd name="adj2" fmla="val 50000"/>
          </a:avLst>
        </a:prstGeom>
        <a:noFill/>
        <a:ln w="9525">
          <a:solidFill>
            <a:srgbClr val="000000"/>
          </a:solidFill>
          <a:round/>
          <a:headEnd/>
          <a:tailEnd/>
        </a:ln>
      </xdr:spPr>
    </xdr:sp>
    <xdr:clientData/>
  </xdr:twoCellAnchor>
  <xdr:twoCellAnchor>
    <xdr:from>
      <xdr:col>1</xdr:col>
      <xdr:colOff>857250</xdr:colOff>
      <xdr:row>23</xdr:row>
      <xdr:rowOff>47625</xdr:rowOff>
    </xdr:from>
    <xdr:to>
      <xdr:col>1</xdr:col>
      <xdr:colOff>904875</xdr:colOff>
      <xdr:row>25</xdr:row>
      <xdr:rowOff>0</xdr:rowOff>
    </xdr:to>
    <xdr:sp macro="" textlink="">
      <xdr:nvSpPr>
        <xdr:cNvPr id="62945" name="AutoShape 10"/>
        <xdr:cNvSpPr>
          <a:spLocks/>
        </xdr:cNvSpPr>
      </xdr:nvSpPr>
      <xdr:spPr bwMode="auto">
        <a:xfrm>
          <a:off x="1676400" y="5410200"/>
          <a:ext cx="47625" cy="447675"/>
        </a:xfrm>
        <a:prstGeom prst="leftBrace">
          <a:avLst>
            <a:gd name="adj1" fmla="val 78333"/>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47625</xdr:colOff>
      <xdr:row>23</xdr:row>
      <xdr:rowOff>57150</xdr:rowOff>
    </xdr:from>
    <xdr:to>
      <xdr:col>21</xdr:col>
      <xdr:colOff>123825</xdr:colOff>
      <xdr:row>24</xdr:row>
      <xdr:rowOff>190500</xdr:rowOff>
    </xdr:to>
    <xdr:sp macro="" textlink="">
      <xdr:nvSpPr>
        <xdr:cNvPr id="47307" name="AutoShape 1"/>
        <xdr:cNvSpPr>
          <a:spLocks/>
        </xdr:cNvSpPr>
      </xdr:nvSpPr>
      <xdr:spPr bwMode="auto">
        <a:xfrm>
          <a:off x="14944725" y="5381625"/>
          <a:ext cx="76200" cy="361950"/>
        </a:xfrm>
        <a:prstGeom prst="rightBrace">
          <a:avLst>
            <a:gd name="adj1" fmla="val 39583"/>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24</xdr:row>
      <xdr:rowOff>28575</xdr:rowOff>
    </xdr:from>
    <xdr:to>
      <xdr:col>1</xdr:col>
      <xdr:colOff>133350</xdr:colOff>
      <xdr:row>25</xdr:row>
      <xdr:rowOff>200025</xdr:rowOff>
    </xdr:to>
    <xdr:sp macro="" textlink="">
      <xdr:nvSpPr>
        <xdr:cNvPr id="25446" name="AutoShape 6"/>
        <xdr:cNvSpPr>
          <a:spLocks/>
        </xdr:cNvSpPr>
      </xdr:nvSpPr>
      <xdr:spPr bwMode="auto">
        <a:xfrm>
          <a:off x="1581150" y="5362575"/>
          <a:ext cx="95250" cy="495300"/>
        </a:xfrm>
        <a:prstGeom prst="rightBrace">
          <a:avLst>
            <a:gd name="adj1" fmla="val 43333"/>
            <a:gd name="adj2" fmla="val 50000"/>
          </a:avLst>
        </a:prstGeom>
        <a:noFill/>
        <a:ln w="9525">
          <a:solidFill>
            <a:srgbClr val="000000"/>
          </a:solidFill>
          <a:round/>
          <a:headEnd/>
          <a:tailEnd/>
        </a:ln>
      </xdr:spPr>
    </xdr:sp>
    <xdr:clientData/>
  </xdr:twoCellAnchor>
  <xdr:twoCellAnchor>
    <xdr:from>
      <xdr:col>3</xdr:col>
      <xdr:colOff>28575</xdr:colOff>
      <xdr:row>24</xdr:row>
      <xdr:rowOff>19050</xdr:rowOff>
    </xdr:from>
    <xdr:to>
      <xdr:col>3</xdr:col>
      <xdr:colOff>123825</xdr:colOff>
      <xdr:row>25</xdr:row>
      <xdr:rowOff>190500</xdr:rowOff>
    </xdr:to>
    <xdr:sp macro="" textlink="">
      <xdr:nvSpPr>
        <xdr:cNvPr id="25447" name="AutoShape 6"/>
        <xdr:cNvSpPr>
          <a:spLocks/>
        </xdr:cNvSpPr>
      </xdr:nvSpPr>
      <xdr:spPr bwMode="auto">
        <a:xfrm>
          <a:off x="3019425" y="5353050"/>
          <a:ext cx="95250" cy="495300"/>
        </a:xfrm>
        <a:prstGeom prst="rightBrace">
          <a:avLst>
            <a:gd name="adj1" fmla="val 43333"/>
            <a:gd name="adj2" fmla="val 50000"/>
          </a:avLst>
        </a:prstGeom>
        <a:noFill/>
        <a:ln w="9525">
          <a:solidFill>
            <a:srgbClr val="000000"/>
          </a:solidFill>
          <a:round/>
          <a:headEnd/>
          <a:tailEnd/>
        </a:ln>
      </xdr:spPr>
    </xdr:sp>
    <xdr:clientData/>
  </xdr:twoCellAnchor>
  <xdr:twoCellAnchor>
    <xdr:from>
      <xdr:col>5</xdr:col>
      <xdr:colOff>57150</xdr:colOff>
      <xdr:row>24</xdr:row>
      <xdr:rowOff>28575</xdr:rowOff>
    </xdr:from>
    <xdr:to>
      <xdr:col>5</xdr:col>
      <xdr:colOff>152400</xdr:colOff>
      <xdr:row>25</xdr:row>
      <xdr:rowOff>200025</xdr:rowOff>
    </xdr:to>
    <xdr:sp macro="" textlink="">
      <xdr:nvSpPr>
        <xdr:cNvPr id="25448" name="AutoShape 6"/>
        <xdr:cNvSpPr>
          <a:spLocks/>
        </xdr:cNvSpPr>
      </xdr:nvSpPr>
      <xdr:spPr bwMode="auto">
        <a:xfrm>
          <a:off x="4495800" y="5362575"/>
          <a:ext cx="95250" cy="495300"/>
        </a:xfrm>
        <a:prstGeom prst="rightBrace">
          <a:avLst>
            <a:gd name="adj1" fmla="val 43333"/>
            <a:gd name="adj2" fmla="val 50000"/>
          </a:avLst>
        </a:prstGeom>
        <a:noFill/>
        <a:ln w="9525">
          <a:solidFill>
            <a:srgbClr val="000000"/>
          </a:solidFill>
          <a:round/>
          <a:headEnd/>
          <a:tailEnd/>
        </a:ln>
      </xdr:spPr>
    </xdr:sp>
    <xdr:clientData/>
  </xdr:twoCellAnchor>
  <xdr:twoCellAnchor>
    <xdr:from>
      <xdr:col>7</xdr:col>
      <xdr:colOff>57150</xdr:colOff>
      <xdr:row>24</xdr:row>
      <xdr:rowOff>19050</xdr:rowOff>
    </xdr:from>
    <xdr:to>
      <xdr:col>7</xdr:col>
      <xdr:colOff>152400</xdr:colOff>
      <xdr:row>25</xdr:row>
      <xdr:rowOff>190500</xdr:rowOff>
    </xdr:to>
    <xdr:sp macro="" textlink="">
      <xdr:nvSpPr>
        <xdr:cNvPr id="25449" name="AutoShape 6"/>
        <xdr:cNvSpPr>
          <a:spLocks/>
        </xdr:cNvSpPr>
      </xdr:nvSpPr>
      <xdr:spPr bwMode="auto">
        <a:xfrm>
          <a:off x="5943600" y="5353050"/>
          <a:ext cx="95250" cy="495300"/>
        </a:xfrm>
        <a:prstGeom prst="rightBrace">
          <a:avLst>
            <a:gd name="adj1" fmla="val 43333"/>
            <a:gd name="adj2" fmla="val 50000"/>
          </a:avLst>
        </a:prstGeom>
        <a:noFill/>
        <a:ln w="9525">
          <a:solidFill>
            <a:srgbClr val="000000"/>
          </a:solidFill>
          <a:round/>
          <a:headEnd/>
          <a:tailEnd/>
        </a:ln>
      </xdr:spPr>
    </xdr:sp>
    <xdr:clientData/>
  </xdr:twoCellAnchor>
  <xdr:twoCellAnchor>
    <xdr:from>
      <xdr:col>9</xdr:col>
      <xdr:colOff>57150</xdr:colOff>
      <xdr:row>24</xdr:row>
      <xdr:rowOff>38100</xdr:rowOff>
    </xdr:from>
    <xdr:to>
      <xdr:col>9</xdr:col>
      <xdr:colOff>152400</xdr:colOff>
      <xdr:row>25</xdr:row>
      <xdr:rowOff>209550</xdr:rowOff>
    </xdr:to>
    <xdr:sp macro="" textlink="">
      <xdr:nvSpPr>
        <xdr:cNvPr id="25450" name="AutoShape 6"/>
        <xdr:cNvSpPr>
          <a:spLocks/>
        </xdr:cNvSpPr>
      </xdr:nvSpPr>
      <xdr:spPr bwMode="auto">
        <a:xfrm>
          <a:off x="7391400" y="5372100"/>
          <a:ext cx="95250" cy="495300"/>
        </a:xfrm>
        <a:prstGeom prst="rightBrace">
          <a:avLst>
            <a:gd name="adj1" fmla="val 43333"/>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2495550</xdr:colOff>
      <xdr:row>12</xdr:row>
      <xdr:rowOff>9525</xdr:rowOff>
    </xdr:from>
    <xdr:to>
      <xdr:col>0</xdr:col>
      <xdr:colOff>2628900</xdr:colOff>
      <xdr:row>13</xdr:row>
      <xdr:rowOff>257175</xdr:rowOff>
    </xdr:to>
    <xdr:sp macro="" textlink="">
      <xdr:nvSpPr>
        <xdr:cNvPr id="7678" name="AutoShape 4"/>
        <xdr:cNvSpPr>
          <a:spLocks/>
        </xdr:cNvSpPr>
      </xdr:nvSpPr>
      <xdr:spPr bwMode="auto">
        <a:xfrm>
          <a:off x="2495550" y="3314700"/>
          <a:ext cx="133350" cy="552450"/>
        </a:xfrm>
        <a:prstGeom prst="rightBrace">
          <a:avLst>
            <a:gd name="adj1" fmla="val 34524"/>
            <a:gd name="adj2" fmla="val 50000"/>
          </a:avLst>
        </a:prstGeom>
        <a:noFill/>
        <a:ln w="9525">
          <a:solidFill>
            <a:srgbClr val="000000"/>
          </a:solidFill>
          <a:round/>
          <a:headEnd/>
          <a:tailEnd/>
        </a:ln>
      </xdr:spPr>
    </xdr:sp>
    <xdr:clientData/>
  </xdr:twoCellAnchor>
  <xdr:twoCellAnchor>
    <xdr:from>
      <xdr:col>0</xdr:col>
      <xdr:colOff>2505075</xdr:colOff>
      <xdr:row>14</xdr:row>
      <xdr:rowOff>19050</xdr:rowOff>
    </xdr:from>
    <xdr:to>
      <xdr:col>0</xdr:col>
      <xdr:colOff>2619375</xdr:colOff>
      <xdr:row>15</xdr:row>
      <xdr:rowOff>247650</xdr:rowOff>
    </xdr:to>
    <xdr:sp macro="" textlink="">
      <xdr:nvSpPr>
        <xdr:cNvPr id="7679" name="AutoShape 5"/>
        <xdr:cNvSpPr>
          <a:spLocks/>
        </xdr:cNvSpPr>
      </xdr:nvSpPr>
      <xdr:spPr bwMode="auto">
        <a:xfrm>
          <a:off x="2505075" y="3933825"/>
          <a:ext cx="114300" cy="533400"/>
        </a:xfrm>
        <a:prstGeom prst="rightBrace">
          <a:avLst>
            <a:gd name="adj1" fmla="val 38889"/>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219075</xdr:colOff>
      <xdr:row>3</xdr:row>
      <xdr:rowOff>95250</xdr:rowOff>
    </xdr:from>
    <xdr:to>
      <xdr:col>8</xdr:col>
      <xdr:colOff>542925</xdr:colOff>
      <xdr:row>52</xdr:row>
      <xdr:rowOff>9525</xdr:rowOff>
    </xdr:to>
    <xdr:sp macro="" textlink="">
      <xdr:nvSpPr>
        <xdr:cNvPr id="32770" name="Homepage"/>
        <xdr:cNvSpPr>
          <a:spLocks noEditPoints="1" noChangeArrowheads="1"/>
        </xdr:cNvSpPr>
      </xdr:nvSpPr>
      <xdr:spPr bwMode="auto">
        <a:xfrm flipH="1">
          <a:off x="219075" y="581025"/>
          <a:ext cx="5200650" cy="784860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val="D8EBB3"/>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ctr" rtl="1">
            <a:defRPr sz="1000"/>
          </a:pPr>
          <a:r>
            <a:rPr lang="en-US" sz="3500" b="0" i="0" strike="noStrike">
              <a:solidFill>
                <a:srgbClr val="000000"/>
              </a:solidFill>
              <a:latin typeface="Times New Roman"/>
              <a:cs typeface="Times New Roman"/>
            </a:rPr>
            <a:t>BLOCK LEVEL </a:t>
          </a:r>
        </a:p>
        <a:p>
          <a:pPr algn="ctr" rtl="1">
            <a:defRPr sz="1000"/>
          </a:pPr>
          <a:r>
            <a:rPr lang="en-US" sz="3500" b="0" i="0" strike="noStrike">
              <a:solidFill>
                <a:srgbClr val="000000"/>
              </a:solidFill>
              <a:latin typeface="Times New Roman"/>
              <a:cs typeface="Times New Roman"/>
            </a:rPr>
            <a:t>STATISTICS</a:t>
          </a:r>
          <a:r>
            <a:rPr lang="en-US" sz="4000" b="0" i="0" strike="noStrike">
              <a:solidFill>
                <a:srgbClr val="000000"/>
              </a:solidFill>
              <a:latin typeface="Times New Roman"/>
              <a:cs typeface="Times New Roman"/>
            </a:rPr>
            <a:t> </a:t>
          </a:r>
        </a:p>
        <a:p>
          <a:pPr algn="ctr" rtl="1">
            <a:defRPr sz="1000"/>
          </a:pPr>
          <a:r>
            <a:rPr lang="en-US" sz="3500" b="1" i="0" strike="noStrike">
              <a:solidFill>
                <a:srgbClr val="000000"/>
              </a:solidFill>
              <a:latin typeface="Rockwell"/>
            </a:rPr>
            <a:t>2013-14</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0</xdr:col>
      <xdr:colOff>5953125</xdr:colOff>
      <xdr:row>24</xdr:row>
      <xdr:rowOff>47625</xdr:rowOff>
    </xdr:to>
    <xdr:sp macro="" textlink="">
      <xdr:nvSpPr>
        <xdr:cNvPr id="17409" name="AutoShape 1"/>
        <xdr:cNvSpPr>
          <a:spLocks noChangeArrowheads="1"/>
        </xdr:cNvSpPr>
      </xdr:nvSpPr>
      <xdr:spPr bwMode="auto">
        <a:xfrm>
          <a:off x="200025" y="4086225"/>
          <a:ext cx="5753100" cy="3419475"/>
        </a:xfrm>
        <a:prstGeom prst="sun">
          <a:avLst>
            <a:gd name="adj" fmla="val 25000"/>
          </a:avLst>
        </a:prstGeom>
        <a:solidFill>
          <a:srgbClr val="808000"/>
        </a:solidFill>
        <a:ln w="9525">
          <a:solidFill>
            <a:srgbClr val="993366"/>
          </a:solidFill>
          <a:miter lim="800000"/>
          <a:headEnd/>
          <a:tailEnd/>
        </a:ln>
      </xdr:spPr>
      <xdr:txBody>
        <a:bodyPr vertOverflow="clip" wrap="square" lIns="27432" tIns="22860" rIns="0" bIns="0" anchor="t" upright="1"/>
        <a:lstStyle/>
        <a:p>
          <a:pPr algn="l" rtl="0">
            <a:defRPr sz="1000"/>
          </a:pPr>
          <a:r>
            <a:rPr lang="en-US" sz="1000" b="0" i="0" strike="noStrike">
              <a:solidFill>
                <a:srgbClr val="FF0000"/>
              </a:solidFill>
              <a:latin typeface="Arial"/>
              <a:cs typeface="Arial"/>
            </a:rPr>
            <a:t>                                                               </a:t>
          </a:r>
          <a:r>
            <a:rPr lang="en-US" sz="4200" b="0" i="0" strike="noStrike">
              <a:solidFill>
                <a:srgbClr val="FFFFFF"/>
              </a:solidFill>
              <a:latin typeface="Arial"/>
              <a:cs typeface="Arial"/>
            </a:rPr>
            <a:t>2008-09</a:t>
          </a:r>
          <a:endParaRPr lang="en-US" sz="4000" b="0" i="0" strike="noStrike">
            <a:solidFill>
              <a:srgbClr val="FF0000"/>
            </a:solidFill>
            <a:latin typeface="Arial"/>
            <a:cs typeface="Arial"/>
          </a:endParaRPr>
        </a:p>
        <a:p>
          <a:pPr algn="l" rtl="0">
            <a:defRPr sz="1000"/>
          </a:pPr>
          <a:endParaRPr lang="en-US" sz="1000" b="0" i="0" strike="noStrike">
            <a:solidFill>
              <a:srgbClr val="FF0000"/>
            </a:solidFill>
            <a:latin typeface="Arial"/>
            <a:cs typeface="Arial"/>
          </a:endParaRPr>
        </a:p>
        <a:p>
          <a:pPr algn="l" rtl="0">
            <a:defRPr sz="1000"/>
          </a:pPr>
          <a:endParaRPr lang="en-US" sz="1000" b="0" i="0" strike="noStrike">
            <a:solidFill>
              <a:srgbClr val="FF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1038225</xdr:colOff>
      <xdr:row>9</xdr:row>
      <xdr:rowOff>19050</xdr:rowOff>
    </xdr:from>
    <xdr:to>
      <xdr:col>1</xdr:col>
      <xdr:colOff>1114425</xdr:colOff>
      <xdr:row>10</xdr:row>
      <xdr:rowOff>171450</xdr:rowOff>
    </xdr:to>
    <xdr:sp macro="" textlink="">
      <xdr:nvSpPr>
        <xdr:cNvPr id="68617" name="AutoShape 6"/>
        <xdr:cNvSpPr>
          <a:spLocks/>
        </xdr:cNvSpPr>
      </xdr:nvSpPr>
      <xdr:spPr bwMode="auto">
        <a:xfrm>
          <a:off x="1304925" y="2466975"/>
          <a:ext cx="76200" cy="352425"/>
        </a:xfrm>
        <a:prstGeom prst="rightBrace">
          <a:avLst>
            <a:gd name="adj1" fmla="val 38542"/>
            <a:gd name="adj2" fmla="val 50000"/>
          </a:avLst>
        </a:prstGeom>
        <a:noFill/>
        <a:ln w="9525">
          <a:solidFill>
            <a:srgbClr val="000000"/>
          </a:solidFill>
          <a:round/>
          <a:headEnd/>
          <a:tailEnd/>
        </a:ln>
      </xdr:spPr>
    </xdr:sp>
    <xdr:clientData/>
  </xdr:twoCellAnchor>
  <xdr:twoCellAnchor>
    <xdr:from>
      <xdr:col>1</xdr:col>
      <xdr:colOff>1038225</xdr:colOff>
      <xdr:row>11</xdr:row>
      <xdr:rowOff>28575</xdr:rowOff>
    </xdr:from>
    <xdr:to>
      <xdr:col>1</xdr:col>
      <xdr:colOff>1114425</xdr:colOff>
      <xdr:row>13</xdr:row>
      <xdr:rowOff>0</xdr:rowOff>
    </xdr:to>
    <xdr:sp macro="" textlink="">
      <xdr:nvSpPr>
        <xdr:cNvPr id="68618" name="AutoShape 7"/>
        <xdr:cNvSpPr>
          <a:spLocks/>
        </xdr:cNvSpPr>
      </xdr:nvSpPr>
      <xdr:spPr bwMode="auto">
        <a:xfrm>
          <a:off x="1304925" y="2876550"/>
          <a:ext cx="76200" cy="371475"/>
        </a:xfrm>
        <a:prstGeom prst="rightBrace">
          <a:avLst>
            <a:gd name="adj1" fmla="val 40625"/>
            <a:gd name="adj2" fmla="val 50000"/>
          </a:avLst>
        </a:prstGeom>
        <a:noFill/>
        <a:ln w="9525">
          <a:solidFill>
            <a:srgbClr val="000000"/>
          </a:solidFill>
          <a:round/>
          <a:headEnd/>
          <a:tailEnd/>
        </a:ln>
      </xdr:spPr>
    </xdr:sp>
    <xdr:clientData/>
  </xdr:twoCellAnchor>
  <xdr:twoCellAnchor>
    <xdr:from>
      <xdr:col>1</xdr:col>
      <xdr:colOff>1076325</xdr:colOff>
      <xdr:row>7</xdr:row>
      <xdr:rowOff>19050</xdr:rowOff>
    </xdr:from>
    <xdr:to>
      <xdr:col>1</xdr:col>
      <xdr:colOff>1143000</xdr:colOff>
      <xdr:row>9</xdr:row>
      <xdr:rowOff>9525</xdr:rowOff>
    </xdr:to>
    <xdr:sp macro="" textlink="">
      <xdr:nvSpPr>
        <xdr:cNvPr id="68619" name="AutoShape 15"/>
        <xdr:cNvSpPr>
          <a:spLocks/>
        </xdr:cNvSpPr>
      </xdr:nvSpPr>
      <xdr:spPr bwMode="auto">
        <a:xfrm>
          <a:off x="1343025" y="2009775"/>
          <a:ext cx="66675" cy="447675"/>
        </a:xfrm>
        <a:prstGeom prst="rightBrace">
          <a:avLst>
            <a:gd name="adj1" fmla="val 55952"/>
            <a:gd name="adj2" fmla="val 50000"/>
          </a:avLst>
        </a:prstGeom>
        <a:noFill/>
        <a:ln w="9525">
          <a:solidFill>
            <a:srgbClr val="000000"/>
          </a:solidFill>
          <a:round/>
          <a:headEnd/>
          <a:tailEnd/>
        </a:ln>
      </xdr:spPr>
    </xdr:sp>
    <xdr:clientData/>
  </xdr:twoCellAnchor>
  <xdr:twoCellAnchor>
    <xdr:from>
      <xdr:col>1</xdr:col>
      <xdr:colOff>1028700</xdr:colOff>
      <xdr:row>25</xdr:row>
      <xdr:rowOff>66675</xdr:rowOff>
    </xdr:from>
    <xdr:to>
      <xdr:col>1</xdr:col>
      <xdr:colOff>1104900</xdr:colOff>
      <xdr:row>26</xdr:row>
      <xdr:rowOff>228600</xdr:rowOff>
    </xdr:to>
    <xdr:sp macro="" textlink="">
      <xdr:nvSpPr>
        <xdr:cNvPr id="68620" name="AutoShape 24"/>
        <xdr:cNvSpPr>
          <a:spLocks/>
        </xdr:cNvSpPr>
      </xdr:nvSpPr>
      <xdr:spPr bwMode="auto">
        <a:xfrm>
          <a:off x="1295400" y="5715000"/>
          <a:ext cx="76200" cy="457200"/>
        </a:xfrm>
        <a:prstGeom prst="rightBrace">
          <a:avLst>
            <a:gd name="adj1" fmla="val 50000"/>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BAES/Desktop/HANDBOOK_2007_2ndPrint/PURULIA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HANDBOOK_2009_NBO1\PURULIA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NDBOOK_2007_2ndPrint/PURULIA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
      <sheetName val="Cover Page"/>
      <sheetName val="PREFACE"/>
      <sheetName val="Contents"/>
      <sheetName val="At a glance"/>
      <sheetName val="1.1,1.2"/>
      <sheetName val="1.3,1.4"/>
      <sheetName val="2.1"/>
      <sheetName val="2.1a,2.1b"/>
      <sheetName val="2.2"/>
      <sheetName val="2.3"/>
      <sheetName val="2.4a"/>
      <sheetName val="2.4b"/>
      <sheetName val="2.5a"/>
      <sheetName val="2.5b"/>
      <sheetName val="2.6"/>
      <sheetName val="2.7"/>
      <sheetName val="2.8"/>
      <sheetName val="2.9,2.10"/>
      <sheetName val="2.10a"/>
      <sheetName val="2.11"/>
      <sheetName val="3.1"/>
      <sheetName val="3.2"/>
      <sheetName val="3.2a"/>
      <sheetName val="3.3"/>
      <sheetName val="3.3a"/>
      <sheetName val="4.1a"/>
      <sheetName val="4.1b"/>
      <sheetName val="4.1c"/>
      <sheetName val="4.2a"/>
      <sheetName val="4.2b"/>
      <sheetName val="4.2c"/>
      <sheetName val="4.3a"/>
      <sheetName val="4.3b"/>
      <sheetName val="4.3c"/>
      <sheetName val="4.4"/>
      <sheetName val="4.5"/>
      <sheetName val="4.6"/>
      <sheetName val="4.7,4.8"/>
      <sheetName val="5.1"/>
      <sheetName val="5.1a,5.1b"/>
      <sheetName val="5.2"/>
      <sheetName val="5.3"/>
      <sheetName val="5.3a"/>
      <sheetName val="5.3b,5.3c"/>
      <sheetName val="5.3d"/>
      <sheetName val="5.4"/>
      <sheetName val="5.5,5.5a"/>
      <sheetName val="5.6,5.7,5.8"/>
      <sheetName val="6.1"/>
      <sheetName val="6.2"/>
      <sheetName val="7.1"/>
      <sheetName val="7.2,7.3"/>
      <sheetName val="8.1,8.2"/>
      <sheetName val="8.2a,8.3"/>
      <sheetName val="8.4,8.4a"/>
      <sheetName val="9.1"/>
      <sheetName val="9.2,9.2a,9.2b"/>
      <sheetName val="10.1,10.2"/>
      <sheetName val="10.3"/>
      <sheetName val="11.1"/>
      <sheetName val="11.1a,11.2"/>
      <sheetName val="11.3,11.4"/>
      <sheetName val="12.1,12.2"/>
      <sheetName val="12.3,12.4"/>
      <sheetName val="12.5,12.6,12.7"/>
      <sheetName val="13.1"/>
      <sheetName val="13.2,13.3"/>
      <sheetName val="14.1,14.2"/>
      <sheetName val="15.1"/>
      <sheetName val="15.2"/>
      <sheetName val="Block_Level"/>
      <sheetName val="16.1"/>
      <sheetName val="17.1"/>
      <sheetName val="17.2"/>
      <sheetName val="18.1"/>
      <sheetName val="18.2"/>
      <sheetName val="18.3"/>
      <sheetName val="19.1"/>
      <sheetName val="20.1"/>
      <sheetName val="20.2"/>
      <sheetName val="21.1"/>
      <sheetName val="21.2"/>
      <sheetName val="Check(Pop)"/>
      <sheetName val="Check(Agri.Lab)"/>
      <sheetName val="Check(Block)"/>
      <sheetName val="Distr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
      <sheetName val="Cover Page"/>
      <sheetName val="PREFACE"/>
      <sheetName val="Contents"/>
      <sheetName val="At a glance"/>
      <sheetName val="1.1,1.2"/>
      <sheetName val="1.3,1.4"/>
      <sheetName val="2.1"/>
      <sheetName val="2.1a,2.1b"/>
      <sheetName val="2.2"/>
      <sheetName val="2.3"/>
      <sheetName val="2.4a"/>
      <sheetName val="2.4b"/>
      <sheetName val="2.5a"/>
      <sheetName val="2.5b"/>
      <sheetName val="2.6"/>
      <sheetName val="2.7"/>
      <sheetName val="2.8"/>
      <sheetName val="2.9,2.10"/>
      <sheetName val="2.10a"/>
      <sheetName val="2.11"/>
      <sheetName val="3.1"/>
      <sheetName val="3.2"/>
      <sheetName val="3.2a"/>
      <sheetName val="3.3"/>
      <sheetName val="3.3a"/>
      <sheetName val="4.1a"/>
      <sheetName val="4.1b"/>
      <sheetName val="4.1c"/>
      <sheetName val="4.2a"/>
      <sheetName val="4.2b"/>
      <sheetName val="4.2c"/>
      <sheetName val="4.3a"/>
      <sheetName val="4.3b"/>
      <sheetName val="4.3c"/>
      <sheetName val="4.4"/>
      <sheetName val="4.5"/>
      <sheetName val="4.6"/>
      <sheetName val="4.7,4.8"/>
      <sheetName val="5.1"/>
      <sheetName val="5.1a,5.1b"/>
      <sheetName val="5.2"/>
      <sheetName val="5.3"/>
      <sheetName val="5.3a"/>
      <sheetName val="5.3b,5.3c"/>
      <sheetName val="5.3d"/>
      <sheetName val="5.4"/>
      <sheetName val="5.5,5.5a"/>
      <sheetName val="5.6,5.7,5.8"/>
      <sheetName val="6.1"/>
      <sheetName val="6.2"/>
      <sheetName val="7.1"/>
      <sheetName val="7.2,7.3"/>
      <sheetName val="8.1,8.2"/>
      <sheetName val="8.2a,8.3"/>
      <sheetName val="8.4,8.4a"/>
      <sheetName val="9.1"/>
      <sheetName val="9.2,9.2a,9.2b"/>
      <sheetName val="10.1,10.2"/>
      <sheetName val="10.3"/>
      <sheetName val="11.1"/>
      <sheetName val="11.1a,11.2"/>
      <sheetName val="11.3,11.4"/>
      <sheetName val="12.1,12.2"/>
      <sheetName val="12.3,12.4"/>
      <sheetName val="12.5,12.6,12.7"/>
      <sheetName val="13.1"/>
      <sheetName val="13.2,13.3"/>
      <sheetName val="14.1,14.2"/>
      <sheetName val="15.1"/>
      <sheetName val="15.2"/>
      <sheetName val="Block_Level"/>
      <sheetName val="16.1"/>
      <sheetName val="17.1"/>
      <sheetName val="17.2"/>
      <sheetName val="18.1"/>
      <sheetName val="18.2"/>
      <sheetName val="18.3"/>
      <sheetName val="19.1"/>
      <sheetName val="20.1"/>
      <sheetName val="20.2"/>
      <sheetName val="21.1"/>
      <sheetName val="21.2"/>
      <sheetName val="Check(Pop)"/>
      <sheetName val="Check(Agri.Lab)"/>
      <sheetName val="Check(Block)"/>
      <sheetName val="Distr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P"/>
      <sheetName val="Cover Page"/>
      <sheetName val="PREFACE"/>
      <sheetName val="Contents"/>
      <sheetName val="At a glance"/>
      <sheetName val="1.1,1.2"/>
      <sheetName val="1.3,1.4"/>
      <sheetName val="2.1"/>
      <sheetName val="2.1a,2.1b"/>
      <sheetName val="2.2"/>
      <sheetName val="2.3"/>
      <sheetName val="2.4a"/>
      <sheetName val="2.4b"/>
      <sheetName val="2.5a"/>
      <sheetName val="2.5b"/>
      <sheetName val="2.6"/>
      <sheetName val="2.7"/>
      <sheetName val="2.8"/>
      <sheetName val="2.9,2.10"/>
      <sheetName val="2.10a"/>
      <sheetName val="2.11"/>
      <sheetName val="3.1"/>
      <sheetName val="3.2"/>
      <sheetName val="3.2a"/>
      <sheetName val="3.3"/>
      <sheetName val="3.3a"/>
      <sheetName val="4.1a"/>
      <sheetName val="4.1b"/>
      <sheetName val="4.1c"/>
      <sheetName val="4.2a"/>
      <sheetName val="4.2b"/>
      <sheetName val="4.2c"/>
      <sheetName val="4.3a"/>
      <sheetName val="4.3b"/>
      <sheetName val="4.3c"/>
      <sheetName val="4.4"/>
      <sheetName val="4.5"/>
      <sheetName val="4.6"/>
      <sheetName val="4.7,4.8"/>
      <sheetName val="5.1"/>
      <sheetName val="5.1a,5.1b"/>
      <sheetName val="5.2"/>
      <sheetName val="5.3"/>
      <sheetName val="5.3a"/>
      <sheetName val="5.3b,5.3c"/>
      <sheetName val="5.3d"/>
      <sheetName val="5.4"/>
      <sheetName val="5.5,5.5a"/>
      <sheetName val="5.6,5.7,5.8"/>
      <sheetName val="6.1"/>
      <sheetName val="6.2"/>
      <sheetName val="7.1"/>
      <sheetName val="7.2,7.3"/>
      <sheetName val="8.1,8.2"/>
      <sheetName val="8.2a,8.3"/>
      <sheetName val="8.4,8.4a"/>
      <sheetName val="9.1"/>
      <sheetName val="9.2,9.2a,9.2b"/>
      <sheetName val="10.1,10.2"/>
      <sheetName val="10.3"/>
      <sheetName val="11.1"/>
      <sheetName val="11.1a,11.2"/>
      <sheetName val="11.3,11.4"/>
      <sheetName val="12.1,12.2"/>
      <sheetName val="12.3,12.4"/>
      <sheetName val="12.5,12.6,12.7"/>
      <sheetName val="13.1"/>
      <sheetName val="13.2,13.3"/>
      <sheetName val="14.1,14.2"/>
      <sheetName val="15.1"/>
      <sheetName val="15.2"/>
      <sheetName val="Block_Level"/>
      <sheetName val="16.1"/>
      <sheetName val="17.1"/>
      <sheetName val="17.2"/>
      <sheetName val="18.1"/>
      <sheetName val="18.2"/>
      <sheetName val="18.3"/>
      <sheetName val="19.1"/>
      <sheetName val="20.1"/>
      <sheetName val="20.2"/>
      <sheetName val="21.1"/>
      <sheetName val="21.2"/>
      <sheetName val="Check(Pop)"/>
      <sheetName val="Check(Agri.Lab)"/>
      <sheetName val="Check(Block)"/>
      <sheetName val="Distr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Microsoft_Office_Word_97_-_2003_Document1.doc"/><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2"/>
  <dimension ref="A36:J58"/>
  <sheetViews>
    <sheetView tabSelected="1" workbookViewId="0">
      <selection activeCell="O18" sqref="O18"/>
    </sheetView>
  </sheetViews>
  <sheetFormatPr defaultRowHeight="12.75"/>
  <sheetData>
    <row r="36" ht="27.75" customHeight="1"/>
    <row r="37" ht="12.75" customHeight="1"/>
    <row r="56" spans="1:10" ht="20.25">
      <c r="A56" s="1317" t="s">
        <v>995</v>
      </c>
      <c r="B56" s="1317"/>
      <c r="C56" s="1317"/>
      <c r="D56" s="1317"/>
      <c r="E56" s="1317"/>
      <c r="F56" s="1317"/>
      <c r="G56" s="1317"/>
      <c r="H56" s="1317"/>
      <c r="I56" s="1317"/>
      <c r="J56" s="1317"/>
    </row>
    <row r="57" spans="1:10" ht="23.25">
      <c r="A57" s="1318" t="s">
        <v>949</v>
      </c>
      <c r="B57" s="1318"/>
      <c r="C57" s="1318"/>
      <c r="D57" s="1318"/>
      <c r="E57" s="1318"/>
      <c r="F57" s="1318"/>
      <c r="G57" s="1318"/>
      <c r="H57" s="1318"/>
      <c r="I57" s="1318"/>
      <c r="J57" s="1318"/>
    </row>
    <row r="58" spans="1:10" ht="15.75">
      <c r="A58" s="1319" t="s">
        <v>996</v>
      </c>
      <c r="B58" s="1319"/>
      <c r="C58" s="1319"/>
      <c r="D58" s="1319"/>
      <c r="E58" s="1319"/>
      <c r="F58" s="1319"/>
      <c r="G58" s="1319"/>
      <c r="H58" s="1319"/>
      <c r="I58" s="1319"/>
      <c r="J58" s="1319"/>
    </row>
  </sheetData>
  <mergeCells count="3">
    <mergeCell ref="A56:J56"/>
    <mergeCell ref="A57:J57"/>
    <mergeCell ref="A58:J58"/>
  </mergeCells>
  <phoneticPr fontId="0" type="noConversion"/>
  <printOptions horizontalCentered="1"/>
  <pageMargins left="0.5" right="0.5" top="0.52" bottom="0.2" header="0.37" footer="0.28999999999999998"/>
  <pageSetup paperSize="9" orientation="portrait" horizontalDpi="4294967295" r:id="rId1"/>
  <headerFooter alignWithMargins="0"/>
  <drawing r:id="rId2"/>
  <legacyDrawing r:id="rId3"/>
  <oleObjects>
    <oleObject progId="CorelDRAW.Graphic.9" shapeId="1026" r:id="rId4"/>
  </oleObjects>
</worksheet>
</file>

<file path=xl/worksheets/sheet10.xml><?xml version="1.0" encoding="utf-8"?>
<worksheet xmlns="http://schemas.openxmlformats.org/spreadsheetml/2006/main" xmlns:r="http://schemas.openxmlformats.org/officeDocument/2006/relationships">
  <sheetPr codeName="Sheet9"/>
  <dimension ref="A1:I45"/>
  <sheetViews>
    <sheetView workbookViewId="0">
      <selection activeCell="M5" sqref="M5"/>
    </sheetView>
  </sheetViews>
  <sheetFormatPr defaultRowHeight="12.75"/>
  <cols>
    <col min="1" max="1" width="17.140625" customWidth="1"/>
    <col min="2" max="3" width="9.7109375" customWidth="1"/>
    <col min="4" max="4" width="8.140625" customWidth="1"/>
    <col min="5" max="5" width="8.85546875" customWidth="1"/>
    <col min="6" max="6" width="9.5703125" customWidth="1"/>
    <col min="7" max="8" width="9.7109375" customWidth="1"/>
    <col min="9" max="9" width="11.85546875" customWidth="1"/>
  </cols>
  <sheetData>
    <row r="1" spans="1:9">
      <c r="A1" s="1430" t="s">
        <v>1333</v>
      </c>
      <c r="B1" s="1430"/>
      <c r="C1" s="1430"/>
      <c r="D1" s="1430"/>
      <c r="E1" s="1430"/>
      <c r="F1" s="1430"/>
      <c r="G1" s="1430"/>
      <c r="H1" s="1430"/>
      <c r="I1" s="1430"/>
    </row>
    <row r="2" spans="1:9" ht="15" customHeight="1">
      <c r="A2" s="1374" t="str">
        <f>CONCATENATE("Area, Population and Density of Population in the district of ",District!$A$1,", 2011")</f>
        <v>Area, Population and Density of Population in the district of Malda, 2011</v>
      </c>
      <c r="B2" s="1374"/>
      <c r="C2" s="1374"/>
      <c r="D2" s="1374"/>
      <c r="E2" s="1374"/>
      <c r="F2" s="1374"/>
      <c r="G2" s="1374"/>
      <c r="H2" s="1374"/>
      <c r="I2" s="1374"/>
    </row>
    <row r="3" spans="1:9" ht="36" customHeight="1">
      <c r="A3" s="652" t="s">
        <v>446</v>
      </c>
      <c r="B3" s="1433" t="s">
        <v>519</v>
      </c>
      <c r="C3" s="1434"/>
      <c r="D3" s="1433" t="s">
        <v>1598</v>
      </c>
      <c r="E3" s="1434"/>
      <c r="F3" s="1435" t="s">
        <v>1599</v>
      </c>
      <c r="G3" s="1434"/>
      <c r="H3" s="1431" t="s">
        <v>846</v>
      </c>
      <c r="I3" s="1432"/>
    </row>
    <row r="4" spans="1:9" ht="14.25" customHeight="1">
      <c r="A4" s="580" t="s">
        <v>1208</v>
      </c>
      <c r="B4" s="1353" t="s">
        <v>1209</v>
      </c>
      <c r="C4" s="1354"/>
      <c r="D4" s="1353" t="s">
        <v>1210</v>
      </c>
      <c r="E4" s="1354"/>
      <c r="F4" s="1425" t="s">
        <v>1211</v>
      </c>
      <c r="G4" s="1354"/>
      <c r="H4" s="1440" t="s">
        <v>1212</v>
      </c>
      <c r="I4" s="1441"/>
    </row>
    <row r="5" spans="1:9" ht="16.5" customHeight="1">
      <c r="A5" s="621" t="s">
        <v>1155</v>
      </c>
      <c r="B5" s="1421">
        <f>SUM(B6:B11)</f>
        <v>1160.44</v>
      </c>
      <c r="C5" s="1422"/>
      <c r="D5" s="1421">
        <f>SUM(D6:D11)</f>
        <v>1338379</v>
      </c>
      <c r="E5" s="1422"/>
      <c r="F5" s="1426">
        <f t="shared" ref="F5:F24" si="0">D5/B5</f>
        <v>1153.337527144876</v>
      </c>
      <c r="G5" s="1427"/>
      <c r="H5" s="1421">
        <f>SUM(H6:H11)</f>
        <v>33.549999999999997</v>
      </c>
      <c r="I5" s="1422"/>
    </row>
    <row r="6" spans="1:9" ht="16.5" customHeight="1">
      <c r="A6" s="414" t="s">
        <v>1051</v>
      </c>
      <c r="B6" s="1417">
        <v>171.41</v>
      </c>
      <c r="C6" s="1418"/>
      <c r="D6" s="1413">
        <v>199493</v>
      </c>
      <c r="E6" s="1414"/>
      <c r="F6" s="1428">
        <f t="shared" si="0"/>
        <v>1163.8352488186219</v>
      </c>
      <c r="G6" s="1429"/>
      <c r="H6" s="1436">
        <f t="shared" ref="H6:H11" si="1">ROUND(D6/$D$24*100,2)</f>
        <v>5</v>
      </c>
      <c r="I6" s="1437"/>
    </row>
    <row r="7" spans="1:9" ht="16.5" customHeight="1">
      <c r="A7" s="414" t="s">
        <v>495</v>
      </c>
      <c r="B7" s="1417">
        <v>217.21</v>
      </c>
      <c r="C7" s="1418"/>
      <c r="D7" s="1413">
        <v>251345</v>
      </c>
      <c r="E7" s="1414"/>
      <c r="F7" s="1428">
        <f t="shared" si="0"/>
        <v>1157.1520648220614</v>
      </c>
      <c r="G7" s="1429"/>
      <c r="H7" s="1436">
        <f t="shared" si="1"/>
        <v>6.3</v>
      </c>
      <c r="I7" s="1437"/>
    </row>
    <row r="8" spans="1:9" ht="16.5" customHeight="1">
      <c r="A8" s="620" t="s">
        <v>531</v>
      </c>
      <c r="B8" s="1417">
        <v>162.13999999999999</v>
      </c>
      <c r="C8" s="1418"/>
      <c r="D8" s="1413">
        <v>204740</v>
      </c>
      <c r="E8" s="1414"/>
      <c r="F8" s="1428">
        <f t="shared" si="0"/>
        <v>1262.7359072406564</v>
      </c>
      <c r="G8" s="1429"/>
      <c r="H8" s="1436">
        <f t="shared" si="1"/>
        <v>5.13</v>
      </c>
      <c r="I8" s="1437"/>
    </row>
    <row r="9" spans="1:9" ht="16.5" customHeight="1">
      <c r="A9" s="620" t="s">
        <v>532</v>
      </c>
      <c r="B9" s="1417">
        <v>205.22</v>
      </c>
      <c r="C9" s="1418"/>
      <c r="D9" s="1413">
        <v>205333</v>
      </c>
      <c r="E9" s="1414"/>
      <c r="F9" s="1428">
        <f t="shared" si="0"/>
        <v>1000.5506285937043</v>
      </c>
      <c r="G9" s="1429"/>
      <c r="H9" s="1436">
        <f t="shared" si="1"/>
        <v>5.15</v>
      </c>
      <c r="I9" s="1437"/>
    </row>
    <row r="10" spans="1:9" ht="16.5" customHeight="1">
      <c r="A10" s="620" t="s">
        <v>533</v>
      </c>
      <c r="B10" s="1417">
        <v>230.53</v>
      </c>
      <c r="C10" s="1418"/>
      <c r="D10" s="1413">
        <v>275388</v>
      </c>
      <c r="E10" s="1414"/>
      <c r="F10" s="1428">
        <f t="shared" si="0"/>
        <v>1194.5863878887781</v>
      </c>
      <c r="G10" s="1429"/>
      <c r="H10" s="1436">
        <f t="shared" si="1"/>
        <v>6.9</v>
      </c>
      <c r="I10" s="1437"/>
    </row>
    <row r="11" spans="1:9" ht="16.5" customHeight="1">
      <c r="A11" s="620" t="s">
        <v>573</v>
      </c>
      <c r="B11" s="1417">
        <v>173.93</v>
      </c>
      <c r="C11" s="1418"/>
      <c r="D11" s="1413">
        <v>202080</v>
      </c>
      <c r="E11" s="1414"/>
      <c r="F11" s="1428">
        <f t="shared" si="0"/>
        <v>1161.8467199448053</v>
      </c>
      <c r="G11" s="1429"/>
      <c r="H11" s="1436">
        <f t="shared" si="1"/>
        <v>5.07</v>
      </c>
      <c r="I11" s="1437"/>
    </row>
    <row r="12" spans="1:9" ht="16.5" customHeight="1">
      <c r="A12" s="621" t="s">
        <v>1154</v>
      </c>
      <c r="B12" s="1421">
        <f>SUM(B13:B23)</f>
        <v>2515.4299999999998</v>
      </c>
      <c r="C12" s="1422"/>
      <c r="D12" s="1421">
        <f>SUM(D13:D23)</f>
        <v>2650466</v>
      </c>
      <c r="E12" s="1422"/>
      <c r="F12" s="1426">
        <f t="shared" si="0"/>
        <v>1053.6830681036643</v>
      </c>
      <c r="G12" s="1427"/>
      <c r="H12" s="1421">
        <f>SUM(H13:H23)</f>
        <v>66.45</v>
      </c>
      <c r="I12" s="1422"/>
    </row>
    <row r="13" spans="1:9" ht="16.5" customHeight="1">
      <c r="A13" s="620" t="s">
        <v>576</v>
      </c>
      <c r="B13" s="1417">
        <v>513.65</v>
      </c>
      <c r="C13" s="1418"/>
      <c r="D13" s="1413">
        <v>343830</v>
      </c>
      <c r="E13" s="1414"/>
      <c r="F13" s="1428">
        <f t="shared" si="0"/>
        <v>669.38576851941991</v>
      </c>
      <c r="G13" s="1429"/>
      <c r="H13" s="1436">
        <f t="shared" ref="H13:H23" si="2">ROUND(D13/$D$24*100,2)</f>
        <v>8.6199999999999992</v>
      </c>
      <c r="I13" s="1437"/>
    </row>
    <row r="14" spans="1:9" ht="16.5" customHeight="1">
      <c r="A14" s="620" t="s">
        <v>1510</v>
      </c>
      <c r="B14" s="1417">
        <v>205.91</v>
      </c>
      <c r="C14" s="1418"/>
      <c r="D14" s="1413">
        <v>143906</v>
      </c>
      <c r="E14" s="1414"/>
      <c r="F14" s="1428">
        <f t="shared" si="0"/>
        <v>698.87815064834149</v>
      </c>
      <c r="G14" s="1429"/>
      <c r="H14" s="1436">
        <f t="shared" si="2"/>
        <v>3.61</v>
      </c>
      <c r="I14" s="1437"/>
    </row>
    <row r="15" spans="1:9" ht="16.5" customHeight="1">
      <c r="A15" s="620" t="s">
        <v>577</v>
      </c>
      <c r="B15" s="1417">
        <v>396.07</v>
      </c>
      <c r="C15" s="1418"/>
      <c r="D15" s="1413">
        <v>210699</v>
      </c>
      <c r="E15" s="1414"/>
      <c r="F15" s="1428">
        <f t="shared" si="0"/>
        <v>531.97414598429566</v>
      </c>
      <c r="G15" s="1429"/>
      <c r="H15" s="1436">
        <f t="shared" si="2"/>
        <v>5.28</v>
      </c>
      <c r="I15" s="1437"/>
    </row>
    <row r="16" spans="1:9" ht="16.5" customHeight="1">
      <c r="A16" s="620" t="s">
        <v>578</v>
      </c>
      <c r="B16" s="1417">
        <v>215.66</v>
      </c>
      <c r="C16" s="1418"/>
      <c r="D16" s="1413">
        <v>156365</v>
      </c>
      <c r="E16" s="1414"/>
      <c r="F16" s="1428">
        <f t="shared" si="0"/>
        <v>725.05332467773349</v>
      </c>
      <c r="G16" s="1429"/>
      <c r="H16" s="1436">
        <f t="shared" si="2"/>
        <v>3.92</v>
      </c>
      <c r="I16" s="1437"/>
    </row>
    <row r="17" spans="1:9" ht="16.5" customHeight="1">
      <c r="A17" s="620" t="s">
        <v>490</v>
      </c>
      <c r="B17" s="1417">
        <v>251.52</v>
      </c>
      <c r="C17" s="1418"/>
      <c r="D17" s="1417">
        <v>274627</v>
      </c>
      <c r="E17" s="1418"/>
      <c r="F17" s="1428">
        <f t="shared" si="0"/>
        <v>1091.8694338422392</v>
      </c>
      <c r="G17" s="1429"/>
      <c r="H17" s="1436">
        <f>ROUND(D17/$D$24*100,2)+0.01</f>
        <v>6.89</v>
      </c>
      <c r="I17" s="1437"/>
    </row>
    <row r="18" spans="1:9" ht="16.5" customHeight="1">
      <c r="A18" s="620" t="s">
        <v>580</v>
      </c>
      <c r="B18" s="1413">
        <v>321.77</v>
      </c>
      <c r="C18" s="1414"/>
      <c r="D18" s="1415">
        <v>269813</v>
      </c>
      <c r="E18" s="1416"/>
      <c r="F18" s="1428">
        <f t="shared" si="0"/>
        <v>838.52751965689788</v>
      </c>
      <c r="G18" s="1429"/>
      <c r="H18" s="1436">
        <f t="shared" si="2"/>
        <v>6.76</v>
      </c>
      <c r="I18" s="1437"/>
    </row>
    <row r="19" spans="1:9" ht="16.5" customHeight="1">
      <c r="A19" s="620" t="s">
        <v>585</v>
      </c>
      <c r="B19" s="1413">
        <v>105.37</v>
      </c>
      <c r="C19" s="1414"/>
      <c r="D19" s="1415">
        <v>392517</v>
      </c>
      <c r="E19" s="1416"/>
      <c r="F19" s="1428">
        <f t="shared" si="0"/>
        <v>3725.1304925500617</v>
      </c>
      <c r="G19" s="1429"/>
      <c r="H19" s="1436">
        <f t="shared" si="2"/>
        <v>9.84</v>
      </c>
      <c r="I19" s="1437"/>
    </row>
    <row r="20" spans="1:9" ht="16.5" customHeight="1">
      <c r="A20" s="620" t="s">
        <v>586</v>
      </c>
      <c r="B20" s="1413">
        <v>222.73</v>
      </c>
      <c r="C20" s="1414"/>
      <c r="D20" s="1415">
        <v>210105</v>
      </c>
      <c r="E20" s="1416"/>
      <c r="F20" s="1428">
        <f t="shared" si="0"/>
        <v>943.31702060791099</v>
      </c>
      <c r="G20" s="1429"/>
      <c r="H20" s="1436">
        <f t="shared" si="2"/>
        <v>5.27</v>
      </c>
      <c r="I20" s="1437"/>
    </row>
    <row r="21" spans="1:9" ht="16.5" customHeight="1">
      <c r="A21" s="620" t="s">
        <v>587</v>
      </c>
      <c r="B21" s="1413">
        <v>260.12</v>
      </c>
      <c r="C21" s="1414"/>
      <c r="D21" s="1415">
        <v>359071</v>
      </c>
      <c r="E21" s="1416"/>
      <c r="F21" s="1428">
        <f t="shared" si="0"/>
        <v>1380.4051976011071</v>
      </c>
      <c r="G21" s="1429"/>
      <c r="H21" s="1436">
        <f t="shared" si="2"/>
        <v>9</v>
      </c>
      <c r="I21" s="1437"/>
    </row>
    <row r="22" spans="1:9" ht="16.5" customHeight="1">
      <c r="A22" s="620" t="s">
        <v>1511</v>
      </c>
      <c r="B22" s="1419">
        <v>9</v>
      </c>
      <c r="C22" s="1420"/>
      <c r="D22" s="1417">
        <v>84012</v>
      </c>
      <c r="E22" s="1418"/>
      <c r="F22" s="1428">
        <f t="shared" si="0"/>
        <v>9334.6666666666661</v>
      </c>
      <c r="G22" s="1429"/>
      <c r="H22" s="1436">
        <f t="shared" si="2"/>
        <v>2.11</v>
      </c>
      <c r="I22" s="1437"/>
    </row>
    <row r="23" spans="1:9" ht="16.5" customHeight="1">
      <c r="A23" s="620" t="s">
        <v>579</v>
      </c>
      <c r="B23" s="1413">
        <v>13.63</v>
      </c>
      <c r="C23" s="1414"/>
      <c r="D23" s="1415">
        <v>205521</v>
      </c>
      <c r="E23" s="1416"/>
      <c r="F23" s="1428">
        <f t="shared" si="0"/>
        <v>15078.576669112252</v>
      </c>
      <c r="G23" s="1429"/>
      <c r="H23" s="1442">
        <f t="shared" si="2"/>
        <v>5.15</v>
      </c>
      <c r="I23" s="1443"/>
    </row>
    <row r="24" spans="1:9" ht="15" customHeight="1">
      <c r="A24" s="1223" t="s">
        <v>1534</v>
      </c>
      <c r="B24" s="1423">
        <v>3733</v>
      </c>
      <c r="C24" s="1424"/>
      <c r="D24" s="1411">
        <f>SUM(D5,D12)</f>
        <v>3988845</v>
      </c>
      <c r="E24" s="1412"/>
      <c r="F24" s="1438">
        <f t="shared" si="0"/>
        <v>1068.5360300026789</v>
      </c>
      <c r="G24" s="1439"/>
      <c r="H24" s="1423">
        <f>ROUND(D24/$D$24*100,2)</f>
        <v>100</v>
      </c>
      <c r="I24" s="1424"/>
    </row>
    <row r="25" spans="1:9" ht="12.75" customHeight="1">
      <c r="A25" s="1393" t="s">
        <v>424</v>
      </c>
      <c r="B25" s="1393"/>
      <c r="C25" s="1393"/>
      <c r="D25" s="1393"/>
      <c r="I25" s="846" t="s">
        <v>555</v>
      </c>
    </row>
    <row r="26" spans="1:9">
      <c r="A26" s="1394"/>
      <c r="B26" s="1394"/>
      <c r="C26" s="1394"/>
      <c r="D26" s="1394"/>
    </row>
    <row r="27" spans="1:9">
      <c r="A27" s="1331"/>
      <c r="B27" s="1331"/>
      <c r="C27" s="1331"/>
      <c r="D27" s="1331"/>
      <c r="E27" s="1331"/>
      <c r="F27" s="1331"/>
      <c r="G27" s="1331"/>
      <c r="H27" s="1331"/>
    </row>
    <row r="28" spans="1:9">
      <c r="A28" s="1363" t="s">
        <v>1334</v>
      </c>
      <c r="B28" s="1363"/>
      <c r="C28" s="1363"/>
      <c r="D28" s="1363"/>
      <c r="E28" s="1363"/>
      <c r="F28" s="1363"/>
      <c r="G28" s="1363"/>
      <c r="H28" s="1363"/>
      <c r="I28" s="1363"/>
    </row>
    <row r="29" spans="1:9" ht="14.25" customHeight="1">
      <c r="A29" s="1374" t="str">
        <f>CONCATENATE("Growth of Population by sex on different Census years in the district of ",District!$A$1)</f>
        <v>Growth of Population by sex on different Census years in the district of Malda</v>
      </c>
      <c r="B29" s="1374"/>
      <c r="C29" s="1374"/>
      <c r="D29" s="1374"/>
      <c r="E29" s="1374"/>
      <c r="F29" s="1374"/>
      <c r="G29" s="1374"/>
      <c r="H29" s="1374"/>
      <c r="I29" s="1374"/>
    </row>
    <row r="30" spans="1:9">
      <c r="B30" s="7"/>
      <c r="C30" s="7"/>
      <c r="D30" s="7"/>
      <c r="E30" s="7"/>
      <c r="F30" s="7"/>
      <c r="I30" s="846" t="s">
        <v>1552</v>
      </c>
    </row>
    <row r="31" spans="1:9" ht="53.25" customHeight="1">
      <c r="A31" s="258" t="s">
        <v>1089</v>
      </c>
      <c r="B31" s="258" t="s">
        <v>91</v>
      </c>
      <c r="C31" s="258" t="s">
        <v>1264</v>
      </c>
      <c r="D31" s="772" t="s">
        <v>1428</v>
      </c>
      <c r="E31" s="258" t="s">
        <v>1429</v>
      </c>
      <c r="F31" s="772" t="s">
        <v>847</v>
      </c>
      <c r="G31" s="258" t="s">
        <v>358</v>
      </c>
      <c r="H31" s="772" t="s">
        <v>361</v>
      </c>
      <c r="I31" s="258" t="s">
        <v>848</v>
      </c>
    </row>
    <row r="32" spans="1:9" ht="15" customHeight="1">
      <c r="A32" s="151" t="s">
        <v>1208</v>
      </c>
      <c r="B32" s="152" t="s">
        <v>1209</v>
      </c>
      <c r="C32" s="151" t="s">
        <v>1210</v>
      </c>
      <c r="D32" s="152" t="s">
        <v>1211</v>
      </c>
      <c r="E32" s="151" t="s">
        <v>1212</v>
      </c>
      <c r="F32" s="152" t="s">
        <v>1213</v>
      </c>
      <c r="G32" s="151" t="s">
        <v>1214</v>
      </c>
      <c r="H32" s="152" t="s">
        <v>1244</v>
      </c>
      <c r="I32" s="151" t="s">
        <v>1245</v>
      </c>
    </row>
    <row r="33" spans="1:9" ht="18" customHeight="1">
      <c r="A33" s="251">
        <v>1901</v>
      </c>
      <c r="B33" s="81">
        <v>603649</v>
      </c>
      <c r="C33" s="115">
        <f>ROUND(B33/$B$33*100,0)</f>
        <v>100</v>
      </c>
      <c r="D33" s="136">
        <v>300743</v>
      </c>
      <c r="E33" s="49">
        <f t="shared" ref="E33:E44" si="3">B33-D33</f>
        <v>302906</v>
      </c>
      <c r="F33" s="115">
        <f t="shared" ref="F33:F44" si="4">ROUND(E33/D33*100,0)</f>
        <v>101</v>
      </c>
      <c r="G33" s="136">
        <v>17410</v>
      </c>
      <c r="H33" s="115">
        <f t="shared" ref="H33:H44" si="5">B33-G33</f>
        <v>586239</v>
      </c>
      <c r="I33" s="903">
        <f t="shared" ref="I33:I44" si="6">ROUND(H33/B33*100,2)</f>
        <v>97.12</v>
      </c>
    </row>
    <row r="34" spans="1:9" ht="18" customHeight="1">
      <c r="A34" s="181">
        <v>1911</v>
      </c>
      <c r="B34" s="41">
        <v>698547</v>
      </c>
      <c r="C34" s="116">
        <f>ROUND(B34/$B$33*100,0)</f>
        <v>116</v>
      </c>
      <c r="D34" s="116">
        <v>348522</v>
      </c>
      <c r="E34" s="41">
        <f t="shared" si="3"/>
        <v>350025</v>
      </c>
      <c r="F34" s="116">
        <f t="shared" si="4"/>
        <v>100</v>
      </c>
      <c r="G34" s="116">
        <v>18072</v>
      </c>
      <c r="H34" s="116">
        <f t="shared" si="5"/>
        <v>680475</v>
      </c>
      <c r="I34" s="104">
        <f t="shared" si="6"/>
        <v>97.41</v>
      </c>
    </row>
    <row r="35" spans="1:9" ht="18" customHeight="1">
      <c r="A35" s="181">
        <v>1921</v>
      </c>
      <c r="B35" s="41">
        <v>686174</v>
      </c>
      <c r="C35" s="116">
        <f t="shared" ref="C35:C44" si="7">ROUND(B35/$B$33*100,0)</f>
        <v>114</v>
      </c>
      <c r="D35" s="116">
        <v>344650</v>
      </c>
      <c r="E35" s="41">
        <f t="shared" si="3"/>
        <v>341524</v>
      </c>
      <c r="F35" s="116">
        <f t="shared" si="4"/>
        <v>99</v>
      </c>
      <c r="G35" s="116">
        <v>17202</v>
      </c>
      <c r="H35" s="116">
        <f t="shared" si="5"/>
        <v>668972</v>
      </c>
      <c r="I35" s="104">
        <f t="shared" si="6"/>
        <v>97.49</v>
      </c>
    </row>
    <row r="36" spans="1:9" ht="18" customHeight="1">
      <c r="A36" s="181">
        <v>1931</v>
      </c>
      <c r="B36" s="41">
        <v>720440</v>
      </c>
      <c r="C36" s="116">
        <f t="shared" si="7"/>
        <v>119</v>
      </c>
      <c r="D36" s="116">
        <v>362168</v>
      </c>
      <c r="E36" s="41">
        <f t="shared" si="3"/>
        <v>358272</v>
      </c>
      <c r="F36" s="116">
        <f t="shared" si="4"/>
        <v>99</v>
      </c>
      <c r="G36" s="116">
        <v>19686</v>
      </c>
      <c r="H36" s="116">
        <f t="shared" si="5"/>
        <v>700754</v>
      </c>
      <c r="I36" s="104">
        <f t="shared" si="6"/>
        <v>97.27</v>
      </c>
    </row>
    <row r="37" spans="1:9" ht="18" customHeight="1">
      <c r="A37" s="181">
        <v>1941</v>
      </c>
      <c r="B37" s="41">
        <v>844315</v>
      </c>
      <c r="C37" s="116">
        <f t="shared" si="7"/>
        <v>140</v>
      </c>
      <c r="D37" s="116">
        <v>425832</v>
      </c>
      <c r="E37" s="41">
        <f t="shared" si="3"/>
        <v>418483</v>
      </c>
      <c r="F37" s="116">
        <f t="shared" si="4"/>
        <v>98</v>
      </c>
      <c r="G37" s="116">
        <v>27178</v>
      </c>
      <c r="H37" s="116">
        <f t="shared" si="5"/>
        <v>817137</v>
      </c>
      <c r="I37" s="104">
        <f t="shared" si="6"/>
        <v>96.78</v>
      </c>
    </row>
    <row r="38" spans="1:9" ht="18" customHeight="1">
      <c r="A38" s="181">
        <v>1951</v>
      </c>
      <c r="B38" s="41">
        <v>937580</v>
      </c>
      <c r="C38" s="116">
        <f t="shared" si="7"/>
        <v>155</v>
      </c>
      <c r="D38" s="116">
        <v>476794</v>
      </c>
      <c r="E38" s="41">
        <f t="shared" si="3"/>
        <v>460786</v>
      </c>
      <c r="F38" s="116">
        <f t="shared" si="4"/>
        <v>97</v>
      </c>
      <c r="G38" s="116">
        <v>35161</v>
      </c>
      <c r="H38" s="116">
        <f t="shared" si="5"/>
        <v>902419</v>
      </c>
      <c r="I38" s="104">
        <f t="shared" si="6"/>
        <v>96.25</v>
      </c>
    </row>
    <row r="39" spans="1:9" ht="18" customHeight="1">
      <c r="A39" s="181">
        <v>1961</v>
      </c>
      <c r="B39" s="41">
        <v>1221923</v>
      </c>
      <c r="C39" s="116">
        <f t="shared" si="7"/>
        <v>202</v>
      </c>
      <c r="D39" s="116">
        <v>621990</v>
      </c>
      <c r="E39" s="41">
        <f t="shared" si="3"/>
        <v>599933</v>
      </c>
      <c r="F39" s="116">
        <f t="shared" si="4"/>
        <v>96</v>
      </c>
      <c r="G39" s="116">
        <v>50785</v>
      </c>
      <c r="H39" s="116">
        <f t="shared" si="5"/>
        <v>1171138</v>
      </c>
      <c r="I39" s="104">
        <f t="shared" si="6"/>
        <v>95.84</v>
      </c>
    </row>
    <row r="40" spans="1:9" ht="18" customHeight="1">
      <c r="A40" s="181">
        <v>1971</v>
      </c>
      <c r="B40" s="41">
        <v>1612657</v>
      </c>
      <c r="C40" s="116">
        <f t="shared" si="7"/>
        <v>267</v>
      </c>
      <c r="D40" s="116">
        <v>827706</v>
      </c>
      <c r="E40" s="41">
        <f t="shared" si="3"/>
        <v>784951</v>
      </c>
      <c r="F40" s="116">
        <f t="shared" si="4"/>
        <v>95</v>
      </c>
      <c r="G40" s="116">
        <v>68026</v>
      </c>
      <c r="H40" s="116">
        <f t="shared" si="5"/>
        <v>1544631</v>
      </c>
      <c r="I40" s="104">
        <f t="shared" si="6"/>
        <v>95.78</v>
      </c>
    </row>
    <row r="41" spans="1:9" ht="18" customHeight="1">
      <c r="A41" s="181">
        <v>1981</v>
      </c>
      <c r="B41" s="41">
        <v>2031871</v>
      </c>
      <c r="C41" s="116">
        <f t="shared" si="7"/>
        <v>337</v>
      </c>
      <c r="D41" s="116">
        <v>1042498</v>
      </c>
      <c r="E41" s="41">
        <f t="shared" si="3"/>
        <v>989373</v>
      </c>
      <c r="F41" s="116">
        <f t="shared" si="4"/>
        <v>95</v>
      </c>
      <c r="G41" s="116">
        <v>97196</v>
      </c>
      <c r="H41" s="116">
        <f t="shared" si="5"/>
        <v>1934675</v>
      </c>
      <c r="I41" s="104">
        <f t="shared" si="6"/>
        <v>95.22</v>
      </c>
    </row>
    <row r="42" spans="1:9" ht="18" customHeight="1">
      <c r="A42" s="181">
        <v>1991</v>
      </c>
      <c r="B42" s="41">
        <v>2637032</v>
      </c>
      <c r="C42" s="116">
        <f t="shared" si="7"/>
        <v>437</v>
      </c>
      <c r="D42" s="116">
        <v>1360541</v>
      </c>
      <c r="E42" s="41">
        <f t="shared" si="3"/>
        <v>1276491</v>
      </c>
      <c r="F42" s="116">
        <f t="shared" si="4"/>
        <v>94</v>
      </c>
      <c r="G42" s="116">
        <v>186537</v>
      </c>
      <c r="H42" s="116">
        <f t="shared" si="5"/>
        <v>2450495</v>
      </c>
      <c r="I42" s="104">
        <f t="shared" si="6"/>
        <v>92.93</v>
      </c>
    </row>
    <row r="43" spans="1:9" ht="18" customHeight="1">
      <c r="A43" s="180">
        <v>2001</v>
      </c>
      <c r="B43" s="41">
        <v>3290468</v>
      </c>
      <c r="C43" s="116">
        <f t="shared" si="7"/>
        <v>545</v>
      </c>
      <c r="D43" s="116">
        <v>1689406</v>
      </c>
      <c r="E43" s="41">
        <f t="shared" si="3"/>
        <v>1601062</v>
      </c>
      <c r="F43" s="116">
        <f t="shared" si="4"/>
        <v>95</v>
      </c>
      <c r="G43" s="116">
        <v>240940</v>
      </c>
      <c r="H43" s="116">
        <f t="shared" si="5"/>
        <v>3049528</v>
      </c>
      <c r="I43" s="104">
        <f t="shared" si="6"/>
        <v>92.68</v>
      </c>
    </row>
    <row r="44" spans="1:9" ht="18" customHeight="1">
      <c r="A44" s="252">
        <v>2011</v>
      </c>
      <c r="B44" s="29">
        <v>3988845</v>
      </c>
      <c r="C44" s="117">
        <f t="shared" si="7"/>
        <v>661</v>
      </c>
      <c r="D44" s="117">
        <v>2051541</v>
      </c>
      <c r="E44" s="29">
        <f t="shared" si="3"/>
        <v>1937304</v>
      </c>
      <c r="F44" s="117">
        <f t="shared" si="4"/>
        <v>94</v>
      </c>
      <c r="G44" s="117">
        <v>541660</v>
      </c>
      <c r="H44" s="117">
        <f t="shared" si="5"/>
        <v>3447185</v>
      </c>
      <c r="I44" s="111">
        <f t="shared" si="6"/>
        <v>86.42</v>
      </c>
    </row>
    <row r="45" spans="1:9">
      <c r="I45" s="954" t="s">
        <v>983</v>
      </c>
    </row>
  </sheetData>
  <mergeCells count="94">
    <mergeCell ref="A25:D26"/>
    <mergeCell ref="H5:I5"/>
    <mergeCell ref="H24:I24"/>
    <mergeCell ref="H23:I23"/>
    <mergeCell ref="H18:I18"/>
    <mergeCell ref="H17:I17"/>
    <mergeCell ref="H16:I16"/>
    <mergeCell ref="H15:I15"/>
    <mergeCell ref="H22:I22"/>
    <mergeCell ref="H21:I21"/>
    <mergeCell ref="F23:G23"/>
    <mergeCell ref="H4:I4"/>
    <mergeCell ref="H14:I14"/>
    <mergeCell ref="H13:I13"/>
    <mergeCell ref="H12:I12"/>
    <mergeCell ref="H11:I11"/>
    <mergeCell ref="H10:I10"/>
    <mergeCell ref="H9:I9"/>
    <mergeCell ref="H8:I8"/>
    <mergeCell ref="H7:I7"/>
    <mergeCell ref="F22:G22"/>
    <mergeCell ref="F7:G7"/>
    <mergeCell ref="F8:G8"/>
    <mergeCell ref="F9:G9"/>
    <mergeCell ref="F11:G11"/>
    <mergeCell ref="F12:G12"/>
    <mergeCell ref="F13:G13"/>
    <mergeCell ref="F10:G10"/>
    <mergeCell ref="H6:I6"/>
    <mergeCell ref="H20:I20"/>
    <mergeCell ref="H19:I19"/>
    <mergeCell ref="F14:G14"/>
    <mergeCell ref="F19:G19"/>
    <mergeCell ref="F20:G20"/>
    <mergeCell ref="F15:G15"/>
    <mergeCell ref="F16:G16"/>
    <mergeCell ref="F17:G17"/>
    <mergeCell ref="F18:G18"/>
    <mergeCell ref="A1:I1"/>
    <mergeCell ref="A2:I2"/>
    <mergeCell ref="H3:I3"/>
    <mergeCell ref="B3:C3"/>
    <mergeCell ref="D3:E3"/>
    <mergeCell ref="F3:G3"/>
    <mergeCell ref="B7:C7"/>
    <mergeCell ref="B8:C8"/>
    <mergeCell ref="F4:G4"/>
    <mergeCell ref="F5:G5"/>
    <mergeCell ref="F6:G6"/>
    <mergeCell ref="D18:E18"/>
    <mergeCell ref="D17:E17"/>
    <mergeCell ref="B4:C4"/>
    <mergeCell ref="D8:E8"/>
    <mergeCell ref="D7:E7"/>
    <mergeCell ref="D6:E6"/>
    <mergeCell ref="D5:E5"/>
    <mergeCell ref="D4:E4"/>
    <mergeCell ref="B5:C5"/>
    <mergeCell ref="B6:C6"/>
    <mergeCell ref="A29:I29"/>
    <mergeCell ref="B11:C11"/>
    <mergeCell ref="B12:C12"/>
    <mergeCell ref="B13:C13"/>
    <mergeCell ref="B14:C14"/>
    <mergeCell ref="A28:I28"/>
    <mergeCell ref="B19:C19"/>
    <mergeCell ref="D12:E12"/>
    <mergeCell ref="A27:H27"/>
    <mergeCell ref="B17:C17"/>
    <mergeCell ref="B18:C18"/>
    <mergeCell ref="B23:C23"/>
    <mergeCell ref="B24:C24"/>
    <mergeCell ref="F24:G24"/>
    <mergeCell ref="F21:G21"/>
    <mergeCell ref="D21:E21"/>
    <mergeCell ref="B21:C21"/>
    <mergeCell ref="B22:C22"/>
    <mergeCell ref="B9:C9"/>
    <mergeCell ref="B10:C10"/>
    <mergeCell ref="B15:C15"/>
    <mergeCell ref="B16:C16"/>
    <mergeCell ref="D11:E11"/>
    <mergeCell ref="D10:E10"/>
    <mergeCell ref="D9:E9"/>
    <mergeCell ref="D24:E24"/>
    <mergeCell ref="B20:C20"/>
    <mergeCell ref="D16:E16"/>
    <mergeCell ref="D15:E15"/>
    <mergeCell ref="D14:E14"/>
    <mergeCell ref="D13:E13"/>
    <mergeCell ref="D20:E20"/>
    <mergeCell ref="D19:E19"/>
    <mergeCell ref="D23:E23"/>
    <mergeCell ref="D22:E22"/>
  </mergeCells>
  <phoneticPr fontId="0" type="noConversion"/>
  <printOptions horizontalCentered="1"/>
  <pageMargins left="0.1" right="0.1" top="0.68" bottom="0.2" header="0.5" footer="0.17"/>
  <pageSetup paperSize="9" orientation="portrait" blackAndWhite="1" horizontalDpi="4294967295" r:id="rId1"/>
  <headerFooter alignWithMargins="0"/>
</worksheet>
</file>

<file path=xl/worksheets/sheet11.xml><?xml version="1.0" encoding="utf-8"?>
<worksheet xmlns="http://schemas.openxmlformats.org/spreadsheetml/2006/main" xmlns:r="http://schemas.openxmlformats.org/officeDocument/2006/relationships">
  <sheetPr codeName="Sheet61"/>
  <dimension ref="A1:J62"/>
  <sheetViews>
    <sheetView workbookViewId="0">
      <selection activeCell="M5" sqref="M5"/>
    </sheetView>
  </sheetViews>
  <sheetFormatPr defaultRowHeight="12.75"/>
  <cols>
    <col min="1" max="1" width="22.28515625" customWidth="1"/>
    <col min="2" max="10" width="12" customWidth="1"/>
    <col min="21" max="21" width="9.28515625" customWidth="1"/>
  </cols>
  <sheetData>
    <row r="1" spans="1:10">
      <c r="A1" s="1363" t="s">
        <v>1341</v>
      </c>
      <c r="B1" s="1363"/>
      <c r="C1" s="1363"/>
      <c r="D1" s="1363"/>
      <c r="E1" s="1363"/>
      <c r="F1" s="1363"/>
      <c r="G1" s="1363"/>
      <c r="H1" s="1363"/>
      <c r="I1" s="1363"/>
      <c r="J1" s="1363"/>
    </row>
    <row r="2" spans="1:10" ht="17.25" customHeight="1">
      <c r="A2" s="1367" t="str">
        <f>CONCATENATE("Distribution of Rural and Urban Population by sex in the district of ",District!$A$1,", 2001")</f>
        <v>Distribution of Rural and Urban Population by sex in the district of Malda, 2001</v>
      </c>
      <c r="B2" s="1367"/>
      <c r="C2" s="1367"/>
      <c r="D2" s="1367"/>
      <c r="E2" s="1367"/>
      <c r="F2" s="1367"/>
      <c r="G2" s="1367"/>
      <c r="H2" s="1367"/>
      <c r="I2" s="1367"/>
      <c r="J2" s="1367"/>
    </row>
    <row r="3" spans="1:10">
      <c r="B3" s="4"/>
      <c r="C3" s="4"/>
      <c r="D3" s="4"/>
      <c r="E3" s="4"/>
      <c r="F3" s="4"/>
      <c r="G3" s="4"/>
      <c r="H3" s="4"/>
      <c r="I3" s="4"/>
      <c r="J3" s="159" t="s">
        <v>1253</v>
      </c>
    </row>
    <row r="4" spans="1:10" ht="15" customHeight="1">
      <c r="A4" s="1346" t="s">
        <v>854</v>
      </c>
      <c r="B4" s="1357" t="s">
        <v>1600</v>
      </c>
      <c r="C4" s="1357"/>
      <c r="D4" s="1358"/>
      <c r="E4" s="1356" t="s">
        <v>1601</v>
      </c>
      <c r="F4" s="1357"/>
      <c r="G4" s="1358"/>
      <c r="H4" s="1356" t="s">
        <v>1602</v>
      </c>
      <c r="I4" s="1357"/>
      <c r="J4" s="1358"/>
    </row>
    <row r="5" spans="1:10" ht="18" customHeight="1">
      <c r="A5" s="1347"/>
      <c r="B5" s="296" t="s">
        <v>1265</v>
      </c>
      <c r="C5" s="261" t="s">
        <v>1266</v>
      </c>
      <c r="D5" s="298" t="s">
        <v>1233</v>
      </c>
      <c r="E5" s="263" t="s">
        <v>1265</v>
      </c>
      <c r="F5" s="525" t="s">
        <v>1266</v>
      </c>
      <c r="G5" s="261" t="s">
        <v>1233</v>
      </c>
      <c r="H5" s="263" t="s">
        <v>1265</v>
      </c>
      <c r="I5" s="261" t="s">
        <v>1266</v>
      </c>
      <c r="J5" s="261" t="s">
        <v>1233</v>
      </c>
    </row>
    <row r="6" spans="1:10" ht="15" customHeight="1">
      <c r="A6" s="169" t="s">
        <v>1208</v>
      </c>
      <c r="B6" s="163" t="s">
        <v>1209</v>
      </c>
      <c r="C6" s="167" t="s">
        <v>1210</v>
      </c>
      <c r="D6" s="164" t="s">
        <v>1211</v>
      </c>
      <c r="E6" s="135" t="s">
        <v>1212</v>
      </c>
      <c r="F6" s="135" t="s">
        <v>1213</v>
      </c>
      <c r="G6" s="167" t="s">
        <v>1214</v>
      </c>
      <c r="H6" s="135" t="s">
        <v>1244</v>
      </c>
      <c r="I6" s="167" t="s">
        <v>1245</v>
      </c>
      <c r="J6" s="167" t="s">
        <v>1246</v>
      </c>
    </row>
    <row r="7" spans="1:10" ht="20.100000000000001" customHeight="1">
      <c r="A7" s="411" t="s">
        <v>1155</v>
      </c>
      <c r="B7" s="384">
        <f>SUM(B8:B13)</f>
        <v>553229</v>
      </c>
      <c r="C7" s="397">
        <f t="shared" ref="C7:I7" si="0">SUM(C8:C13)</f>
        <v>524872</v>
      </c>
      <c r="D7" s="385">
        <f>IF(SUM(B7,C7)=0,"-",SUM(B7,C7))</f>
        <v>1078101</v>
      </c>
      <c r="E7" s="384" t="str">
        <f>IF(SUM(E8:E13)=0,"-",SUM(E8:E13))</f>
        <v>-</v>
      </c>
      <c r="F7" s="383" t="str">
        <f>IF(SUM(F8:F13)=0,"-",SUM(F8:F13))</f>
        <v>-</v>
      </c>
      <c r="G7" s="397" t="str">
        <f>IF(SUM(E7,F7)=0,"-",SUM(E7,F7))</f>
        <v>-</v>
      </c>
      <c r="H7" s="397">
        <f t="shared" si="0"/>
        <v>553229</v>
      </c>
      <c r="I7" s="384">
        <f t="shared" si="0"/>
        <v>524872</v>
      </c>
      <c r="J7" s="397">
        <f>IF(SUM(H7,I7)=0,"-",SUM(H7,I7))</f>
        <v>1078101</v>
      </c>
    </row>
    <row r="8" spans="1:10" ht="20.100000000000001" customHeight="1">
      <c r="A8" s="181" t="s">
        <v>1051</v>
      </c>
      <c r="B8" s="80">
        <v>83113</v>
      </c>
      <c r="C8" s="116">
        <v>79293</v>
      </c>
      <c r="D8" s="114">
        <f t="shared" ref="D8:D23" si="1">IF(SUM(B8:C8)=0,"-",SUM(B8:C8))</f>
        <v>162406</v>
      </c>
      <c r="E8" s="80" t="s">
        <v>1509</v>
      </c>
      <c r="F8" s="121" t="s">
        <v>1509</v>
      </c>
      <c r="G8" s="112" t="str">
        <f t="shared" ref="G8:G13" si="2">IF(SUM(E8:F8)=0,"-",SUM(E8:F8))</f>
        <v>-</v>
      </c>
      <c r="H8" s="121">
        <f t="shared" ref="H8:I13" si="3">SUM(B8,E8)</f>
        <v>83113</v>
      </c>
      <c r="I8" s="121">
        <f t="shared" si="3"/>
        <v>79293</v>
      </c>
      <c r="J8" s="112">
        <f t="shared" ref="J8:J13" si="4">IF(SUM(H8:I8)=0,"-",SUM(H8:I8))</f>
        <v>162406</v>
      </c>
    </row>
    <row r="9" spans="1:10" ht="20.100000000000001" customHeight="1">
      <c r="A9" s="181" t="s">
        <v>457</v>
      </c>
      <c r="B9" s="80">
        <v>102066</v>
      </c>
      <c r="C9" s="116">
        <v>95973</v>
      </c>
      <c r="D9" s="114">
        <f t="shared" si="1"/>
        <v>198039</v>
      </c>
      <c r="E9" s="80" t="s">
        <v>1509</v>
      </c>
      <c r="F9" s="121" t="s">
        <v>1509</v>
      </c>
      <c r="G9" s="112" t="str">
        <f t="shared" si="2"/>
        <v>-</v>
      </c>
      <c r="H9" s="121">
        <f t="shared" si="3"/>
        <v>102066</v>
      </c>
      <c r="I9" s="121">
        <f t="shared" si="3"/>
        <v>95973</v>
      </c>
      <c r="J9" s="112">
        <f t="shared" si="4"/>
        <v>198039</v>
      </c>
    </row>
    <row r="10" spans="1:10" ht="20.100000000000001" customHeight="1">
      <c r="A10" s="181" t="s">
        <v>531</v>
      </c>
      <c r="B10" s="80">
        <v>89182</v>
      </c>
      <c r="C10" s="116">
        <v>85022</v>
      </c>
      <c r="D10" s="114">
        <f t="shared" si="1"/>
        <v>174204</v>
      </c>
      <c r="E10" s="80" t="s">
        <v>1509</v>
      </c>
      <c r="F10" s="121" t="s">
        <v>1509</v>
      </c>
      <c r="G10" s="112" t="str">
        <f t="shared" si="2"/>
        <v>-</v>
      </c>
      <c r="H10" s="121">
        <f t="shared" si="3"/>
        <v>89182</v>
      </c>
      <c r="I10" s="121">
        <f t="shared" si="3"/>
        <v>85022</v>
      </c>
      <c r="J10" s="112">
        <f t="shared" si="4"/>
        <v>174204</v>
      </c>
    </row>
    <row r="11" spans="1:10" ht="20.100000000000001" customHeight="1">
      <c r="A11" s="181" t="s">
        <v>532</v>
      </c>
      <c r="B11" s="80">
        <v>84175</v>
      </c>
      <c r="C11" s="116">
        <v>81017</v>
      </c>
      <c r="D11" s="114">
        <f t="shared" si="1"/>
        <v>165192</v>
      </c>
      <c r="E11" s="80" t="s">
        <v>1509</v>
      </c>
      <c r="F11" s="121" t="s">
        <v>1509</v>
      </c>
      <c r="G11" s="112" t="str">
        <f t="shared" si="2"/>
        <v>-</v>
      </c>
      <c r="H11" s="121">
        <f t="shared" si="3"/>
        <v>84175</v>
      </c>
      <c r="I11" s="121">
        <f t="shared" si="3"/>
        <v>81017</v>
      </c>
      <c r="J11" s="112">
        <f t="shared" si="4"/>
        <v>165192</v>
      </c>
    </row>
    <row r="12" spans="1:10" ht="20.100000000000001" customHeight="1">
      <c r="A12" s="181" t="s">
        <v>533</v>
      </c>
      <c r="B12" s="80">
        <v>112396</v>
      </c>
      <c r="C12" s="116">
        <v>104960</v>
      </c>
      <c r="D12" s="114">
        <f t="shared" si="1"/>
        <v>217356</v>
      </c>
      <c r="E12" s="80" t="s">
        <v>1509</v>
      </c>
      <c r="F12" s="121" t="s">
        <v>1509</v>
      </c>
      <c r="G12" s="112" t="str">
        <f t="shared" si="2"/>
        <v>-</v>
      </c>
      <c r="H12" s="121">
        <f t="shared" si="3"/>
        <v>112396</v>
      </c>
      <c r="I12" s="121">
        <f t="shared" si="3"/>
        <v>104960</v>
      </c>
      <c r="J12" s="112">
        <f t="shared" si="4"/>
        <v>217356</v>
      </c>
    </row>
    <row r="13" spans="1:10" ht="20.100000000000001" customHeight="1">
      <c r="A13" s="181" t="s">
        <v>573</v>
      </c>
      <c r="B13" s="80">
        <v>82297</v>
      </c>
      <c r="C13" s="116">
        <v>78607</v>
      </c>
      <c r="D13" s="114">
        <f t="shared" si="1"/>
        <v>160904</v>
      </c>
      <c r="E13" s="80" t="s">
        <v>1509</v>
      </c>
      <c r="F13" s="121" t="s">
        <v>1509</v>
      </c>
      <c r="G13" s="112" t="str">
        <f t="shared" si="2"/>
        <v>-</v>
      </c>
      <c r="H13" s="121">
        <f t="shared" si="3"/>
        <v>82297</v>
      </c>
      <c r="I13" s="121">
        <f t="shared" si="3"/>
        <v>78607</v>
      </c>
      <c r="J13" s="112">
        <f t="shared" si="4"/>
        <v>160904</v>
      </c>
    </row>
    <row r="14" spans="1:10" ht="20.100000000000001" customHeight="1">
      <c r="A14" s="397" t="s">
        <v>1154</v>
      </c>
      <c r="B14" s="384">
        <f>SUM(B15:B25)</f>
        <v>1012425</v>
      </c>
      <c r="C14" s="397">
        <f>SUM(C15:C25)</f>
        <v>959002</v>
      </c>
      <c r="D14" s="385">
        <f t="shared" si="1"/>
        <v>1971427</v>
      </c>
      <c r="E14" s="385">
        <f t="shared" ref="E14:J14" si="5">IF(SUM(E15:E25)=0,"-",SUM(E15:E25))</f>
        <v>123752</v>
      </c>
      <c r="F14" s="385">
        <f t="shared" si="5"/>
        <v>117188</v>
      </c>
      <c r="G14" s="385">
        <f t="shared" si="5"/>
        <v>240940</v>
      </c>
      <c r="H14" s="385">
        <f t="shared" si="5"/>
        <v>1136177</v>
      </c>
      <c r="I14" s="385">
        <f t="shared" si="5"/>
        <v>1076190</v>
      </c>
      <c r="J14" s="385">
        <f t="shared" si="5"/>
        <v>2212367</v>
      </c>
    </row>
    <row r="15" spans="1:10" ht="20.100000000000001" customHeight="1">
      <c r="A15" s="181" t="s">
        <v>576</v>
      </c>
      <c r="B15" s="80">
        <v>150303</v>
      </c>
      <c r="C15" s="116">
        <v>144412</v>
      </c>
      <c r="D15" s="114">
        <f t="shared" si="1"/>
        <v>294715</v>
      </c>
      <c r="E15" s="80" t="s">
        <v>1509</v>
      </c>
      <c r="F15" s="121" t="s">
        <v>1509</v>
      </c>
      <c r="G15" s="112" t="str">
        <f t="shared" ref="G15:G23" si="6">IF(SUM(E15:F15)=0,"-",SUM(E15:F15))</f>
        <v>-</v>
      </c>
      <c r="H15" s="121">
        <f t="shared" ref="H15:I23" si="7">SUM(B15,E15)</f>
        <v>150303</v>
      </c>
      <c r="I15" s="121">
        <f t="shared" si="7"/>
        <v>144412</v>
      </c>
      <c r="J15" s="112">
        <f t="shared" ref="J15:J23" si="8">IF(SUM(H15:I15)=0,"-",SUM(H15:I15))</f>
        <v>294715</v>
      </c>
    </row>
    <row r="16" spans="1:10" ht="20.100000000000001" customHeight="1">
      <c r="A16" s="181" t="s">
        <v>1510</v>
      </c>
      <c r="B16" s="80">
        <v>65258</v>
      </c>
      <c r="C16" s="116">
        <v>61994</v>
      </c>
      <c r="D16" s="114">
        <f t="shared" si="1"/>
        <v>127252</v>
      </c>
      <c r="E16" s="80" t="s">
        <v>1509</v>
      </c>
      <c r="F16" s="121" t="s">
        <v>1509</v>
      </c>
      <c r="G16" s="112" t="str">
        <f t="shared" si="6"/>
        <v>-</v>
      </c>
      <c r="H16" s="121">
        <f t="shared" si="7"/>
        <v>65258</v>
      </c>
      <c r="I16" s="121">
        <f t="shared" si="7"/>
        <v>61994</v>
      </c>
      <c r="J16" s="112">
        <f t="shared" si="8"/>
        <v>127252</v>
      </c>
    </row>
    <row r="17" spans="1:10" ht="20.100000000000001" customHeight="1">
      <c r="A17" s="180" t="s">
        <v>577</v>
      </c>
      <c r="B17" s="80">
        <v>86549</v>
      </c>
      <c r="C17" s="116">
        <v>84576</v>
      </c>
      <c r="D17" s="114">
        <f t="shared" si="1"/>
        <v>171125</v>
      </c>
      <c r="E17" s="80">
        <v>8396</v>
      </c>
      <c r="F17" s="121">
        <v>8129</v>
      </c>
      <c r="G17" s="112">
        <f t="shared" si="6"/>
        <v>16525</v>
      </c>
      <c r="H17" s="121">
        <f t="shared" si="7"/>
        <v>94945</v>
      </c>
      <c r="I17" s="121">
        <f t="shared" si="7"/>
        <v>92705</v>
      </c>
      <c r="J17" s="112">
        <f t="shared" si="8"/>
        <v>187650</v>
      </c>
    </row>
    <row r="18" spans="1:10" ht="20.100000000000001" customHeight="1">
      <c r="A18" s="180" t="s">
        <v>578</v>
      </c>
      <c r="B18" s="80">
        <v>67587</v>
      </c>
      <c r="C18" s="116">
        <v>63668</v>
      </c>
      <c r="D18" s="114">
        <f t="shared" si="1"/>
        <v>131255</v>
      </c>
      <c r="E18" s="80" t="s">
        <v>1509</v>
      </c>
      <c r="F18" s="121" t="s">
        <v>1509</v>
      </c>
      <c r="G18" s="112" t="str">
        <f t="shared" si="6"/>
        <v>-</v>
      </c>
      <c r="H18" s="121">
        <f t="shared" si="7"/>
        <v>67587</v>
      </c>
      <c r="I18" s="121">
        <f t="shared" si="7"/>
        <v>63668</v>
      </c>
      <c r="J18" s="112">
        <f t="shared" si="8"/>
        <v>131255</v>
      </c>
    </row>
    <row r="19" spans="1:10" ht="20.100000000000001" customHeight="1">
      <c r="A19" s="180" t="s">
        <v>490</v>
      </c>
      <c r="B19" s="80">
        <v>116457</v>
      </c>
      <c r="C19" s="116">
        <v>109779</v>
      </c>
      <c r="D19" s="114">
        <f t="shared" si="1"/>
        <v>226236</v>
      </c>
      <c r="E19" s="80" t="s">
        <v>1509</v>
      </c>
      <c r="F19" s="121" t="s">
        <v>1509</v>
      </c>
      <c r="G19" s="112" t="str">
        <f t="shared" si="6"/>
        <v>-</v>
      </c>
      <c r="H19" s="121">
        <f t="shared" si="7"/>
        <v>116457</v>
      </c>
      <c r="I19" s="121">
        <f t="shared" si="7"/>
        <v>109779</v>
      </c>
      <c r="J19" s="112">
        <f t="shared" si="8"/>
        <v>226236</v>
      </c>
    </row>
    <row r="20" spans="1:10" ht="20.100000000000001" customHeight="1">
      <c r="A20" s="180" t="s">
        <v>580</v>
      </c>
      <c r="B20" s="80">
        <v>110410</v>
      </c>
      <c r="C20" s="116">
        <v>103717</v>
      </c>
      <c r="D20" s="114">
        <f t="shared" si="1"/>
        <v>214127</v>
      </c>
      <c r="E20" s="80" t="s">
        <v>1509</v>
      </c>
      <c r="F20" s="121" t="s">
        <v>1509</v>
      </c>
      <c r="G20" s="112" t="str">
        <f t="shared" si="6"/>
        <v>-</v>
      </c>
      <c r="H20" s="121">
        <f t="shared" si="7"/>
        <v>110410</v>
      </c>
      <c r="I20" s="121">
        <f t="shared" si="7"/>
        <v>103717</v>
      </c>
      <c r="J20" s="112">
        <f t="shared" si="8"/>
        <v>214127</v>
      </c>
    </row>
    <row r="21" spans="1:10" ht="20.100000000000001" customHeight="1">
      <c r="A21" s="180" t="s">
        <v>585</v>
      </c>
      <c r="B21" s="80">
        <v>160064</v>
      </c>
      <c r="C21" s="116">
        <v>150871</v>
      </c>
      <c r="D21" s="114">
        <f t="shared" si="1"/>
        <v>310935</v>
      </c>
      <c r="E21" s="80" t="s">
        <v>1509</v>
      </c>
      <c r="F21" s="121" t="s">
        <v>1509</v>
      </c>
      <c r="G21" s="112" t="str">
        <f t="shared" si="6"/>
        <v>-</v>
      </c>
      <c r="H21" s="121">
        <f t="shared" si="7"/>
        <v>160064</v>
      </c>
      <c r="I21" s="121">
        <f t="shared" si="7"/>
        <v>150871</v>
      </c>
      <c r="J21" s="112">
        <f t="shared" si="8"/>
        <v>310935</v>
      </c>
    </row>
    <row r="22" spans="1:10" ht="20.100000000000001" customHeight="1">
      <c r="A22" s="180" t="s">
        <v>586</v>
      </c>
      <c r="B22" s="41">
        <v>108921</v>
      </c>
      <c r="C22" s="116">
        <v>102485</v>
      </c>
      <c r="D22" s="114">
        <f t="shared" si="1"/>
        <v>211406</v>
      </c>
      <c r="E22" s="41" t="s">
        <v>1509</v>
      </c>
      <c r="F22" s="121" t="s">
        <v>1509</v>
      </c>
      <c r="G22" s="112" t="str">
        <f t="shared" si="6"/>
        <v>-</v>
      </c>
      <c r="H22" s="121">
        <f t="shared" si="7"/>
        <v>108921</v>
      </c>
      <c r="I22" s="121">
        <f t="shared" si="7"/>
        <v>102485</v>
      </c>
      <c r="J22" s="112">
        <f t="shared" si="8"/>
        <v>211406</v>
      </c>
    </row>
    <row r="23" spans="1:10" ht="20.100000000000001" customHeight="1">
      <c r="A23" s="180" t="s">
        <v>587</v>
      </c>
      <c r="B23" s="41">
        <v>146876</v>
      </c>
      <c r="C23" s="116">
        <v>137500</v>
      </c>
      <c r="D23" s="114">
        <f t="shared" si="1"/>
        <v>284376</v>
      </c>
      <c r="E23" s="41" t="s">
        <v>1509</v>
      </c>
      <c r="F23" s="121" t="s">
        <v>1509</v>
      </c>
      <c r="G23" s="112" t="str">
        <f t="shared" si="6"/>
        <v>-</v>
      </c>
      <c r="H23" s="121">
        <f t="shared" si="7"/>
        <v>146876</v>
      </c>
      <c r="I23" s="121">
        <f t="shared" si="7"/>
        <v>137500</v>
      </c>
      <c r="J23" s="112">
        <f t="shared" si="8"/>
        <v>284376</v>
      </c>
    </row>
    <row r="24" spans="1:10" ht="20.100000000000001" customHeight="1">
      <c r="A24" s="180" t="s">
        <v>1511</v>
      </c>
      <c r="B24" s="80" t="s">
        <v>1509</v>
      </c>
      <c r="C24" s="116" t="s">
        <v>1509</v>
      </c>
      <c r="D24" s="114" t="str">
        <f>IF(SUM(B24:C24)=0,"-",SUM(B24:C24))</f>
        <v>-</v>
      </c>
      <c r="E24" s="112">
        <v>32511</v>
      </c>
      <c r="F24" s="116">
        <v>30448</v>
      </c>
      <c r="G24" s="114">
        <f>IF(SUM(E24:F24)=0,"-",SUM(E24:F24))</f>
        <v>62959</v>
      </c>
      <c r="H24" s="121">
        <f>SUM(B24,E24)</f>
        <v>32511</v>
      </c>
      <c r="I24" s="121">
        <f>SUM(C24,F24)</f>
        <v>30448</v>
      </c>
      <c r="J24" s="112">
        <f>IF(SUM(H24:I24)=0,"-",SUM(H24:I24))</f>
        <v>62959</v>
      </c>
    </row>
    <row r="25" spans="1:10" ht="20.100000000000001" customHeight="1">
      <c r="A25" s="180" t="s">
        <v>579</v>
      </c>
      <c r="B25" s="80" t="s">
        <v>1509</v>
      </c>
      <c r="C25" s="116" t="s">
        <v>1509</v>
      </c>
      <c r="D25" s="114" t="str">
        <f>IF(SUM(B25:C25)=0,"-",SUM(B25:C25))</f>
        <v>-</v>
      </c>
      <c r="E25" s="80">
        <v>82845</v>
      </c>
      <c r="F25" s="121">
        <v>78611</v>
      </c>
      <c r="G25" s="112">
        <f>IF(SUM(E25:F25)=0,"-",SUM(E25:F25))</f>
        <v>161456</v>
      </c>
      <c r="H25" s="121">
        <f>SUM(B25,E25)</f>
        <v>82845</v>
      </c>
      <c r="I25" s="121">
        <f>SUM(C25,F25)</f>
        <v>78611</v>
      </c>
      <c r="J25" s="112">
        <f>IF(SUM(H25:I25)=0,"-",SUM(H25:I25))</f>
        <v>161456</v>
      </c>
    </row>
    <row r="26" spans="1:10" ht="20.100000000000001" customHeight="1">
      <c r="A26" s="276" t="s">
        <v>836</v>
      </c>
      <c r="B26" s="182">
        <f>SUM(B7,B14)</f>
        <v>1565654</v>
      </c>
      <c r="C26" s="276">
        <f t="shared" ref="C26:J26" si="9">SUM(C7,C14)</f>
        <v>1483874</v>
      </c>
      <c r="D26" s="183">
        <f t="shared" si="9"/>
        <v>3049528</v>
      </c>
      <c r="E26" s="182">
        <f t="shared" si="9"/>
        <v>123752</v>
      </c>
      <c r="F26" s="212">
        <f t="shared" si="9"/>
        <v>117188</v>
      </c>
      <c r="G26" s="276">
        <f t="shared" si="9"/>
        <v>240940</v>
      </c>
      <c r="H26" s="212">
        <f t="shared" si="9"/>
        <v>1689406</v>
      </c>
      <c r="I26" s="276">
        <f t="shared" si="9"/>
        <v>1601062</v>
      </c>
      <c r="J26" s="276">
        <f t="shared" si="9"/>
        <v>3290468</v>
      </c>
    </row>
    <row r="27" spans="1:10">
      <c r="A27" s="50"/>
      <c r="B27" s="50"/>
      <c r="C27" s="50"/>
      <c r="D27" s="7"/>
      <c r="E27" s="50"/>
      <c r="F27" s="50"/>
      <c r="G27" s="7"/>
      <c r="J27" s="158" t="s">
        <v>1528</v>
      </c>
    </row>
    <row r="28" spans="1:10">
      <c r="A28" s="50"/>
      <c r="B28" s="50"/>
      <c r="C28" s="50"/>
      <c r="D28" s="7"/>
      <c r="E28" s="50"/>
      <c r="F28" s="50"/>
      <c r="G28" s="7"/>
    </row>
    <row r="29" spans="1:10">
      <c r="A29" s="50"/>
      <c r="B29" s="50"/>
      <c r="C29" s="50"/>
      <c r="D29" s="7"/>
      <c r="E29" s="50"/>
      <c r="F29" s="50"/>
      <c r="G29" s="7"/>
      <c r="H29" s="7"/>
      <c r="I29" s="7"/>
      <c r="J29" s="7"/>
    </row>
    <row r="30" spans="1:10">
      <c r="A30" s="50"/>
      <c r="B30" s="50"/>
      <c r="C30" s="50"/>
      <c r="D30" s="7"/>
      <c r="E30" s="50"/>
      <c r="F30" s="50"/>
      <c r="G30" s="7"/>
      <c r="H30" s="7"/>
      <c r="I30" s="7"/>
      <c r="J30" s="7"/>
    </row>
    <row r="31" spans="1:10">
      <c r="A31" s="50"/>
      <c r="B31" s="50"/>
      <c r="C31" s="50"/>
      <c r="D31" s="7"/>
      <c r="E31" s="50"/>
      <c r="F31" s="50"/>
      <c r="G31" s="7"/>
      <c r="H31" s="7"/>
      <c r="I31" s="7"/>
      <c r="J31" s="7"/>
    </row>
    <row r="32" spans="1:10">
      <c r="A32" s="50"/>
      <c r="B32" s="50"/>
      <c r="C32" s="50"/>
      <c r="D32" s="7"/>
      <c r="E32" s="50"/>
      <c r="F32" s="50"/>
      <c r="G32" s="7"/>
      <c r="H32" s="7"/>
      <c r="I32" s="7"/>
      <c r="J32" s="7"/>
    </row>
    <row r="33" spans="1:10">
      <c r="A33" s="50"/>
      <c r="B33" s="50"/>
      <c r="C33" s="50"/>
      <c r="D33" s="7"/>
      <c r="E33" s="50"/>
      <c r="F33" s="50"/>
      <c r="G33" s="7"/>
      <c r="H33" s="7"/>
      <c r="I33" s="7"/>
      <c r="J33" s="7"/>
    </row>
    <row r="34" spans="1:10">
      <c r="A34" s="50"/>
      <c r="B34" s="50"/>
      <c r="C34" s="50"/>
      <c r="D34" s="7"/>
      <c r="E34" s="50"/>
      <c r="F34" s="50"/>
      <c r="G34" s="7"/>
      <c r="H34" s="7"/>
      <c r="I34" s="7"/>
      <c r="J34" s="7"/>
    </row>
    <row r="35" spans="1:10">
      <c r="A35" s="50"/>
      <c r="B35" s="50"/>
      <c r="C35" s="50"/>
      <c r="D35" s="7"/>
      <c r="E35" s="50"/>
      <c r="F35" s="50"/>
      <c r="G35" s="7"/>
      <c r="H35" s="7"/>
      <c r="I35" s="7"/>
      <c r="J35" s="7"/>
    </row>
    <row r="36" spans="1:10">
      <c r="A36" s="50"/>
      <c r="B36" s="50"/>
      <c r="C36" s="50"/>
      <c r="D36" s="7"/>
      <c r="E36" s="50"/>
      <c r="F36" s="50"/>
      <c r="G36" s="7"/>
      <c r="H36" s="7"/>
      <c r="I36" s="7"/>
      <c r="J36" s="7"/>
    </row>
    <row r="37" spans="1:10">
      <c r="A37" s="50"/>
      <c r="B37" s="50"/>
      <c r="C37" s="50"/>
      <c r="D37" s="7"/>
      <c r="E37" s="50"/>
      <c r="F37" s="50"/>
      <c r="G37" s="7"/>
      <c r="H37" s="7"/>
      <c r="I37" s="7"/>
      <c r="J37" s="7"/>
    </row>
    <row r="38" spans="1:10">
      <c r="A38" s="50"/>
      <c r="B38" s="50"/>
      <c r="C38" s="50"/>
      <c r="D38" s="7"/>
      <c r="E38" s="50"/>
      <c r="F38" s="50"/>
      <c r="G38" s="7"/>
      <c r="H38" s="7"/>
      <c r="I38" s="7"/>
      <c r="J38" s="7"/>
    </row>
    <row r="39" spans="1:10">
      <c r="A39" s="50"/>
      <c r="B39" s="50"/>
      <c r="C39" s="50"/>
      <c r="D39" s="7"/>
      <c r="E39" s="50"/>
      <c r="F39" s="50"/>
      <c r="G39" s="7"/>
      <c r="H39" s="7"/>
      <c r="I39" s="7"/>
      <c r="J39" s="7"/>
    </row>
    <row r="40" spans="1:10">
      <c r="A40" s="50"/>
      <c r="B40" s="50"/>
      <c r="C40" s="50"/>
      <c r="D40" s="7"/>
      <c r="E40" s="50"/>
      <c r="F40" s="50"/>
      <c r="G40" s="7"/>
      <c r="H40" s="7"/>
      <c r="I40" s="7"/>
      <c r="J40" s="7"/>
    </row>
    <row r="41" spans="1:10">
      <c r="A41" s="50"/>
      <c r="B41" s="50"/>
      <c r="C41" s="50"/>
      <c r="D41" s="7"/>
      <c r="E41" s="50"/>
      <c r="F41" s="50"/>
      <c r="G41" s="7"/>
      <c r="H41" s="7"/>
      <c r="I41" s="7"/>
      <c r="J41" s="7"/>
    </row>
    <row r="42" spans="1:10">
      <c r="A42" s="50"/>
      <c r="B42" s="50"/>
      <c r="C42" s="50"/>
      <c r="D42" s="7"/>
      <c r="E42" s="50"/>
      <c r="F42" s="50"/>
      <c r="G42" s="7"/>
      <c r="H42" s="7"/>
      <c r="I42" s="7"/>
      <c r="J42" s="7"/>
    </row>
    <row r="43" spans="1:10">
      <c r="A43" s="50"/>
      <c r="B43" s="50"/>
      <c r="C43" s="50"/>
      <c r="D43" s="7"/>
      <c r="E43" s="50"/>
      <c r="F43" s="50"/>
      <c r="G43" s="7"/>
      <c r="H43" s="7"/>
      <c r="I43" s="7"/>
      <c r="J43" s="7"/>
    </row>
    <row r="44" spans="1:10">
      <c r="A44" s="50"/>
      <c r="B44" s="50"/>
      <c r="C44" s="50"/>
      <c r="D44" s="7"/>
      <c r="E44" s="50"/>
      <c r="F44" s="50"/>
      <c r="G44" s="7"/>
      <c r="H44" s="7"/>
      <c r="I44" s="7"/>
      <c r="J44" s="7"/>
    </row>
    <row r="45" spans="1:10">
      <c r="A45" s="50"/>
      <c r="B45" s="50"/>
      <c r="C45" s="50"/>
      <c r="D45" s="7"/>
      <c r="E45" s="50"/>
      <c r="F45" s="50"/>
      <c r="G45" s="7"/>
      <c r="H45" s="7"/>
      <c r="I45" s="7"/>
      <c r="J45" s="7"/>
    </row>
    <row r="46" spans="1:10">
      <c r="A46" s="50"/>
      <c r="B46" s="50"/>
      <c r="C46" s="50"/>
      <c r="D46" s="7"/>
      <c r="E46" s="50"/>
      <c r="F46" s="50"/>
      <c r="G46" s="7"/>
      <c r="H46" s="7"/>
      <c r="I46" s="7"/>
      <c r="J46" s="7"/>
    </row>
    <row r="47" spans="1:10">
      <c r="A47" s="50"/>
      <c r="B47" s="50"/>
      <c r="C47" s="50"/>
      <c r="D47" s="7"/>
      <c r="E47" s="50"/>
      <c r="F47" s="50"/>
      <c r="G47" s="7"/>
      <c r="H47" s="7"/>
      <c r="I47" s="7"/>
      <c r="J47" s="7"/>
    </row>
    <row r="48" spans="1:10">
      <c r="A48" s="50"/>
      <c r="B48" s="50"/>
      <c r="C48" s="50"/>
      <c r="D48" s="7"/>
      <c r="E48" s="50"/>
      <c r="F48" s="50"/>
      <c r="G48" s="7"/>
      <c r="H48" s="7"/>
      <c r="I48" s="7"/>
      <c r="J48" s="7"/>
    </row>
    <row r="49" spans="1:10">
      <c r="A49" s="50"/>
      <c r="B49" s="50"/>
      <c r="C49" s="50"/>
      <c r="D49" s="7"/>
      <c r="E49" s="50"/>
      <c r="F49" s="50"/>
      <c r="G49" s="7"/>
      <c r="H49" s="7"/>
      <c r="I49" s="7"/>
      <c r="J49" s="7"/>
    </row>
    <row r="50" spans="1:10">
      <c r="A50" s="50"/>
      <c r="B50" s="50"/>
      <c r="C50" s="50"/>
      <c r="D50" s="7"/>
      <c r="E50" s="50"/>
      <c r="F50" s="50"/>
      <c r="G50" s="7"/>
      <c r="H50" s="7"/>
      <c r="I50" s="7"/>
      <c r="J50" s="7"/>
    </row>
    <row r="51" spans="1:10">
      <c r="A51" s="50"/>
      <c r="B51" s="50"/>
      <c r="C51" s="50"/>
      <c r="D51" s="7"/>
      <c r="E51" s="50"/>
      <c r="F51" s="50"/>
      <c r="G51" s="7"/>
      <c r="H51" s="7"/>
      <c r="I51" s="7"/>
      <c r="J51" s="7"/>
    </row>
    <row r="52" spans="1:10">
      <c r="A52" s="50"/>
      <c r="B52" s="50"/>
      <c r="C52" s="50"/>
      <c r="D52" s="7"/>
      <c r="E52" s="50"/>
      <c r="F52" s="50"/>
      <c r="G52" s="7"/>
      <c r="H52" s="7"/>
      <c r="I52" s="7"/>
      <c r="J52" s="7"/>
    </row>
    <row r="53" spans="1:10">
      <c r="A53" s="50"/>
      <c r="B53" s="50"/>
      <c r="C53" s="50"/>
      <c r="D53" s="7"/>
      <c r="E53" s="50"/>
      <c r="F53" s="50"/>
      <c r="G53" s="7"/>
      <c r="H53" s="7"/>
      <c r="I53" s="7"/>
      <c r="J53" s="7"/>
    </row>
    <row r="54" spans="1:10">
      <c r="A54" s="50"/>
      <c r="B54" s="50"/>
      <c r="C54" s="50"/>
      <c r="D54" s="7"/>
      <c r="E54" s="50"/>
      <c r="F54" s="50"/>
      <c r="G54" s="7"/>
      <c r="H54" s="7"/>
      <c r="I54" s="7"/>
      <c r="J54" s="7"/>
    </row>
    <row r="55" spans="1:10">
      <c r="A55" s="50"/>
      <c r="B55" s="50"/>
      <c r="C55" s="50"/>
      <c r="D55" s="7"/>
      <c r="E55" s="50"/>
      <c r="F55" s="50"/>
      <c r="G55" s="7"/>
      <c r="H55" s="7"/>
      <c r="I55" s="7"/>
      <c r="J55" s="7"/>
    </row>
    <row r="56" spans="1:10">
      <c r="A56" s="50"/>
      <c r="B56" s="50"/>
      <c r="C56" s="50"/>
      <c r="D56" s="7"/>
      <c r="E56" s="50"/>
      <c r="F56" s="50"/>
      <c r="G56" s="7"/>
      <c r="H56" s="7"/>
      <c r="I56" s="7"/>
      <c r="J56" s="7"/>
    </row>
    <row r="57" spans="1:10">
      <c r="A57" s="50"/>
      <c r="B57" s="50"/>
      <c r="C57" s="50"/>
      <c r="D57" s="7"/>
      <c r="E57" s="50"/>
      <c r="F57" s="50"/>
      <c r="G57" s="7"/>
      <c r="H57" s="7"/>
      <c r="I57" s="7"/>
      <c r="J57" s="7"/>
    </row>
    <row r="58" spans="1:10">
      <c r="A58" s="50"/>
      <c r="B58" s="50"/>
      <c r="C58" s="50"/>
      <c r="D58" s="7"/>
      <c r="E58" s="50"/>
      <c r="F58" s="50"/>
      <c r="G58" s="7"/>
      <c r="H58" s="7"/>
      <c r="I58" s="7"/>
      <c r="J58" s="7"/>
    </row>
    <row r="59" spans="1:10">
      <c r="A59" s="50"/>
      <c r="B59" s="50"/>
      <c r="C59" s="50"/>
      <c r="D59" s="7"/>
      <c r="E59" s="50"/>
      <c r="F59" s="50"/>
      <c r="G59" s="7"/>
      <c r="H59" s="7"/>
      <c r="I59" s="7"/>
      <c r="J59" s="7"/>
    </row>
    <row r="60" spans="1:10">
      <c r="A60" s="50"/>
      <c r="B60" s="50"/>
      <c r="C60" s="50"/>
      <c r="D60" s="7"/>
      <c r="E60" s="50"/>
      <c r="F60" s="50"/>
      <c r="G60" s="7"/>
      <c r="H60" s="7"/>
      <c r="I60" s="7"/>
      <c r="J60" s="7"/>
    </row>
    <row r="61" spans="1:10">
      <c r="A61" s="50"/>
      <c r="B61" s="50"/>
      <c r="C61" s="50"/>
      <c r="D61" s="7"/>
      <c r="E61" s="50"/>
      <c r="F61" s="50"/>
      <c r="G61" s="7"/>
      <c r="H61" s="7"/>
      <c r="I61" s="7"/>
      <c r="J61" s="7"/>
    </row>
    <row r="62" spans="1:10">
      <c r="A62" s="7"/>
      <c r="B62" s="7"/>
      <c r="C62" s="7"/>
      <c r="D62" s="7"/>
      <c r="E62" s="7"/>
      <c r="F62" s="7"/>
      <c r="G62" s="7"/>
      <c r="H62" s="7"/>
      <c r="I62" s="7"/>
      <c r="J62" s="7"/>
    </row>
  </sheetData>
  <mergeCells count="6">
    <mergeCell ref="A1:J1"/>
    <mergeCell ref="A2:J2"/>
    <mergeCell ref="A4:A5"/>
    <mergeCell ref="B4:D4"/>
    <mergeCell ref="E4:G4"/>
    <mergeCell ref="H4:J4"/>
  </mergeCells>
  <phoneticPr fontId="131" type="noConversion"/>
  <printOptions horizontalCentered="1"/>
  <pageMargins left="0.1" right="0.1" top="0.74" bottom="0.1" header="0.16" footer="0.1"/>
  <pageSetup paperSize="9" orientation="landscape" blackAndWhite="1" horizontalDpi="4294967295" verticalDpi="144" r:id="rId1"/>
  <headerFooter alignWithMargins="0"/>
</worksheet>
</file>

<file path=xl/worksheets/sheet12.xml><?xml version="1.0" encoding="utf-8"?>
<worksheet xmlns="http://schemas.openxmlformats.org/spreadsheetml/2006/main" xmlns:r="http://schemas.openxmlformats.org/officeDocument/2006/relationships">
  <sheetPr codeName="Sheet42"/>
  <dimension ref="A1:J62"/>
  <sheetViews>
    <sheetView workbookViewId="0">
      <selection activeCell="M5" sqref="M5"/>
    </sheetView>
  </sheetViews>
  <sheetFormatPr defaultRowHeight="12.75"/>
  <cols>
    <col min="1" max="1" width="22.28515625" style="138" customWidth="1"/>
    <col min="2" max="10" width="12" style="138" customWidth="1"/>
    <col min="11" max="20" width="9.140625" style="138"/>
    <col min="21" max="21" width="9.28515625" style="138" customWidth="1"/>
    <col min="22" max="16384" width="9.140625" style="138"/>
  </cols>
  <sheetData>
    <row r="1" spans="1:10">
      <c r="A1" s="1444" t="s">
        <v>1342</v>
      </c>
      <c r="B1" s="1444"/>
      <c r="C1" s="1444"/>
      <c r="D1" s="1444"/>
      <c r="E1" s="1444"/>
      <c r="F1" s="1444"/>
      <c r="G1" s="1444"/>
      <c r="H1" s="1444"/>
      <c r="I1" s="1444"/>
      <c r="J1" s="1444"/>
    </row>
    <row r="2" spans="1:10" ht="17.25" customHeight="1">
      <c r="A2" s="1355" t="str">
        <f>CONCATENATE("Distribution of Rural and Urban Population by sex in the district of ",District!$A$1,", 2011")</f>
        <v>Distribution of Rural and Urban Population by sex in the district of Malda, 2011</v>
      </c>
      <c r="B2" s="1355"/>
      <c r="C2" s="1355"/>
      <c r="D2" s="1355"/>
      <c r="E2" s="1355"/>
      <c r="F2" s="1355"/>
      <c r="G2" s="1355"/>
      <c r="H2" s="1355"/>
      <c r="I2" s="1355"/>
      <c r="J2" s="1355"/>
    </row>
    <row r="3" spans="1:10">
      <c r="B3" s="1154"/>
      <c r="C3" s="1154"/>
      <c r="D3" s="1154"/>
      <c r="E3" s="1154"/>
      <c r="F3" s="1154"/>
      <c r="G3" s="1154"/>
      <c r="H3" s="1154"/>
      <c r="I3" s="1154"/>
      <c r="J3" s="662" t="s">
        <v>1253</v>
      </c>
    </row>
    <row r="4" spans="1:10" ht="15" customHeight="1">
      <c r="A4" s="1346" t="s">
        <v>854</v>
      </c>
      <c r="B4" s="1357" t="s">
        <v>1600</v>
      </c>
      <c r="C4" s="1357"/>
      <c r="D4" s="1358"/>
      <c r="E4" s="1356" t="s">
        <v>1601</v>
      </c>
      <c r="F4" s="1357"/>
      <c r="G4" s="1358"/>
      <c r="H4" s="1356" t="s">
        <v>1602</v>
      </c>
      <c r="I4" s="1357"/>
      <c r="J4" s="1358"/>
    </row>
    <row r="5" spans="1:10" ht="18" customHeight="1">
      <c r="A5" s="1347"/>
      <c r="B5" s="296" t="s">
        <v>1265</v>
      </c>
      <c r="C5" s="261" t="s">
        <v>1266</v>
      </c>
      <c r="D5" s="298" t="s">
        <v>1233</v>
      </c>
      <c r="E5" s="263" t="s">
        <v>1265</v>
      </c>
      <c r="F5" s="525" t="s">
        <v>1266</v>
      </c>
      <c r="G5" s="261" t="s">
        <v>1233</v>
      </c>
      <c r="H5" s="263" t="s">
        <v>1265</v>
      </c>
      <c r="I5" s="261" t="s">
        <v>1266</v>
      </c>
      <c r="J5" s="261" t="s">
        <v>1233</v>
      </c>
    </row>
    <row r="6" spans="1:10" ht="15" customHeight="1">
      <c r="A6" s="272" t="s">
        <v>1208</v>
      </c>
      <c r="B6" s="152" t="s">
        <v>1209</v>
      </c>
      <c r="C6" s="151" t="s">
        <v>1210</v>
      </c>
      <c r="D6" s="153" t="s">
        <v>1211</v>
      </c>
      <c r="E6" s="218" t="s">
        <v>1212</v>
      </c>
      <c r="F6" s="218" t="s">
        <v>1213</v>
      </c>
      <c r="G6" s="151" t="s">
        <v>1214</v>
      </c>
      <c r="H6" s="218" t="s">
        <v>1244</v>
      </c>
      <c r="I6" s="151" t="s">
        <v>1245</v>
      </c>
      <c r="J6" s="151" t="s">
        <v>1246</v>
      </c>
    </row>
    <row r="7" spans="1:10" ht="20.100000000000001" customHeight="1">
      <c r="A7" s="411" t="s">
        <v>1155</v>
      </c>
      <c r="B7" s="384">
        <f>SUM(B8:B13)</f>
        <v>686256</v>
      </c>
      <c r="C7" s="397">
        <f t="shared" ref="C7:I7" si="0">SUM(C8:C13)</f>
        <v>646553</v>
      </c>
      <c r="D7" s="385">
        <f>IF(SUM(B7,C7)=0,"-",SUM(B7,C7))</f>
        <v>1332809</v>
      </c>
      <c r="E7" s="384">
        <f>IF(SUM(E8:E13)=0,"-",SUM(E8:E13))</f>
        <v>2827</v>
      </c>
      <c r="F7" s="383">
        <f>IF(SUM(F8:F13)=0,"-",SUM(F8:F13))</f>
        <v>2743</v>
      </c>
      <c r="G7" s="397">
        <f>IF(SUM(E7,F7)=0,"-",SUM(E7,F7))</f>
        <v>5570</v>
      </c>
      <c r="H7" s="397">
        <f t="shared" si="0"/>
        <v>689083</v>
      </c>
      <c r="I7" s="384">
        <f t="shared" si="0"/>
        <v>649296</v>
      </c>
      <c r="J7" s="397">
        <f>IF(SUM(H7,I7)=0,"-",SUM(H7,I7))</f>
        <v>1338379</v>
      </c>
    </row>
    <row r="8" spans="1:10" ht="20.100000000000001" customHeight="1">
      <c r="A8" s="181" t="s">
        <v>1051</v>
      </c>
      <c r="B8" s="304">
        <v>103183</v>
      </c>
      <c r="C8" s="116">
        <v>96310</v>
      </c>
      <c r="D8" s="114">
        <f t="shared" ref="D8:D14" si="1">IF(SUM(B8:C8)=0,"-",SUM(B8:C8))</f>
        <v>199493</v>
      </c>
      <c r="E8" s="80" t="s">
        <v>1509</v>
      </c>
      <c r="F8" s="116" t="s">
        <v>1509</v>
      </c>
      <c r="G8" s="114" t="str">
        <f t="shared" ref="G8:G13" si="2">IF(SUM(E8:F8)=0,"-",SUM(E8:F8))</f>
        <v>-</v>
      </c>
      <c r="H8" s="121">
        <f t="shared" ref="H8:H13" si="3">SUM(B8,E8)</f>
        <v>103183</v>
      </c>
      <c r="I8" s="121">
        <f t="shared" ref="I8:I13" si="4">SUM(C8,F8)</f>
        <v>96310</v>
      </c>
      <c r="J8" s="112">
        <f t="shared" ref="J8:J13" si="5">IF(SUM(H8:I8)=0,"-",SUM(H8:I8))</f>
        <v>199493</v>
      </c>
    </row>
    <row r="9" spans="1:10" ht="20.100000000000001" customHeight="1">
      <c r="A9" s="181" t="s">
        <v>457</v>
      </c>
      <c r="B9" s="304">
        <v>130367</v>
      </c>
      <c r="C9" s="116">
        <v>120978</v>
      </c>
      <c r="D9" s="114">
        <f t="shared" si="1"/>
        <v>251345</v>
      </c>
      <c r="E9" s="80" t="s">
        <v>1509</v>
      </c>
      <c r="F9" s="116" t="s">
        <v>1509</v>
      </c>
      <c r="G9" s="114" t="str">
        <f t="shared" si="2"/>
        <v>-</v>
      </c>
      <c r="H9" s="121">
        <f t="shared" si="3"/>
        <v>130367</v>
      </c>
      <c r="I9" s="121">
        <f t="shared" si="4"/>
        <v>120978</v>
      </c>
      <c r="J9" s="112">
        <f t="shared" si="5"/>
        <v>251345</v>
      </c>
    </row>
    <row r="10" spans="1:10" ht="20.100000000000001" customHeight="1">
      <c r="A10" s="181" t="s">
        <v>531</v>
      </c>
      <c r="B10" s="304">
        <v>102187</v>
      </c>
      <c r="C10" s="116">
        <v>96983</v>
      </c>
      <c r="D10" s="114">
        <f t="shared" si="1"/>
        <v>199170</v>
      </c>
      <c r="E10" s="304">
        <v>2827</v>
      </c>
      <c r="F10" s="116">
        <v>2743</v>
      </c>
      <c r="G10" s="114">
        <f t="shared" si="2"/>
        <v>5570</v>
      </c>
      <c r="H10" s="121">
        <f t="shared" si="3"/>
        <v>105014</v>
      </c>
      <c r="I10" s="121">
        <f t="shared" si="4"/>
        <v>99726</v>
      </c>
      <c r="J10" s="112">
        <f t="shared" si="5"/>
        <v>204740</v>
      </c>
    </row>
    <row r="11" spans="1:10" ht="20.100000000000001" customHeight="1">
      <c r="A11" s="181" t="s">
        <v>532</v>
      </c>
      <c r="B11" s="304">
        <v>105374</v>
      </c>
      <c r="C11" s="116">
        <v>99959</v>
      </c>
      <c r="D11" s="114">
        <f t="shared" si="1"/>
        <v>205333</v>
      </c>
      <c r="E11" s="80" t="s">
        <v>1509</v>
      </c>
      <c r="F11" s="116" t="s">
        <v>1509</v>
      </c>
      <c r="G11" s="114" t="str">
        <f t="shared" si="2"/>
        <v>-</v>
      </c>
      <c r="H11" s="121">
        <f t="shared" si="3"/>
        <v>105374</v>
      </c>
      <c r="I11" s="121">
        <f t="shared" si="4"/>
        <v>99959</v>
      </c>
      <c r="J11" s="112">
        <f t="shared" si="5"/>
        <v>205333</v>
      </c>
    </row>
    <row r="12" spans="1:10" ht="20.100000000000001" customHeight="1">
      <c r="A12" s="181" t="s">
        <v>533</v>
      </c>
      <c r="B12" s="304">
        <v>142183</v>
      </c>
      <c r="C12" s="116">
        <v>133205</v>
      </c>
      <c r="D12" s="114">
        <f t="shared" si="1"/>
        <v>275388</v>
      </c>
      <c r="E12" s="80" t="s">
        <v>1509</v>
      </c>
      <c r="F12" s="116" t="s">
        <v>1509</v>
      </c>
      <c r="G12" s="114" t="str">
        <f t="shared" si="2"/>
        <v>-</v>
      </c>
      <c r="H12" s="121">
        <f t="shared" si="3"/>
        <v>142183</v>
      </c>
      <c r="I12" s="121">
        <f t="shared" si="4"/>
        <v>133205</v>
      </c>
      <c r="J12" s="112">
        <f t="shared" si="5"/>
        <v>275388</v>
      </c>
    </row>
    <row r="13" spans="1:10" ht="20.100000000000001" customHeight="1">
      <c r="A13" s="181" t="s">
        <v>573</v>
      </c>
      <c r="B13" s="304">
        <v>102962</v>
      </c>
      <c r="C13" s="116">
        <v>99118</v>
      </c>
      <c r="D13" s="114">
        <f t="shared" si="1"/>
        <v>202080</v>
      </c>
      <c r="E13" s="80" t="s">
        <v>1509</v>
      </c>
      <c r="F13" s="116" t="s">
        <v>1509</v>
      </c>
      <c r="G13" s="114" t="str">
        <f t="shared" si="2"/>
        <v>-</v>
      </c>
      <c r="H13" s="121">
        <f t="shared" si="3"/>
        <v>102962</v>
      </c>
      <c r="I13" s="121">
        <f t="shared" si="4"/>
        <v>99118</v>
      </c>
      <c r="J13" s="112">
        <f t="shared" si="5"/>
        <v>202080</v>
      </c>
    </row>
    <row r="14" spans="1:10" ht="20.100000000000001" customHeight="1">
      <c r="A14" s="397" t="s">
        <v>1154</v>
      </c>
      <c r="B14" s="384">
        <f>SUM(B15:B25)</f>
        <v>1082080</v>
      </c>
      <c r="C14" s="397">
        <f>SUM(C15:C25)</f>
        <v>1032296</v>
      </c>
      <c r="D14" s="385">
        <f t="shared" si="1"/>
        <v>2114376</v>
      </c>
      <c r="E14" s="384">
        <f t="shared" ref="E14:J14" si="6">IF(SUM(E15:E25)=0,"-",SUM(E15:E25))</f>
        <v>280378</v>
      </c>
      <c r="F14" s="397">
        <f t="shared" si="6"/>
        <v>255712</v>
      </c>
      <c r="G14" s="385">
        <f t="shared" si="6"/>
        <v>536090</v>
      </c>
      <c r="H14" s="385">
        <f t="shared" si="6"/>
        <v>1362458</v>
      </c>
      <c r="I14" s="385">
        <f t="shared" si="6"/>
        <v>1288008</v>
      </c>
      <c r="J14" s="385">
        <f t="shared" si="6"/>
        <v>2650466</v>
      </c>
    </row>
    <row r="15" spans="1:10" ht="20.100000000000001" customHeight="1">
      <c r="A15" s="181" t="s">
        <v>576</v>
      </c>
      <c r="B15" s="304">
        <v>168635</v>
      </c>
      <c r="C15" s="116">
        <v>163556</v>
      </c>
      <c r="D15" s="114">
        <f t="shared" ref="D15:D23" si="7">IF(SUM(B15:C15)=0,"-",SUM(B15:C15))</f>
        <v>332191</v>
      </c>
      <c r="E15" s="304">
        <v>5901</v>
      </c>
      <c r="F15" s="116">
        <v>5738</v>
      </c>
      <c r="G15" s="114">
        <f t="shared" ref="G15:G23" si="8">IF(SUM(E15:F15)=0,"-",SUM(E15:F15))</f>
        <v>11639</v>
      </c>
      <c r="H15" s="121">
        <f t="shared" ref="H15:H23" si="9">SUM(B15,E15)</f>
        <v>174536</v>
      </c>
      <c r="I15" s="121">
        <f t="shared" ref="I15:I23" si="10">SUM(C15,F15)</f>
        <v>169294</v>
      </c>
      <c r="J15" s="112">
        <f t="shared" ref="J15:J23" si="11">IF(SUM(H15:I15)=0,"-",SUM(H15:I15))</f>
        <v>343830</v>
      </c>
    </row>
    <row r="16" spans="1:10" ht="20.100000000000001" customHeight="1">
      <c r="A16" s="181" t="s">
        <v>1510</v>
      </c>
      <c r="B16" s="304">
        <v>74071</v>
      </c>
      <c r="C16" s="116">
        <v>69835</v>
      </c>
      <c r="D16" s="114">
        <f t="shared" si="7"/>
        <v>143906</v>
      </c>
      <c r="E16" s="80" t="s">
        <v>1509</v>
      </c>
      <c r="F16" s="116" t="s">
        <v>1509</v>
      </c>
      <c r="G16" s="114" t="str">
        <f t="shared" si="8"/>
        <v>-</v>
      </c>
      <c r="H16" s="121">
        <f t="shared" si="9"/>
        <v>74071</v>
      </c>
      <c r="I16" s="121">
        <f t="shared" si="10"/>
        <v>69835</v>
      </c>
      <c r="J16" s="112">
        <f t="shared" si="11"/>
        <v>143906</v>
      </c>
    </row>
    <row r="17" spans="1:10" ht="20.100000000000001" customHeight="1">
      <c r="A17" s="180" t="s">
        <v>577</v>
      </c>
      <c r="B17" s="304">
        <v>93812</v>
      </c>
      <c r="C17" s="116">
        <v>91530</v>
      </c>
      <c r="D17" s="114">
        <f t="shared" si="7"/>
        <v>185342</v>
      </c>
      <c r="E17" s="304">
        <v>12945</v>
      </c>
      <c r="F17" s="116">
        <v>12412</v>
      </c>
      <c r="G17" s="114">
        <f t="shared" si="8"/>
        <v>25357</v>
      </c>
      <c r="H17" s="121">
        <f t="shared" si="9"/>
        <v>106757</v>
      </c>
      <c r="I17" s="121">
        <f t="shared" si="10"/>
        <v>103942</v>
      </c>
      <c r="J17" s="112">
        <f t="shared" si="11"/>
        <v>210699</v>
      </c>
    </row>
    <row r="18" spans="1:10" ht="20.100000000000001" customHeight="1">
      <c r="A18" s="180" t="s">
        <v>578</v>
      </c>
      <c r="B18" s="304">
        <v>69626</v>
      </c>
      <c r="C18" s="116">
        <v>66229</v>
      </c>
      <c r="D18" s="114">
        <f t="shared" si="7"/>
        <v>135855</v>
      </c>
      <c r="E18" s="304">
        <v>10482</v>
      </c>
      <c r="F18" s="116">
        <v>10028</v>
      </c>
      <c r="G18" s="114">
        <f t="shared" si="8"/>
        <v>20510</v>
      </c>
      <c r="H18" s="121">
        <f t="shared" si="9"/>
        <v>80108</v>
      </c>
      <c r="I18" s="121">
        <f t="shared" si="10"/>
        <v>76257</v>
      </c>
      <c r="J18" s="112">
        <f t="shared" si="11"/>
        <v>156365</v>
      </c>
    </row>
    <row r="19" spans="1:10" ht="20.100000000000001" customHeight="1">
      <c r="A19" s="180" t="s">
        <v>490</v>
      </c>
      <c r="B19" s="304">
        <v>124521</v>
      </c>
      <c r="C19" s="116">
        <v>118276</v>
      </c>
      <c r="D19" s="114">
        <f t="shared" si="7"/>
        <v>242797</v>
      </c>
      <c r="E19" s="304">
        <v>16411</v>
      </c>
      <c r="F19" s="116">
        <v>15419</v>
      </c>
      <c r="G19" s="114">
        <f t="shared" si="8"/>
        <v>31830</v>
      </c>
      <c r="H19" s="121">
        <f t="shared" si="9"/>
        <v>140932</v>
      </c>
      <c r="I19" s="121">
        <f t="shared" si="10"/>
        <v>133695</v>
      </c>
      <c r="J19" s="112">
        <f t="shared" si="11"/>
        <v>274627</v>
      </c>
    </row>
    <row r="20" spans="1:10" ht="20.100000000000001" customHeight="1">
      <c r="A20" s="180" t="s">
        <v>580</v>
      </c>
      <c r="B20" s="304">
        <v>139593</v>
      </c>
      <c r="C20" s="116">
        <v>130220</v>
      </c>
      <c r="D20" s="114">
        <f t="shared" si="7"/>
        <v>269813</v>
      </c>
      <c r="E20" s="80" t="s">
        <v>1509</v>
      </c>
      <c r="F20" s="116" t="s">
        <v>1509</v>
      </c>
      <c r="G20" s="114" t="str">
        <f t="shared" si="8"/>
        <v>-</v>
      </c>
      <c r="H20" s="121">
        <f t="shared" si="9"/>
        <v>139593</v>
      </c>
      <c r="I20" s="121">
        <f t="shared" si="10"/>
        <v>130220</v>
      </c>
      <c r="J20" s="112">
        <f t="shared" si="11"/>
        <v>269813</v>
      </c>
    </row>
    <row r="21" spans="1:10" ht="20.100000000000001" customHeight="1">
      <c r="A21" s="180" t="s">
        <v>585</v>
      </c>
      <c r="B21" s="304">
        <v>137213</v>
      </c>
      <c r="C21" s="116">
        <v>131845</v>
      </c>
      <c r="D21" s="114">
        <f t="shared" si="7"/>
        <v>269058</v>
      </c>
      <c r="E21" s="304">
        <v>63238</v>
      </c>
      <c r="F21" s="116">
        <v>60221</v>
      </c>
      <c r="G21" s="114">
        <f t="shared" si="8"/>
        <v>123459</v>
      </c>
      <c r="H21" s="121">
        <f t="shared" si="9"/>
        <v>200451</v>
      </c>
      <c r="I21" s="121">
        <f t="shared" si="10"/>
        <v>192066</v>
      </c>
      <c r="J21" s="112">
        <f t="shared" si="11"/>
        <v>392517</v>
      </c>
    </row>
    <row r="22" spans="1:10" ht="20.100000000000001" customHeight="1">
      <c r="A22" s="180" t="s">
        <v>586</v>
      </c>
      <c r="B22" s="304">
        <v>105609</v>
      </c>
      <c r="C22" s="116">
        <v>100658</v>
      </c>
      <c r="D22" s="114">
        <f t="shared" si="7"/>
        <v>206267</v>
      </c>
      <c r="E22" s="304">
        <v>1944</v>
      </c>
      <c r="F22" s="116">
        <v>1894</v>
      </c>
      <c r="G22" s="114">
        <f t="shared" si="8"/>
        <v>3838</v>
      </c>
      <c r="H22" s="121">
        <f t="shared" si="9"/>
        <v>107553</v>
      </c>
      <c r="I22" s="121">
        <f t="shared" si="10"/>
        <v>102552</v>
      </c>
      <c r="J22" s="112">
        <f t="shared" si="11"/>
        <v>210105</v>
      </c>
    </row>
    <row r="23" spans="1:10" ht="20.100000000000001" customHeight="1">
      <c r="A23" s="180" t="s">
        <v>587</v>
      </c>
      <c r="B23" s="304">
        <v>169000</v>
      </c>
      <c r="C23" s="116">
        <v>160147</v>
      </c>
      <c r="D23" s="114">
        <f t="shared" si="7"/>
        <v>329147</v>
      </c>
      <c r="E23" s="304">
        <v>15213</v>
      </c>
      <c r="F23" s="116">
        <v>14711</v>
      </c>
      <c r="G23" s="114">
        <f t="shared" si="8"/>
        <v>29924</v>
      </c>
      <c r="H23" s="121">
        <f t="shared" si="9"/>
        <v>184213</v>
      </c>
      <c r="I23" s="121">
        <f t="shared" si="10"/>
        <v>174858</v>
      </c>
      <c r="J23" s="112">
        <f t="shared" si="11"/>
        <v>359071</v>
      </c>
    </row>
    <row r="24" spans="1:10" ht="20.100000000000001" customHeight="1">
      <c r="A24" s="180" t="s">
        <v>1511</v>
      </c>
      <c r="B24" s="80" t="s">
        <v>1509</v>
      </c>
      <c r="C24" s="116" t="s">
        <v>1509</v>
      </c>
      <c r="D24" s="114" t="str">
        <f>IF(SUM(B24:C24)=0,"-",SUM(B24:C24))</f>
        <v>-</v>
      </c>
      <c r="E24" s="304">
        <v>47420</v>
      </c>
      <c r="F24" s="116">
        <v>36592</v>
      </c>
      <c r="G24" s="114">
        <f>IF(SUM(E24:F24)=0,"-",SUM(E24:F24))</f>
        <v>84012</v>
      </c>
      <c r="H24" s="121">
        <f>SUM(B24,E24)</f>
        <v>47420</v>
      </c>
      <c r="I24" s="121">
        <f>SUM(C24,F24)</f>
        <v>36592</v>
      </c>
      <c r="J24" s="112">
        <f>IF(SUM(H24:I24)=0,"-",SUM(H24:I24))</f>
        <v>84012</v>
      </c>
    </row>
    <row r="25" spans="1:10" ht="20.100000000000001" customHeight="1">
      <c r="A25" s="180" t="s">
        <v>579</v>
      </c>
      <c r="B25" s="80" t="s">
        <v>1509</v>
      </c>
      <c r="C25" s="117" t="s">
        <v>1509</v>
      </c>
      <c r="D25" s="114" t="str">
        <f>IF(SUM(B25:C25)=0,"-",SUM(B25:C25))</f>
        <v>-</v>
      </c>
      <c r="E25" s="304">
        <v>106824</v>
      </c>
      <c r="F25" s="117">
        <v>98697</v>
      </c>
      <c r="G25" s="114">
        <f>IF(SUM(E25:F25)=0,"-",SUM(E25:F25))</f>
        <v>205521</v>
      </c>
      <c r="H25" s="121">
        <f>SUM(B25,E25)</f>
        <v>106824</v>
      </c>
      <c r="I25" s="121">
        <f>SUM(C25,F25)</f>
        <v>98697</v>
      </c>
      <c r="J25" s="112">
        <f>IF(SUM(H25:I25)=0,"-",SUM(H25:I25))</f>
        <v>205521</v>
      </c>
    </row>
    <row r="26" spans="1:10" ht="20.100000000000001" customHeight="1">
      <c r="A26" s="276" t="s">
        <v>836</v>
      </c>
      <c r="B26" s="182">
        <f>SUM(B7,B14)</f>
        <v>1768336</v>
      </c>
      <c r="C26" s="276">
        <f t="shared" ref="C26:J26" si="12">SUM(C7,C14)</f>
        <v>1678849</v>
      </c>
      <c r="D26" s="183">
        <f t="shared" si="12"/>
        <v>3447185</v>
      </c>
      <c r="E26" s="182">
        <f t="shared" si="12"/>
        <v>283205</v>
      </c>
      <c r="F26" s="212">
        <f t="shared" si="12"/>
        <v>258455</v>
      </c>
      <c r="G26" s="276">
        <f t="shared" si="12"/>
        <v>541660</v>
      </c>
      <c r="H26" s="212">
        <f t="shared" si="12"/>
        <v>2051541</v>
      </c>
      <c r="I26" s="276">
        <f t="shared" si="12"/>
        <v>1937304</v>
      </c>
      <c r="J26" s="276">
        <f t="shared" si="12"/>
        <v>3988845</v>
      </c>
    </row>
    <row r="27" spans="1:10">
      <c r="A27" s="91"/>
      <c r="B27" s="91"/>
      <c r="C27" s="91"/>
      <c r="D27" s="144"/>
      <c r="E27" s="91"/>
      <c r="F27" s="91"/>
      <c r="G27" s="144"/>
      <c r="J27" s="1217" t="s">
        <v>868</v>
      </c>
    </row>
    <row r="28" spans="1:10">
      <c r="A28" s="91"/>
      <c r="B28" s="91"/>
      <c r="C28" s="91"/>
      <c r="D28" s="144"/>
      <c r="E28" s="91"/>
      <c r="F28" s="91"/>
      <c r="G28" s="144"/>
    </row>
    <row r="29" spans="1:10">
      <c r="A29" s="91"/>
      <c r="B29" s="91"/>
      <c r="C29" s="91"/>
      <c r="D29" s="144"/>
      <c r="E29" s="91"/>
      <c r="F29" s="91"/>
      <c r="G29" s="144"/>
      <c r="H29" s="144"/>
      <c r="I29" s="144"/>
      <c r="J29" s="144"/>
    </row>
    <row r="30" spans="1:10">
      <c r="A30" s="91"/>
      <c r="B30" s="91"/>
      <c r="C30" s="91"/>
      <c r="D30" s="144"/>
      <c r="E30" s="91"/>
      <c r="F30" s="91"/>
      <c r="G30" s="144"/>
      <c r="H30" s="144"/>
      <c r="I30" s="144"/>
      <c r="J30" s="144"/>
    </row>
    <row r="31" spans="1:10">
      <c r="A31" s="91"/>
      <c r="B31" s="91"/>
      <c r="C31" s="91"/>
      <c r="D31" s="144"/>
      <c r="E31" s="91"/>
      <c r="F31" s="91"/>
      <c r="G31" s="144"/>
      <c r="H31" s="144"/>
      <c r="I31" s="144"/>
      <c r="J31" s="144"/>
    </row>
    <row r="32" spans="1:10">
      <c r="A32" s="91"/>
      <c r="B32" s="91"/>
      <c r="C32" s="91"/>
      <c r="D32" s="144"/>
      <c r="E32" s="91"/>
      <c r="F32" s="91"/>
      <c r="G32" s="144"/>
      <c r="H32" s="144"/>
      <c r="I32" s="144"/>
      <c r="J32" s="144"/>
    </row>
    <row r="33" spans="1:10">
      <c r="A33" s="91"/>
      <c r="B33" s="91"/>
      <c r="C33" s="91"/>
      <c r="D33" s="144"/>
      <c r="E33" s="91"/>
      <c r="F33" s="91"/>
      <c r="G33" s="144"/>
      <c r="H33" s="144"/>
      <c r="I33" s="144"/>
      <c r="J33" s="144"/>
    </row>
    <row r="34" spans="1:10">
      <c r="A34" s="91"/>
      <c r="B34" s="91"/>
      <c r="C34" s="91"/>
      <c r="D34" s="144"/>
      <c r="E34" s="91"/>
      <c r="F34" s="91"/>
      <c r="G34" s="144"/>
      <c r="H34" s="144"/>
      <c r="I34" s="144"/>
      <c r="J34" s="144"/>
    </row>
    <row r="35" spans="1:10">
      <c r="A35" s="91"/>
      <c r="B35" s="91"/>
      <c r="C35" s="91"/>
      <c r="D35" s="144"/>
      <c r="E35" s="91"/>
      <c r="F35" s="91"/>
      <c r="G35" s="144"/>
      <c r="H35" s="144"/>
      <c r="I35" s="144"/>
      <c r="J35" s="144"/>
    </row>
    <row r="36" spans="1:10">
      <c r="A36" s="91"/>
      <c r="B36" s="91"/>
      <c r="C36" s="91"/>
      <c r="D36" s="144"/>
      <c r="E36" s="91"/>
      <c r="F36" s="91"/>
      <c r="G36" s="144"/>
      <c r="H36" s="144"/>
      <c r="I36" s="144"/>
      <c r="J36" s="144"/>
    </row>
    <row r="37" spans="1:10">
      <c r="A37" s="91"/>
      <c r="B37" s="91"/>
      <c r="C37" s="91"/>
      <c r="D37" s="144"/>
      <c r="E37" s="91"/>
      <c r="F37" s="91"/>
      <c r="G37" s="144"/>
      <c r="H37" s="144"/>
      <c r="I37" s="144"/>
      <c r="J37" s="144"/>
    </row>
    <row r="38" spans="1:10">
      <c r="A38" s="91"/>
      <c r="B38" s="91"/>
      <c r="C38" s="91"/>
      <c r="D38" s="144"/>
      <c r="E38" s="91"/>
      <c r="F38" s="91"/>
      <c r="G38" s="144"/>
      <c r="H38" s="144"/>
      <c r="I38" s="144"/>
      <c r="J38" s="144"/>
    </row>
    <row r="39" spans="1:10">
      <c r="A39" s="91"/>
      <c r="B39" s="91"/>
      <c r="C39" s="91"/>
      <c r="D39" s="144"/>
      <c r="E39" s="91"/>
      <c r="F39" s="91"/>
      <c r="G39" s="144"/>
      <c r="H39" s="144"/>
      <c r="I39" s="144"/>
      <c r="J39" s="144"/>
    </row>
    <row r="40" spans="1:10">
      <c r="A40" s="91"/>
      <c r="B40" s="91"/>
      <c r="C40" s="91"/>
      <c r="D40" s="144"/>
      <c r="E40" s="91"/>
      <c r="F40" s="91"/>
      <c r="G40" s="144"/>
      <c r="H40" s="144"/>
      <c r="I40" s="144"/>
      <c r="J40" s="144"/>
    </row>
    <row r="41" spans="1:10">
      <c r="A41" s="91"/>
      <c r="B41" s="91"/>
      <c r="C41" s="91"/>
      <c r="D41" s="144"/>
      <c r="E41" s="91"/>
      <c r="F41" s="91"/>
      <c r="G41" s="144"/>
      <c r="H41" s="144"/>
      <c r="I41" s="144"/>
      <c r="J41" s="144"/>
    </row>
    <row r="42" spans="1:10">
      <c r="A42" s="91"/>
      <c r="B42" s="91"/>
      <c r="C42" s="91"/>
      <c r="D42" s="144"/>
      <c r="E42" s="91"/>
      <c r="F42" s="91"/>
      <c r="G42" s="144"/>
      <c r="H42" s="144"/>
      <c r="I42" s="144"/>
      <c r="J42" s="144"/>
    </row>
    <row r="43" spans="1:10">
      <c r="A43" s="91"/>
      <c r="B43" s="91"/>
      <c r="C43" s="91"/>
      <c r="D43" s="144"/>
      <c r="E43" s="91"/>
      <c r="F43" s="91"/>
      <c r="G43" s="144"/>
      <c r="H43" s="144"/>
      <c r="I43" s="144"/>
      <c r="J43" s="144"/>
    </row>
    <row r="44" spans="1:10">
      <c r="A44" s="91"/>
      <c r="B44" s="91"/>
      <c r="C44" s="91"/>
      <c r="D44" s="144"/>
      <c r="E44" s="91"/>
      <c r="F44" s="91"/>
      <c r="G44" s="144"/>
      <c r="H44" s="144"/>
      <c r="I44" s="144"/>
      <c r="J44" s="144"/>
    </row>
    <row r="45" spans="1:10">
      <c r="A45" s="91"/>
      <c r="B45" s="91"/>
      <c r="C45" s="91"/>
      <c r="D45" s="144"/>
      <c r="E45" s="91"/>
      <c r="F45" s="91"/>
      <c r="G45" s="144"/>
      <c r="H45" s="144"/>
      <c r="I45" s="144"/>
      <c r="J45" s="144"/>
    </row>
    <row r="46" spans="1:10">
      <c r="A46" s="91"/>
      <c r="B46" s="91"/>
      <c r="C46" s="91"/>
      <c r="D46" s="144"/>
      <c r="E46" s="91"/>
      <c r="F46" s="91"/>
      <c r="G46" s="144"/>
      <c r="H46" s="144"/>
      <c r="I46" s="144"/>
      <c r="J46" s="144"/>
    </row>
    <row r="47" spans="1:10">
      <c r="A47" s="91"/>
      <c r="B47" s="91"/>
      <c r="C47" s="91"/>
      <c r="D47" s="144"/>
      <c r="E47" s="91"/>
      <c r="F47" s="91"/>
      <c r="G47" s="144"/>
      <c r="H47" s="144"/>
      <c r="I47" s="144"/>
      <c r="J47" s="144"/>
    </row>
    <row r="48" spans="1:10">
      <c r="A48" s="91"/>
      <c r="B48" s="91"/>
      <c r="C48" s="91"/>
      <c r="D48" s="144"/>
      <c r="E48" s="91"/>
      <c r="F48" s="91"/>
      <c r="G48" s="144"/>
      <c r="H48" s="144"/>
      <c r="I48" s="144"/>
      <c r="J48" s="144"/>
    </row>
    <row r="49" spans="1:10">
      <c r="A49" s="91"/>
      <c r="B49" s="91"/>
      <c r="C49" s="91"/>
      <c r="D49" s="144"/>
      <c r="E49" s="91"/>
      <c r="F49" s="91"/>
      <c r="G49" s="144"/>
      <c r="H49" s="144"/>
      <c r="I49" s="144"/>
      <c r="J49" s="144"/>
    </row>
    <row r="50" spans="1:10">
      <c r="A50" s="91"/>
      <c r="B50" s="91"/>
      <c r="C50" s="91"/>
      <c r="D50" s="144"/>
      <c r="E50" s="91"/>
      <c r="F50" s="91"/>
      <c r="G50" s="144"/>
      <c r="H50" s="144"/>
      <c r="I50" s="144"/>
      <c r="J50" s="144"/>
    </row>
    <row r="51" spans="1:10">
      <c r="A51" s="91"/>
      <c r="B51" s="91"/>
      <c r="C51" s="91"/>
      <c r="D51" s="144"/>
      <c r="E51" s="91"/>
      <c r="F51" s="91"/>
      <c r="G51" s="144"/>
      <c r="H51" s="144"/>
      <c r="I51" s="144"/>
      <c r="J51" s="144"/>
    </row>
    <row r="52" spans="1:10">
      <c r="A52" s="91"/>
      <c r="B52" s="91"/>
      <c r="C52" s="91"/>
      <c r="D52" s="144"/>
      <c r="E52" s="91"/>
      <c r="F52" s="91"/>
      <c r="G52" s="144"/>
      <c r="H52" s="144"/>
      <c r="I52" s="144"/>
      <c r="J52" s="144"/>
    </row>
    <row r="53" spans="1:10">
      <c r="A53" s="91"/>
      <c r="B53" s="91"/>
      <c r="C53" s="91"/>
      <c r="D53" s="144"/>
      <c r="E53" s="91"/>
      <c r="F53" s="91"/>
      <c r="G53" s="144"/>
      <c r="H53" s="144"/>
      <c r="I53" s="144"/>
      <c r="J53" s="144"/>
    </row>
    <row r="54" spans="1:10">
      <c r="A54" s="91"/>
      <c r="B54" s="91"/>
      <c r="C54" s="91"/>
      <c r="D54" s="144"/>
      <c r="E54" s="91"/>
      <c r="F54" s="91"/>
      <c r="G54" s="144"/>
      <c r="H54" s="144"/>
      <c r="I54" s="144"/>
      <c r="J54" s="144"/>
    </row>
    <row r="55" spans="1:10">
      <c r="A55" s="91"/>
      <c r="B55" s="91"/>
      <c r="C55" s="91"/>
      <c r="D55" s="144"/>
      <c r="E55" s="91"/>
      <c r="F55" s="91"/>
      <c r="G55" s="144"/>
      <c r="H55" s="144"/>
      <c r="I55" s="144"/>
      <c r="J55" s="144"/>
    </row>
    <row r="56" spans="1:10">
      <c r="A56" s="91"/>
      <c r="B56" s="91"/>
      <c r="C56" s="91"/>
      <c r="D56" s="144"/>
      <c r="E56" s="91"/>
      <c r="F56" s="91"/>
      <c r="G56" s="144"/>
      <c r="H56" s="144"/>
      <c r="I56" s="144"/>
      <c r="J56" s="144"/>
    </row>
    <row r="57" spans="1:10">
      <c r="A57" s="91"/>
      <c r="B57" s="91"/>
      <c r="C57" s="91"/>
      <c r="D57" s="144"/>
      <c r="E57" s="91"/>
      <c r="F57" s="91"/>
      <c r="G57" s="144"/>
      <c r="H57" s="144"/>
      <c r="I57" s="144"/>
      <c r="J57" s="144"/>
    </row>
    <row r="58" spans="1:10">
      <c r="A58" s="91"/>
      <c r="B58" s="91"/>
      <c r="C58" s="91"/>
      <c r="D58" s="144"/>
      <c r="E58" s="91"/>
      <c r="F58" s="91"/>
      <c r="G58" s="144"/>
      <c r="H58" s="144"/>
      <c r="I58" s="144"/>
      <c r="J58" s="144"/>
    </row>
    <row r="59" spans="1:10">
      <c r="A59" s="91"/>
      <c r="B59" s="91"/>
      <c r="C59" s="91"/>
      <c r="D59" s="144"/>
      <c r="E59" s="91"/>
      <c r="F59" s="91"/>
      <c r="G59" s="144"/>
      <c r="H59" s="144"/>
      <c r="I59" s="144"/>
      <c r="J59" s="144"/>
    </row>
    <row r="60" spans="1:10">
      <c r="A60" s="91"/>
      <c r="B60" s="91"/>
      <c r="C60" s="91"/>
      <c r="D60" s="144"/>
      <c r="E60" s="91"/>
      <c r="F60" s="91"/>
      <c r="G60" s="144"/>
      <c r="H60" s="144"/>
      <c r="I60" s="144"/>
      <c r="J60" s="144"/>
    </row>
    <row r="61" spans="1:10">
      <c r="A61" s="91"/>
      <c r="B61" s="91"/>
      <c r="C61" s="91"/>
      <c r="D61" s="144"/>
      <c r="E61" s="91"/>
      <c r="F61" s="91"/>
      <c r="G61" s="144"/>
      <c r="H61" s="144"/>
      <c r="I61" s="144"/>
      <c r="J61" s="144"/>
    </row>
    <row r="62" spans="1:10">
      <c r="A62" s="144"/>
      <c r="B62" s="144"/>
      <c r="C62" s="144"/>
      <c r="D62" s="144"/>
      <c r="E62" s="144"/>
      <c r="F62" s="144"/>
      <c r="G62" s="144"/>
      <c r="H62" s="144"/>
      <c r="I62" s="144"/>
      <c r="J62" s="144"/>
    </row>
  </sheetData>
  <mergeCells count="6">
    <mergeCell ref="A1:J1"/>
    <mergeCell ref="A2:J2"/>
    <mergeCell ref="E4:G4"/>
    <mergeCell ref="H4:J4"/>
    <mergeCell ref="A4:A5"/>
    <mergeCell ref="B4:D4"/>
  </mergeCells>
  <phoneticPr fontId="0" type="noConversion"/>
  <printOptions horizontalCentered="1"/>
  <pageMargins left="0.1" right="0.1" top="0.74" bottom="0.1" header="0.16" footer="0.1"/>
  <pageSetup paperSize="9" orientation="landscape" blackAndWhite="1" horizontalDpi="4294967295" verticalDpi="144" r:id="rId1"/>
  <headerFooter alignWithMargins="0"/>
</worksheet>
</file>

<file path=xl/worksheets/sheet13.xml><?xml version="1.0" encoding="utf-8"?>
<worksheet xmlns="http://schemas.openxmlformats.org/spreadsheetml/2006/main" xmlns:r="http://schemas.openxmlformats.org/officeDocument/2006/relationships">
  <sheetPr codeName="Sheet65"/>
  <dimension ref="A1:S30"/>
  <sheetViews>
    <sheetView workbookViewId="0">
      <selection activeCell="M5" sqref="M5"/>
    </sheetView>
  </sheetViews>
  <sheetFormatPr defaultRowHeight="12.75"/>
  <cols>
    <col min="1" max="1" width="8.42578125" customWidth="1"/>
    <col min="2" max="19" width="7" customWidth="1"/>
  </cols>
  <sheetData>
    <row r="1" spans="1:19">
      <c r="A1" s="1363" t="s">
        <v>1343</v>
      </c>
      <c r="B1" s="1363"/>
      <c r="C1" s="1363"/>
      <c r="D1" s="1363"/>
      <c r="E1" s="1363"/>
      <c r="F1" s="1363"/>
      <c r="G1" s="1363"/>
      <c r="H1" s="1363"/>
      <c r="I1" s="1363"/>
      <c r="J1" s="1363"/>
      <c r="K1" s="1363"/>
      <c r="L1" s="1363"/>
      <c r="M1" s="1363"/>
      <c r="N1" s="1363"/>
      <c r="O1" s="1363"/>
      <c r="P1" s="1363"/>
      <c r="Q1" s="1363"/>
      <c r="R1" s="1363"/>
      <c r="S1" s="1363"/>
    </row>
    <row r="2" spans="1:19" ht="18" customHeight="1">
      <c r="A2" s="1367" t="str">
        <f>CONCATENATE("Distribution of Population by sex and by age group in the district of ",District!$A$1,", 2001")</f>
        <v>Distribution of Population by sex and by age group in the district of Malda, 2001</v>
      </c>
      <c r="B2" s="1367"/>
      <c r="C2" s="1367"/>
      <c r="D2" s="1367"/>
      <c r="E2" s="1367"/>
      <c r="F2" s="1367"/>
      <c r="G2" s="1367"/>
      <c r="H2" s="1367"/>
      <c r="I2" s="1367"/>
      <c r="J2" s="1367"/>
      <c r="K2" s="1367"/>
      <c r="L2" s="1367"/>
      <c r="M2" s="1367"/>
      <c r="N2" s="1367"/>
      <c r="O2" s="1367"/>
      <c r="P2" s="1367"/>
      <c r="Q2" s="1367"/>
      <c r="R2" s="1367"/>
      <c r="S2" s="1367"/>
    </row>
    <row r="3" spans="1:19" ht="13.5" customHeight="1">
      <c r="B3" s="4"/>
      <c r="C3" s="4"/>
      <c r="D3" s="4"/>
      <c r="E3" s="4"/>
      <c r="F3" s="4"/>
      <c r="G3" s="4"/>
      <c r="H3" s="4"/>
      <c r="I3" s="4"/>
      <c r="J3" s="4"/>
      <c r="K3" s="4"/>
      <c r="L3" s="4"/>
      <c r="M3" s="4"/>
      <c r="N3" s="4"/>
      <c r="O3" s="4"/>
      <c r="P3" s="4"/>
      <c r="Q3" s="4"/>
      <c r="R3" s="4"/>
      <c r="S3" s="159" t="s">
        <v>984</v>
      </c>
    </row>
    <row r="4" spans="1:19" ht="15.75" customHeight="1">
      <c r="A4" s="1449" t="s">
        <v>1269</v>
      </c>
      <c r="B4" s="1357" t="s">
        <v>1600</v>
      </c>
      <c r="C4" s="1357"/>
      <c r="D4" s="1357"/>
      <c r="E4" s="1357"/>
      <c r="F4" s="1357"/>
      <c r="G4" s="1358"/>
      <c r="H4" s="1356" t="s">
        <v>1601</v>
      </c>
      <c r="I4" s="1357"/>
      <c r="J4" s="1357"/>
      <c r="K4" s="1357"/>
      <c r="L4" s="1357"/>
      <c r="M4" s="1358"/>
      <c r="N4" s="1356" t="s">
        <v>1602</v>
      </c>
      <c r="O4" s="1357"/>
      <c r="P4" s="1357"/>
      <c r="Q4" s="1357"/>
      <c r="R4" s="1357"/>
      <c r="S4" s="1358"/>
    </row>
    <row r="5" spans="1:19" ht="15.75" customHeight="1">
      <c r="A5" s="1450"/>
      <c r="B5" s="1445" t="s">
        <v>1265</v>
      </c>
      <c r="C5" s="1446"/>
      <c r="D5" s="1445" t="s">
        <v>1266</v>
      </c>
      <c r="E5" s="1446"/>
      <c r="F5" s="1445" t="s">
        <v>1233</v>
      </c>
      <c r="G5" s="1446"/>
      <c r="H5" s="1445" t="s">
        <v>1265</v>
      </c>
      <c r="I5" s="1446"/>
      <c r="J5" s="1445" t="s">
        <v>1266</v>
      </c>
      <c r="K5" s="1446"/>
      <c r="L5" s="1445" t="s">
        <v>1233</v>
      </c>
      <c r="M5" s="1446"/>
      <c r="N5" s="1445" t="s">
        <v>1265</v>
      </c>
      <c r="O5" s="1446"/>
      <c r="P5" s="1447" t="s">
        <v>1266</v>
      </c>
      <c r="Q5" s="1446"/>
      <c r="R5" s="1447" t="s">
        <v>1233</v>
      </c>
      <c r="S5" s="1446"/>
    </row>
    <row r="6" spans="1:19" ht="15.75" customHeight="1">
      <c r="A6" s="1451"/>
      <c r="B6" s="320" t="s">
        <v>1254</v>
      </c>
      <c r="C6" s="321" t="s">
        <v>1270</v>
      </c>
      <c r="D6" s="320" t="s">
        <v>1254</v>
      </c>
      <c r="E6" s="319" t="s">
        <v>1270</v>
      </c>
      <c r="F6" s="320" t="s">
        <v>1254</v>
      </c>
      <c r="G6" s="321" t="s">
        <v>1270</v>
      </c>
      <c r="H6" s="320" t="s">
        <v>1254</v>
      </c>
      <c r="I6" s="321" t="s">
        <v>1270</v>
      </c>
      <c r="J6" s="320" t="s">
        <v>1254</v>
      </c>
      <c r="K6" s="321" t="s">
        <v>1270</v>
      </c>
      <c r="L6" s="320" t="s">
        <v>1254</v>
      </c>
      <c r="M6" s="319" t="s">
        <v>1270</v>
      </c>
      <c r="N6" s="320" t="s">
        <v>1254</v>
      </c>
      <c r="O6" s="321" t="s">
        <v>1270</v>
      </c>
      <c r="P6" s="322" t="s">
        <v>1254</v>
      </c>
      <c r="Q6" s="321" t="s">
        <v>1270</v>
      </c>
      <c r="R6" s="322" t="s">
        <v>1254</v>
      </c>
      <c r="S6" s="321" t="s">
        <v>1270</v>
      </c>
    </row>
    <row r="7" spans="1:19" ht="15.75" customHeight="1">
      <c r="A7" s="272" t="s">
        <v>1208</v>
      </c>
      <c r="B7" s="218" t="s">
        <v>1209</v>
      </c>
      <c r="C7" s="153" t="s">
        <v>1210</v>
      </c>
      <c r="D7" s="218" t="s">
        <v>1211</v>
      </c>
      <c r="E7" s="155" t="s">
        <v>1212</v>
      </c>
      <c r="F7" s="218" t="s">
        <v>1213</v>
      </c>
      <c r="G7" s="155" t="s">
        <v>1214</v>
      </c>
      <c r="H7" s="218" t="s">
        <v>1244</v>
      </c>
      <c r="I7" s="153" t="s">
        <v>1245</v>
      </c>
      <c r="J7" s="218" t="s">
        <v>1246</v>
      </c>
      <c r="K7" s="153" t="s">
        <v>1247</v>
      </c>
      <c r="L7" s="218" t="s">
        <v>1271</v>
      </c>
      <c r="M7" s="155" t="s">
        <v>1272</v>
      </c>
      <c r="N7" s="154" t="s">
        <v>1273</v>
      </c>
      <c r="O7" s="155" t="s">
        <v>1274</v>
      </c>
      <c r="P7" s="219" t="s">
        <v>1275</v>
      </c>
      <c r="Q7" s="155" t="s">
        <v>1276</v>
      </c>
      <c r="R7" s="152" t="s">
        <v>1278</v>
      </c>
      <c r="S7" s="153" t="s">
        <v>1277</v>
      </c>
    </row>
    <row r="8" spans="1:19" ht="21" customHeight="1">
      <c r="A8" s="323" t="s">
        <v>1279</v>
      </c>
      <c r="B8" s="1203">
        <v>207.5</v>
      </c>
      <c r="C8" s="104">
        <f>ROUND(B8/B$26*100,2)</f>
        <v>13.25</v>
      </c>
      <c r="D8" s="1203">
        <v>202.3</v>
      </c>
      <c r="E8" s="104">
        <f t="shared" ref="E8:E25" si="0">ROUND(D8/D$26*100,2)</f>
        <v>13.63</v>
      </c>
      <c r="F8" s="1204">
        <f>SUM(B8,D8)</f>
        <v>409.8</v>
      </c>
      <c r="G8" s="104">
        <f t="shared" ref="G8:G25" si="1">ROUND(F8/F$26*100,2)</f>
        <v>13.44</v>
      </c>
      <c r="H8" s="125">
        <v>10.1</v>
      </c>
      <c r="I8" s="104">
        <f>ROUND(H8/H$26*100,2)+0.01</f>
        <v>8.17</v>
      </c>
      <c r="J8" s="125">
        <v>9.6</v>
      </c>
      <c r="K8" s="104">
        <f>ROUND(J8/J$26*100,2)</f>
        <v>8.19</v>
      </c>
      <c r="L8" s="1204">
        <f t="shared" ref="L8:L25" si="2">SUM(H8,J8)</f>
        <v>19.7</v>
      </c>
      <c r="M8" s="104">
        <f>ROUND(L8/L$26*100,2)</f>
        <v>8.18</v>
      </c>
      <c r="N8" s="125">
        <f>SUM(B8,H8)</f>
        <v>217.6</v>
      </c>
      <c r="O8" s="104">
        <f>ROUND(N8/N$26*100,2)</f>
        <v>12.88</v>
      </c>
      <c r="P8" s="126">
        <f t="shared" ref="P8:P25" si="3">SUM(D8,J8)</f>
        <v>211.9</v>
      </c>
      <c r="Q8" s="104">
        <f>ROUND(P8/P$26*100,2)+0.01</f>
        <v>13.24</v>
      </c>
      <c r="R8" s="1205">
        <f t="shared" ref="R8:R25" si="4">SUM(N8,P8)</f>
        <v>429.5</v>
      </c>
      <c r="S8" s="104">
        <f>ROUND(R8/R$26*100,2)</f>
        <v>13.05</v>
      </c>
    </row>
    <row r="9" spans="1:19" ht="21" customHeight="1">
      <c r="A9" s="324" t="s">
        <v>1156</v>
      </c>
      <c r="B9" s="125">
        <v>241.2</v>
      </c>
      <c r="C9" s="124">
        <f>ROUND(B9/$B$26*100,2)</f>
        <v>15.41</v>
      </c>
      <c r="D9" s="125">
        <v>230</v>
      </c>
      <c r="E9" s="104">
        <f t="shared" si="0"/>
        <v>15.5</v>
      </c>
      <c r="F9" s="1204">
        <f t="shared" ref="F9:F25" si="5">SUM(B9,D9)</f>
        <v>471.2</v>
      </c>
      <c r="G9" s="104">
        <f t="shared" si="1"/>
        <v>15.45</v>
      </c>
      <c r="H9" s="1203">
        <v>12.3</v>
      </c>
      <c r="I9" s="104">
        <f>ROUND(H9/H$26*100,2)</f>
        <v>9.94</v>
      </c>
      <c r="J9" s="1204">
        <v>11.9</v>
      </c>
      <c r="K9" s="104">
        <f t="shared" ref="K9:K25" si="6">ROUND(J9/J$26*100,2)</f>
        <v>10.15</v>
      </c>
      <c r="L9" s="1204">
        <f t="shared" si="2"/>
        <v>24.200000000000003</v>
      </c>
      <c r="M9" s="104">
        <f>ROUND(L9/L$26*100,2)-0.01</f>
        <v>10.040000000000001</v>
      </c>
      <c r="N9" s="125">
        <f t="shared" ref="N9:N25" si="7">SUM(B9,H9)</f>
        <v>253.5</v>
      </c>
      <c r="O9" s="104">
        <f>ROUND(N9/N$26*100,2)-0.01</f>
        <v>15</v>
      </c>
      <c r="P9" s="126">
        <f t="shared" si="3"/>
        <v>241.9</v>
      </c>
      <c r="Q9" s="104">
        <f t="shared" ref="Q9:Q25" si="8">ROUND(P9/P$26*100,2)</f>
        <v>15.11</v>
      </c>
      <c r="R9" s="1205">
        <f t="shared" si="4"/>
        <v>495.4</v>
      </c>
      <c r="S9" s="104">
        <f t="shared" ref="S9:S25" si="9">ROUND(R9/R$26*100,2)</f>
        <v>15.06</v>
      </c>
    </row>
    <row r="10" spans="1:19" ht="21" customHeight="1">
      <c r="A10" s="325" t="s">
        <v>1280</v>
      </c>
      <c r="B10" s="125">
        <v>211.6</v>
      </c>
      <c r="C10" s="124">
        <f t="shared" ref="C10:C25" si="10">ROUND(B10/$B$26*100,2)</f>
        <v>13.51</v>
      </c>
      <c r="D10" s="125">
        <v>194.2</v>
      </c>
      <c r="E10" s="104">
        <f t="shared" si="0"/>
        <v>13.09</v>
      </c>
      <c r="F10" s="1204">
        <f t="shared" si="5"/>
        <v>405.79999999999995</v>
      </c>
      <c r="G10" s="104">
        <f t="shared" si="1"/>
        <v>13.31</v>
      </c>
      <c r="H10" s="1203">
        <v>14.1</v>
      </c>
      <c r="I10" s="104">
        <f t="shared" ref="I10:I25" si="11">ROUND(H10/H$26*100,2)</f>
        <v>11.4</v>
      </c>
      <c r="J10" s="1204">
        <v>13.7</v>
      </c>
      <c r="K10" s="104">
        <f t="shared" si="6"/>
        <v>11.69</v>
      </c>
      <c r="L10" s="1204">
        <f t="shared" si="2"/>
        <v>27.799999999999997</v>
      </c>
      <c r="M10" s="104">
        <f t="shared" ref="M10:M25" si="12">ROUND(L10/L$26*100,2)</f>
        <v>11.54</v>
      </c>
      <c r="N10" s="125">
        <f t="shared" si="7"/>
        <v>225.7</v>
      </c>
      <c r="O10" s="104">
        <f t="shared" ref="O10:O25" si="13">ROUND(N10/N$26*100,2)</f>
        <v>13.36</v>
      </c>
      <c r="P10" s="126">
        <f t="shared" si="3"/>
        <v>207.89999999999998</v>
      </c>
      <c r="Q10" s="104">
        <f>ROUND(P10/P$26*100,2)+0.01</f>
        <v>12.99</v>
      </c>
      <c r="R10" s="1205">
        <f t="shared" si="4"/>
        <v>433.59999999999997</v>
      </c>
      <c r="S10" s="104">
        <f t="shared" si="9"/>
        <v>13.18</v>
      </c>
    </row>
    <row r="11" spans="1:19" ht="21" customHeight="1">
      <c r="A11" s="324" t="s">
        <v>1281</v>
      </c>
      <c r="B11" s="125">
        <v>147.6</v>
      </c>
      <c r="C11" s="124">
        <f t="shared" si="10"/>
        <v>9.43</v>
      </c>
      <c r="D11" s="125">
        <v>120.2</v>
      </c>
      <c r="E11" s="104">
        <f t="shared" si="0"/>
        <v>8.1</v>
      </c>
      <c r="F11" s="1204">
        <f t="shared" si="5"/>
        <v>267.8</v>
      </c>
      <c r="G11" s="104">
        <f t="shared" si="1"/>
        <v>8.7799999999999994</v>
      </c>
      <c r="H11" s="1203">
        <v>12.1</v>
      </c>
      <c r="I11" s="104">
        <f t="shared" si="11"/>
        <v>9.7799999999999994</v>
      </c>
      <c r="J11" s="1204">
        <v>11.2</v>
      </c>
      <c r="K11" s="104">
        <f t="shared" si="6"/>
        <v>9.56</v>
      </c>
      <c r="L11" s="1204">
        <f t="shared" si="2"/>
        <v>23.299999999999997</v>
      </c>
      <c r="M11" s="104">
        <f t="shared" si="12"/>
        <v>9.67</v>
      </c>
      <c r="N11" s="125">
        <f t="shared" si="7"/>
        <v>159.69999999999999</v>
      </c>
      <c r="O11" s="104">
        <f t="shared" si="13"/>
        <v>9.4499999999999993</v>
      </c>
      <c r="P11" s="126">
        <f t="shared" si="3"/>
        <v>131.4</v>
      </c>
      <c r="Q11" s="104">
        <f t="shared" si="8"/>
        <v>8.2100000000000009</v>
      </c>
      <c r="R11" s="1205">
        <f t="shared" si="4"/>
        <v>291.10000000000002</v>
      </c>
      <c r="S11" s="104">
        <f t="shared" si="9"/>
        <v>8.85</v>
      </c>
    </row>
    <row r="12" spans="1:19" ht="21" customHeight="1">
      <c r="A12" s="324" t="s">
        <v>1282</v>
      </c>
      <c r="B12" s="125">
        <v>117</v>
      </c>
      <c r="C12" s="124">
        <f t="shared" si="10"/>
        <v>7.47</v>
      </c>
      <c r="D12" s="125">
        <v>122.9</v>
      </c>
      <c r="E12" s="104">
        <f t="shared" si="0"/>
        <v>8.2799999999999994</v>
      </c>
      <c r="F12" s="1204">
        <f t="shared" si="5"/>
        <v>239.9</v>
      </c>
      <c r="G12" s="104">
        <f t="shared" si="1"/>
        <v>7.87</v>
      </c>
      <c r="H12" s="1203">
        <v>11</v>
      </c>
      <c r="I12" s="104">
        <f>ROUND(H12/H$26*100,2)</f>
        <v>8.89</v>
      </c>
      <c r="J12" s="1204">
        <v>10.8</v>
      </c>
      <c r="K12" s="104">
        <f>ROUND(J12/J$26*100,2)-0.01</f>
        <v>9.2100000000000009</v>
      </c>
      <c r="L12" s="1204">
        <f t="shared" si="2"/>
        <v>21.8</v>
      </c>
      <c r="M12" s="104">
        <f t="shared" si="12"/>
        <v>9.0500000000000007</v>
      </c>
      <c r="N12" s="125">
        <f t="shared" si="7"/>
        <v>128</v>
      </c>
      <c r="O12" s="104">
        <f t="shared" si="13"/>
        <v>7.58</v>
      </c>
      <c r="P12" s="126">
        <f t="shared" si="3"/>
        <v>133.70000000000002</v>
      </c>
      <c r="Q12" s="104">
        <f t="shared" si="8"/>
        <v>8.35</v>
      </c>
      <c r="R12" s="1205">
        <f t="shared" si="4"/>
        <v>261.70000000000005</v>
      </c>
      <c r="S12" s="104">
        <f t="shared" si="9"/>
        <v>7.95</v>
      </c>
    </row>
    <row r="13" spans="1:19" ht="21" customHeight="1">
      <c r="A13" s="324" t="s">
        <v>1283</v>
      </c>
      <c r="B13" s="125">
        <v>117.6</v>
      </c>
      <c r="C13" s="124">
        <f t="shared" si="10"/>
        <v>7.51</v>
      </c>
      <c r="D13" s="125">
        <v>129.1</v>
      </c>
      <c r="E13" s="104">
        <f t="shared" si="0"/>
        <v>8.6999999999999993</v>
      </c>
      <c r="F13" s="1204">
        <f t="shared" si="5"/>
        <v>246.7</v>
      </c>
      <c r="G13" s="104">
        <f t="shared" si="1"/>
        <v>8.09</v>
      </c>
      <c r="H13" s="1203">
        <v>10.4</v>
      </c>
      <c r="I13" s="104">
        <f t="shared" si="11"/>
        <v>8.41</v>
      </c>
      <c r="J13" s="1204">
        <v>11.2</v>
      </c>
      <c r="K13" s="104">
        <f t="shared" si="6"/>
        <v>9.56</v>
      </c>
      <c r="L13" s="1204">
        <f t="shared" si="2"/>
        <v>21.6</v>
      </c>
      <c r="M13" s="104">
        <f t="shared" si="12"/>
        <v>8.9700000000000006</v>
      </c>
      <c r="N13" s="125">
        <f t="shared" si="7"/>
        <v>128</v>
      </c>
      <c r="O13" s="104">
        <f t="shared" si="13"/>
        <v>7.58</v>
      </c>
      <c r="P13" s="126">
        <f t="shared" si="3"/>
        <v>140.29999999999998</v>
      </c>
      <c r="Q13" s="104">
        <f t="shared" si="8"/>
        <v>8.76</v>
      </c>
      <c r="R13" s="1205">
        <f t="shared" si="4"/>
        <v>268.29999999999995</v>
      </c>
      <c r="S13" s="104">
        <f t="shared" si="9"/>
        <v>8.15</v>
      </c>
    </row>
    <row r="14" spans="1:19" ht="21" customHeight="1">
      <c r="A14" s="324" t="s">
        <v>1284</v>
      </c>
      <c r="B14" s="125">
        <v>113</v>
      </c>
      <c r="C14" s="124">
        <f t="shared" si="10"/>
        <v>7.22</v>
      </c>
      <c r="D14" s="125">
        <v>109.3</v>
      </c>
      <c r="E14" s="104">
        <f t="shared" si="0"/>
        <v>7.37</v>
      </c>
      <c r="F14" s="1204">
        <f t="shared" si="5"/>
        <v>222.3</v>
      </c>
      <c r="G14" s="104">
        <f t="shared" si="1"/>
        <v>7.29</v>
      </c>
      <c r="H14" s="1203">
        <v>10.1</v>
      </c>
      <c r="I14" s="104">
        <f t="shared" si="11"/>
        <v>8.16</v>
      </c>
      <c r="J14" s="1204">
        <v>10.199999999999999</v>
      </c>
      <c r="K14" s="104">
        <f t="shared" si="6"/>
        <v>8.6999999999999993</v>
      </c>
      <c r="L14" s="1204">
        <f t="shared" si="2"/>
        <v>20.299999999999997</v>
      </c>
      <c r="M14" s="104">
        <f t="shared" si="12"/>
        <v>8.43</v>
      </c>
      <c r="N14" s="125">
        <f t="shared" si="7"/>
        <v>123.1</v>
      </c>
      <c r="O14" s="104">
        <f t="shared" si="13"/>
        <v>7.29</v>
      </c>
      <c r="P14" s="126">
        <f t="shared" si="3"/>
        <v>119.5</v>
      </c>
      <c r="Q14" s="104">
        <f t="shared" si="8"/>
        <v>7.46</v>
      </c>
      <c r="R14" s="1205">
        <f t="shared" si="4"/>
        <v>242.6</v>
      </c>
      <c r="S14" s="104">
        <f t="shared" si="9"/>
        <v>7.37</v>
      </c>
    </row>
    <row r="15" spans="1:19" ht="21" customHeight="1">
      <c r="A15" s="324" t="s">
        <v>1285</v>
      </c>
      <c r="B15" s="125">
        <v>105.9</v>
      </c>
      <c r="C15" s="124">
        <f t="shared" si="10"/>
        <v>6.76</v>
      </c>
      <c r="D15" s="125">
        <v>96</v>
      </c>
      <c r="E15" s="104">
        <f t="shared" si="0"/>
        <v>6.47</v>
      </c>
      <c r="F15" s="1204">
        <f t="shared" si="5"/>
        <v>201.9</v>
      </c>
      <c r="G15" s="104">
        <f t="shared" si="1"/>
        <v>6.62</v>
      </c>
      <c r="H15" s="1203">
        <v>10.3</v>
      </c>
      <c r="I15" s="104">
        <f t="shared" si="11"/>
        <v>8.33</v>
      </c>
      <c r="J15" s="1204">
        <v>9.6999999999999993</v>
      </c>
      <c r="K15" s="104">
        <f t="shared" si="6"/>
        <v>8.2799999999999994</v>
      </c>
      <c r="L15" s="1204">
        <f t="shared" si="2"/>
        <v>20</v>
      </c>
      <c r="M15" s="104">
        <f t="shared" si="12"/>
        <v>8.3000000000000007</v>
      </c>
      <c r="N15" s="125">
        <f t="shared" si="7"/>
        <v>116.2</v>
      </c>
      <c r="O15" s="104">
        <f t="shared" si="13"/>
        <v>6.88</v>
      </c>
      <c r="P15" s="126">
        <f t="shared" si="3"/>
        <v>105.7</v>
      </c>
      <c r="Q15" s="104">
        <f t="shared" si="8"/>
        <v>6.6</v>
      </c>
      <c r="R15" s="1205">
        <f t="shared" si="4"/>
        <v>221.9</v>
      </c>
      <c r="S15" s="104">
        <f t="shared" si="9"/>
        <v>6.74</v>
      </c>
    </row>
    <row r="16" spans="1:19" ht="21" customHeight="1">
      <c r="A16" s="324" t="s">
        <v>1286</v>
      </c>
      <c r="B16" s="125">
        <v>83.1</v>
      </c>
      <c r="C16" s="124">
        <f t="shared" si="10"/>
        <v>5.31</v>
      </c>
      <c r="D16" s="125">
        <v>66.900000000000006</v>
      </c>
      <c r="E16" s="104">
        <f t="shared" si="0"/>
        <v>4.51</v>
      </c>
      <c r="F16" s="1204">
        <f t="shared" si="5"/>
        <v>150</v>
      </c>
      <c r="G16" s="104">
        <f t="shared" si="1"/>
        <v>4.92</v>
      </c>
      <c r="H16" s="1203">
        <v>8.6999999999999993</v>
      </c>
      <c r="I16" s="104">
        <f t="shared" si="11"/>
        <v>7.03</v>
      </c>
      <c r="J16" s="1204">
        <v>6.9</v>
      </c>
      <c r="K16" s="104">
        <f t="shared" si="6"/>
        <v>5.89</v>
      </c>
      <c r="L16" s="1204">
        <f t="shared" si="2"/>
        <v>15.6</v>
      </c>
      <c r="M16" s="104">
        <f t="shared" si="12"/>
        <v>6.48</v>
      </c>
      <c r="N16" s="125">
        <f t="shared" si="7"/>
        <v>91.8</v>
      </c>
      <c r="O16" s="104">
        <f t="shared" si="13"/>
        <v>5.43</v>
      </c>
      <c r="P16" s="126">
        <f t="shared" si="3"/>
        <v>73.800000000000011</v>
      </c>
      <c r="Q16" s="104">
        <f t="shared" si="8"/>
        <v>4.6100000000000003</v>
      </c>
      <c r="R16" s="1205">
        <f t="shared" si="4"/>
        <v>165.60000000000002</v>
      </c>
      <c r="S16" s="104">
        <f t="shared" si="9"/>
        <v>5.03</v>
      </c>
    </row>
    <row r="17" spans="1:19" ht="21" customHeight="1">
      <c r="A17" s="326" t="s">
        <v>1287</v>
      </c>
      <c r="B17" s="125">
        <v>64.3</v>
      </c>
      <c r="C17" s="124">
        <f t="shared" si="10"/>
        <v>4.1100000000000003</v>
      </c>
      <c r="D17" s="125">
        <v>56.2</v>
      </c>
      <c r="E17" s="104">
        <f t="shared" si="0"/>
        <v>3.79</v>
      </c>
      <c r="F17" s="1204">
        <f t="shared" si="5"/>
        <v>120.5</v>
      </c>
      <c r="G17" s="104">
        <f t="shared" si="1"/>
        <v>3.95</v>
      </c>
      <c r="H17" s="1164">
        <v>7.2</v>
      </c>
      <c r="I17" s="104">
        <f t="shared" si="11"/>
        <v>5.82</v>
      </c>
      <c r="J17" s="1204">
        <v>5.7</v>
      </c>
      <c r="K17" s="104">
        <f t="shared" si="6"/>
        <v>4.8600000000000003</v>
      </c>
      <c r="L17" s="1204">
        <f t="shared" si="2"/>
        <v>12.9</v>
      </c>
      <c r="M17" s="104">
        <f t="shared" si="12"/>
        <v>5.35</v>
      </c>
      <c r="N17" s="125">
        <f t="shared" si="7"/>
        <v>71.5</v>
      </c>
      <c r="O17" s="104">
        <f t="shared" si="13"/>
        <v>4.2300000000000004</v>
      </c>
      <c r="P17" s="126">
        <f t="shared" si="3"/>
        <v>61.900000000000006</v>
      </c>
      <c r="Q17" s="104">
        <f t="shared" si="8"/>
        <v>3.87</v>
      </c>
      <c r="R17" s="1205">
        <f t="shared" si="4"/>
        <v>133.4</v>
      </c>
      <c r="S17" s="104">
        <f>ROUND(R17/R$26*100,2)+0.01</f>
        <v>4.0599999999999996</v>
      </c>
    </row>
    <row r="18" spans="1:19" ht="21" customHeight="1">
      <c r="A18" s="326" t="s">
        <v>1288</v>
      </c>
      <c r="B18" s="125">
        <v>47.3</v>
      </c>
      <c r="C18" s="124">
        <f t="shared" si="10"/>
        <v>3.02</v>
      </c>
      <c r="D18" s="125">
        <v>41.5</v>
      </c>
      <c r="E18" s="104">
        <f t="shared" si="0"/>
        <v>2.8</v>
      </c>
      <c r="F18" s="1204">
        <f t="shared" si="5"/>
        <v>88.8</v>
      </c>
      <c r="G18" s="104">
        <f t="shared" si="1"/>
        <v>2.91</v>
      </c>
      <c r="H18" s="1164">
        <v>5.4</v>
      </c>
      <c r="I18" s="104">
        <f t="shared" si="11"/>
        <v>4.37</v>
      </c>
      <c r="J18" s="1204">
        <v>4.3</v>
      </c>
      <c r="K18" s="104">
        <f t="shared" si="6"/>
        <v>3.67</v>
      </c>
      <c r="L18" s="1204">
        <f t="shared" si="2"/>
        <v>9.6999999999999993</v>
      </c>
      <c r="M18" s="104">
        <f>ROUND(L18/L$26*100,2)</f>
        <v>4.03</v>
      </c>
      <c r="N18" s="125">
        <f t="shared" si="7"/>
        <v>52.699999999999996</v>
      </c>
      <c r="O18" s="104">
        <f t="shared" si="13"/>
        <v>3.12</v>
      </c>
      <c r="P18" s="126">
        <f t="shared" si="3"/>
        <v>45.8</v>
      </c>
      <c r="Q18" s="104">
        <f t="shared" si="8"/>
        <v>2.86</v>
      </c>
      <c r="R18" s="1205">
        <f t="shared" si="4"/>
        <v>98.5</v>
      </c>
      <c r="S18" s="104">
        <f t="shared" si="9"/>
        <v>2.99</v>
      </c>
    </row>
    <row r="19" spans="1:19" ht="21" customHeight="1">
      <c r="A19" s="326" t="s">
        <v>1289</v>
      </c>
      <c r="B19" s="125">
        <v>32</v>
      </c>
      <c r="C19" s="124">
        <f t="shared" si="10"/>
        <v>2.04</v>
      </c>
      <c r="D19" s="125">
        <v>32</v>
      </c>
      <c r="E19" s="104">
        <f t="shared" si="0"/>
        <v>2.16</v>
      </c>
      <c r="F19" s="1204">
        <f t="shared" si="5"/>
        <v>64</v>
      </c>
      <c r="G19" s="104">
        <f t="shared" si="1"/>
        <v>2.1</v>
      </c>
      <c r="H19" s="1164">
        <v>3.7</v>
      </c>
      <c r="I19" s="104">
        <f t="shared" si="11"/>
        <v>2.99</v>
      </c>
      <c r="J19" s="1204">
        <v>3.1</v>
      </c>
      <c r="K19" s="104">
        <f t="shared" si="6"/>
        <v>2.65</v>
      </c>
      <c r="L19" s="1204">
        <f t="shared" si="2"/>
        <v>6.8000000000000007</v>
      </c>
      <c r="M19" s="104">
        <f t="shared" si="12"/>
        <v>2.82</v>
      </c>
      <c r="N19" s="125">
        <f t="shared" si="7"/>
        <v>35.700000000000003</v>
      </c>
      <c r="O19" s="104">
        <f t="shared" si="13"/>
        <v>2.11</v>
      </c>
      <c r="P19" s="126">
        <f t="shared" si="3"/>
        <v>35.1</v>
      </c>
      <c r="Q19" s="104">
        <f t="shared" si="8"/>
        <v>2.19</v>
      </c>
      <c r="R19" s="1205">
        <f t="shared" si="4"/>
        <v>70.800000000000011</v>
      </c>
      <c r="S19" s="104">
        <f t="shared" si="9"/>
        <v>2.15</v>
      </c>
    </row>
    <row r="20" spans="1:19" ht="21" customHeight="1">
      <c r="A20" s="326" t="s">
        <v>1290</v>
      </c>
      <c r="B20" s="125">
        <v>28.7</v>
      </c>
      <c r="C20" s="124">
        <f t="shared" si="10"/>
        <v>1.83</v>
      </c>
      <c r="D20" s="125">
        <v>30.9</v>
      </c>
      <c r="E20" s="104">
        <f t="shared" si="0"/>
        <v>2.08</v>
      </c>
      <c r="F20" s="1204">
        <f t="shared" si="5"/>
        <v>59.599999999999994</v>
      </c>
      <c r="G20" s="104">
        <f t="shared" si="1"/>
        <v>1.95</v>
      </c>
      <c r="H20" s="1164">
        <v>2.9</v>
      </c>
      <c r="I20" s="104">
        <f t="shared" si="11"/>
        <v>2.34</v>
      </c>
      <c r="J20" s="1204">
        <v>2.9</v>
      </c>
      <c r="K20" s="104">
        <f t="shared" si="6"/>
        <v>2.4700000000000002</v>
      </c>
      <c r="L20" s="1204">
        <f t="shared" si="2"/>
        <v>5.8</v>
      </c>
      <c r="M20" s="104">
        <f t="shared" si="12"/>
        <v>2.41</v>
      </c>
      <c r="N20" s="125">
        <f t="shared" si="7"/>
        <v>31.599999999999998</v>
      </c>
      <c r="O20" s="104">
        <f t="shared" si="13"/>
        <v>1.87</v>
      </c>
      <c r="P20" s="126">
        <f t="shared" si="3"/>
        <v>33.799999999999997</v>
      </c>
      <c r="Q20" s="104">
        <f t="shared" si="8"/>
        <v>2.11</v>
      </c>
      <c r="R20" s="1205">
        <f t="shared" si="4"/>
        <v>65.399999999999991</v>
      </c>
      <c r="S20" s="104">
        <f t="shared" si="9"/>
        <v>1.99</v>
      </c>
    </row>
    <row r="21" spans="1:19" ht="21" customHeight="1">
      <c r="A21" s="326" t="s">
        <v>1291</v>
      </c>
      <c r="B21" s="125">
        <v>17.899999999999999</v>
      </c>
      <c r="C21" s="124">
        <f t="shared" si="10"/>
        <v>1.1399999999999999</v>
      </c>
      <c r="D21" s="125">
        <v>20.8</v>
      </c>
      <c r="E21" s="104">
        <f t="shared" si="0"/>
        <v>1.4</v>
      </c>
      <c r="F21" s="1204">
        <f t="shared" si="5"/>
        <v>38.700000000000003</v>
      </c>
      <c r="G21" s="104">
        <f t="shared" si="1"/>
        <v>1.27</v>
      </c>
      <c r="H21" s="1164">
        <v>2</v>
      </c>
      <c r="I21" s="104">
        <f t="shared" si="11"/>
        <v>1.62</v>
      </c>
      <c r="J21" s="1204">
        <v>2.2999999999999998</v>
      </c>
      <c r="K21" s="104">
        <f t="shared" si="6"/>
        <v>1.96</v>
      </c>
      <c r="L21" s="1204">
        <f t="shared" si="2"/>
        <v>4.3</v>
      </c>
      <c r="M21" s="104">
        <f t="shared" si="12"/>
        <v>1.78</v>
      </c>
      <c r="N21" s="125">
        <f t="shared" si="7"/>
        <v>19.899999999999999</v>
      </c>
      <c r="O21" s="104">
        <f t="shared" si="13"/>
        <v>1.18</v>
      </c>
      <c r="P21" s="126">
        <f t="shared" si="3"/>
        <v>23.1</v>
      </c>
      <c r="Q21" s="104">
        <f t="shared" si="8"/>
        <v>1.44</v>
      </c>
      <c r="R21" s="1205">
        <f t="shared" si="4"/>
        <v>43</v>
      </c>
      <c r="S21" s="104">
        <f t="shared" si="9"/>
        <v>1.31</v>
      </c>
    </row>
    <row r="22" spans="1:19" ht="21" customHeight="1">
      <c r="A22" s="326" t="s">
        <v>1314</v>
      </c>
      <c r="B22" s="125">
        <v>13.8</v>
      </c>
      <c r="C22" s="124">
        <f>ROUND(B22/$B$26*100,2)+0.01</f>
        <v>0.89</v>
      </c>
      <c r="D22" s="125">
        <v>14.6</v>
      </c>
      <c r="E22" s="104">
        <f t="shared" si="0"/>
        <v>0.98</v>
      </c>
      <c r="F22" s="1204">
        <f t="shared" si="5"/>
        <v>28.4</v>
      </c>
      <c r="G22" s="104">
        <f t="shared" si="1"/>
        <v>0.93</v>
      </c>
      <c r="H22" s="1164">
        <v>1.5</v>
      </c>
      <c r="I22" s="104">
        <f t="shared" si="11"/>
        <v>1.21</v>
      </c>
      <c r="J22" s="1204">
        <v>1.6</v>
      </c>
      <c r="K22" s="104">
        <f t="shared" si="6"/>
        <v>1.37</v>
      </c>
      <c r="L22" s="1204">
        <f t="shared" si="2"/>
        <v>3.1</v>
      </c>
      <c r="M22" s="104">
        <f t="shared" si="12"/>
        <v>1.29</v>
      </c>
      <c r="N22" s="125">
        <f t="shared" si="7"/>
        <v>15.3</v>
      </c>
      <c r="O22" s="104">
        <f t="shared" si="13"/>
        <v>0.91</v>
      </c>
      <c r="P22" s="126">
        <f t="shared" si="3"/>
        <v>16.2</v>
      </c>
      <c r="Q22" s="104">
        <f t="shared" si="8"/>
        <v>1.01</v>
      </c>
      <c r="R22" s="1205">
        <f t="shared" si="4"/>
        <v>31.5</v>
      </c>
      <c r="S22" s="104">
        <f t="shared" si="9"/>
        <v>0.96</v>
      </c>
    </row>
    <row r="23" spans="1:19" ht="21" customHeight="1">
      <c r="A23" s="326" t="s">
        <v>1315</v>
      </c>
      <c r="B23" s="125">
        <v>6</v>
      </c>
      <c r="C23" s="124">
        <f t="shared" si="10"/>
        <v>0.38</v>
      </c>
      <c r="D23" s="125">
        <v>6</v>
      </c>
      <c r="E23" s="104">
        <f t="shared" si="0"/>
        <v>0.4</v>
      </c>
      <c r="F23" s="1204">
        <f t="shared" si="5"/>
        <v>12</v>
      </c>
      <c r="G23" s="104">
        <f t="shared" si="1"/>
        <v>0.39</v>
      </c>
      <c r="H23" s="1164">
        <v>0.8</v>
      </c>
      <c r="I23" s="104">
        <f t="shared" si="11"/>
        <v>0.65</v>
      </c>
      <c r="J23" s="1204">
        <v>0.8</v>
      </c>
      <c r="K23" s="104">
        <f t="shared" si="6"/>
        <v>0.68</v>
      </c>
      <c r="L23" s="1204">
        <f t="shared" si="2"/>
        <v>1.6</v>
      </c>
      <c r="M23" s="104">
        <f t="shared" si="12"/>
        <v>0.66</v>
      </c>
      <c r="N23" s="125">
        <f t="shared" si="7"/>
        <v>6.8</v>
      </c>
      <c r="O23" s="104">
        <f t="shared" si="13"/>
        <v>0.4</v>
      </c>
      <c r="P23" s="126">
        <f t="shared" si="3"/>
        <v>6.8</v>
      </c>
      <c r="Q23" s="104">
        <f t="shared" si="8"/>
        <v>0.42</v>
      </c>
      <c r="R23" s="1205">
        <f t="shared" si="4"/>
        <v>13.6</v>
      </c>
      <c r="S23" s="104">
        <f t="shared" si="9"/>
        <v>0.41</v>
      </c>
    </row>
    <row r="24" spans="1:19" ht="21" customHeight="1">
      <c r="A24" s="326" t="s">
        <v>1316</v>
      </c>
      <c r="B24" s="125">
        <v>8.4</v>
      </c>
      <c r="C24" s="124">
        <f t="shared" si="10"/>
        <v>0.54</v>
      </c>
      <c r="D24" s="125">
        <v>8.6</v>
      </c>
      <c r="E24" s="104">
        <f t="shared" si="0"/>
        <v>0.57999999999999996</v>
      </c>
      <c r="F24" s="1204">
        <f t="shared" si="5"/>
        <v>17</v>
      </c>
      <c r="G24" s="104">
        <f t="shared" si="1"/>
        <v>0.56000000000000005</v>
      </c>
      <c r="H24" s="1164">
        <v>0.9</v>
      </c>
      <c r="I24" s="104">
        <f t="shared" si="11"/>
        <v>0.73</v>
      </c>
      <c r="J24" s="1204">
        <v>1.1000000000000001</v>
      </c>
      <c r="K24" s="104">
        <f t="shared" si="6"/>
        <v>0.94</v>
      </c>
      <c r="L24" s="1204">
        <f t="shared" si="2"/>
        <v>2</v>
      </c>
      <c r="M24" s="104">
        <f t="shared" si="12"/>
        <v>0.83</v>
      </c>
      <c r="N24" s="125">
        <f t="shared" si="7"/>
        <v>9.3000000000000007</v>
      </c>
      <c r="O24" s="104">
        <f t="shared" si="13"/>
        <v>0.55000000000000004</v>
      </c>
      <c r="P24" s="126">
        <f t="shared" si="3"/>
        <v>9.6999999999999993</v>
      </c>
      <c r="Q24" s="104">
        <f t="shared" si="8"/>
        <v>0.61</v>
      </c>
      <c r="R24" s="1205">
        <f t="shared" si="4"/>
        <v>19</v>
      </c>
      <c r="S24" s="104">
        <f t="shared" si="9"/>
        <v>0.57999999999999996</v>
      </c>
    </row>
    <row r="25" spans="1:19" ht="28.5" customHeight="1">
      <c r="A25" s="171" t="s">
        <v>1299</v>
      </c>
      <c r="B25" s="125">
        <v>2.8</v>
      </c>
      <c r="C25" s="124">
        <f t="shared" si="10"/>
        <v>0.18</v>
      </c>
      <c r="D25" s="125">
        <v>2.4</v>
      </c>
      <c r="E25" s="104">
        <f t="shared" si="0"/>
        <v>0.16</v>
      </c>
      <c r="F25" s="1204">
        <f t="shared" si="5"/>
        <v>5.1999999999999993</v>
      </c>
      <c r="G25" s="104">
        <f t="shared" si="1"/>
        <v>0.17</v>
      </c>
      <c r="H25" s="125">
        <v>0.2</v>
      </c>
      <c r="I25" s="104">
        <f t="shared" si="11"/>
        <v>0.16</v>
      </c>
      <c r="J25" s="1164">
        <v>0.2</v>
      </c>
      <c r="K25" s="104">
        <f t="shared" si="6"/>
        <v>0.17</v>
      </c>
      <c r="L25" s="1204">
        <f t="shared" si="2"/>
        <v>0.4</v>
      </c>
      <c r="M25" s="104">
        <f t="shared" si="12"/>
        <v>0.17</v>
      </c>
      <c r="N25" s="125">
        <f t="shared" si="7"/>
        <v>3</v>
      </c>
      <c r="O25" s="104">
        <f t="shared" si="13"/>
        <v>0.18</v>
      </c>
      <c r="P25" s="126">
        <f t="shared" si="3"/>
        <v>2.6</v>
      </c>
      <c r="Q25" s="104">
        <f t="shared" si="8"/>
        <v>0.16</v>
      </c>
      <c r="R25" s="1205">
        <f t="shared" si="4"/>
        <v>5.6</v>
      </c>
      <c r="S25" s="104">
        <f t="shared" si="9"/>
        <v>0.17</v>
      </c>
    </row>
    <row r="26" spans="1:19" ht="21" customHeight="1">
      <c r="A26" s="776" t="s">
        <v>1157</v>
      </c>
      <c r="B26" s="1206">
        <f>SUM(B8:B25)</f>
        <v>1565.7</v>
      </c>
      <c r="C26" s="172">
        <f>SUM(C8:C25)</f>
        <v>100.00000000000001</v>
      </c>
      <c r="D26" s="1206">
        <f t="shared" ref="D26:R26" si="14">SUM(D8:D25)</f>
        <v>1483.9</v>
      </c>
      <c r="E26" s="172">
        <f>SUM(E8:E25)</f>
        <v>100.00000000000001</v>
      </c>
      <c r="F26" s="1206">
        <f t="shared" si="14"/>
        <v>3049.6</v>
      </c>
      <c r="G26" s="172">
        <f>SUM(G8:G25)</f>
        <v>100.00000000000001</v>
      </c>
      <c r="H26" s="1206">
        <f t="shared" si="14"/>
        <v>123.70000000000002</v>
      </c>
      <c r="I26" s="172">
        <f>SUM(I8:I25)</f>
        <v>100.00000000000001</v>
      </c>
      <c r="J26" s="1206">
        <f t="shared" si="14"/>
        <v>117.2</v>
      </c>
      <c r="K26" s="172">
        <f>SUM(K8:K25)</f>
        <v>100.00000000000001</v>
      </c>
      <c r="L26" s="1206">
        <f t="shared" si="14"/>
        <v>240.9</v>
      </c>
      <c r="M26" s="172">
        <f>SUM(M8:M25)</f>
        <v>99.999999999999986</v>
      </c>
      <c r="N26" s="1206">
        <f t="shared" si="14"/>
        <v>1689.3999999999999</v>
      </c>
      <c r="O26" s="172">
        <f>SUM(O8:O25)</f>
        <v>100.00000000000001</v>
      </c>
      <c r="P26" s="173">
        <f t="shared" si="14"/>
        <v>1601.1</v>
      </c>
      <c r="Q26" s="172">
        <f>SUM(Q8:Q25)</f>
        <v>100</v>
      </c>
      <c r="R26" s="173">
        <f t="shared" si="14"/>
        <v>3290.5</v>
      </c>
      <c r="S26" s="172">
        <f>SUM(S8:S25)</f>
        <v>100</v>
      </c>
    </row>
    <row r="27" spans="1:19">
      <c r="A27" s="17"/>
      <c r="M27" s="1448" t="s">
        <v>1528</v>
      </c>
      <c r="N27" s="1448"/>
      <c r="O27" s="1448"/>
      <c r="P27" s="1448"/>
      <c r="Q27" s="1448"/>
      <c r="R27" s="1448"/>
      <c r="S27" s="1448"/>
    </row>
    <row r="28" spans="1:19">
      <c r="A28" s="17"/>
    </row>
    <row r="30" spans="1:19">
      <c r="S30" s="7"/>
    </row>
  </sheetData>
  <mergeCells count="16">
    <mergeCell ref="A1:S1"/>
    <mergeCell ref="A2:S2"/>
    <mergeCell ref="A4:A6"/>
    <mergeCell ref="B4:G4"/>
    <mergeCell ref="H4:M4"/>
    <mergeCell ref="N4:S4"/>
    <mergeCell ref="B5:C5"/>
    <mergeCell ref="D5:E5"/>
    <mergeCell ref="J5:K5"/>
    <mergeCell ref="L5:M5"/>
    <mergeCell ref="F5:G5"/>
    <mergeCell ref="H5:I5"/>
    <mergeCell ref="R5:S5"/>
    <mergeCell ref="M27:S27"/>
    <mergeCell ref="N5:O5"/>
    <mergeCell ref="P5:Q5"/>
  </mergeCells>
  <phoneticPr fontId="131" type="noConversion"/>
  <printOptions horizontalCentered="1"/>
  <pageMargins left="0.1" right="0.1" top="0.65" bottom="0.1" header="0.17" footer="0.1"/>
  <pageSetup paperSize="9" orientation="landscape" blackAndWhite="1" horizontalDpi="4294967295" verticalDpi="144" r:id="rId1"/>
  <headerFooter alignWithMargins="0"/>
</worksheet>
</file>

<file path=xl/worksheets/sheet14.xml><?xml version="1.0" encoding="utf-8"?>
<worksheet xmlns="http://schemas.openxmlformats.org/spreadsheetml/2006/main" xmlns:r="http://schemas.openxmlformats.org/officeDocument/2006/relationships">
  <sheetPr codeName="Sheet14"/>
  <dimension ref="A1:S30"/>
  <sheetViews>
    <sheetView workbookViewId="0">
      <selection activeCell="M5" sqref="M5"/>
    </sheetView>
  </sheetViews>
  <sheetFormatPr defaultRowHeight="12.75"/>
  <cols>
    <col min="1" max="1" width="8.42578125" style="138" customWidth="1"/>
    <col min="2" max="2" width="8.7109375" style="138" customWidth="1"/>
    <col min="3" max="3" width="6.5703125" style="138" customWidth="1"/>
    <col min="4" max="4" width="8.42578125" style="138" customWidth="1"/>
    <col min="5" max="5" width="7.140625" style="138" customWidth="1"/>
    <col min="6" max="6" width="8.5703125" style="138" customWidth="1"/>
    <col min="7" max="7" width="6.5703125" style="138" customWidth="1"/>
    <col min="8" max="8" width="7.5703125" style="138" customWidth="1"/>
    <col min="9" max="9" width="7" style="138" customWidth="1"/>
    <col min="10" max="10" width="8.7109375" style="138" customWidth="1"/>
    <col min="11" max="11" width="7" style="138" customWidth="1"/>
    <col min="12" max="12" width="8" style="138" customWidth="1"/>
    <col min="13" max="13" width="7" style="138" customWidth="1"/>
    <col min="14" max="14" width="8" style="138" customWidth="1"/>
    <col min="15" max="15" width="7" style="138" customWidth="1"/>
    <col min="16" max="16" width="8.85546875" style="138" customWidth="1"/>
    <col min="17" max="17" width="7" style="138" customWidth="1"/>
    <col min="18" max="18" width="8.42578125" style="138" customWidth="1"/>
    <col min="19" max="19" width="7" style="138" customWidth="1"/>
    <col min="20" max="16384" width="9.140625" style="138"/>
  </cols>
  <sheetData>
    <row r="1" spans="1:19">
      <c r="A1" s="1444" t="s">
        <v>1344</v>
      </c>
      <c r="B1" s="1444"/>
      <c r="C1" s="1444"/>
      <c r="D1" s="1444"/>
      <c r="E1" s="1444"/>
      <c r="F1" s="1444"/>
      <c r="G1" s="1444"/>
      <c r="H1" s="1444"/>
      <c r="I1" s="1444"/>
      <c r="J1" s="1444"/>
      <c r="K1" s="1444"/>
      <c r="L1" s="1444"/>
      <c r="M1" s="1444"/>
      <c r="N1" s="1444"/>
      <c r="O1" s="1444"/>
      <c r="P1" s="1444"/>
      <c r="Q1" s="1444"/>
      <c r="R1" s="1444"/>
      <c r="S1" s="1444"/>
    </row>
    <row r="2" spans="1:19" ht="18" customHeight="1">
      <c r="A2" s="1355" t="str">
        <f>CONCATENATE("Distribution of Population by sex and by age group in the district of ",District!$A$1,", 2011")</f>
        <v>Distribution of Population by sex and by age group in the district of Malda, 2011</v>
      </c>
      <c r="B2" s="1355"/>
      <c r="C2" s="1355"/>
      <c r="D2" s="1355"/>
      <c r="E2" s="1355"/>
      <c r="F2" s="1355"/>
      <c r="G2" s="1355"/>
      <c r="H2" s="1355"/>
      <c r="I2" s="1355"/>
      <c r="J2" s="1355"/>
      <c r="K2" s="1355"/>
      <c r="L2" s="1355"/>
      <c r="M2" s="1355"/>
      <c r="N2" s="1355"/>
      <c r="O2" s="1355"/>
      <c r="P2" s="1355"/>
      <c r="Q2" s="1355"/>
      <c r="R2" s="1355"/>
      <c r="S2" s="1355"/>
    </row>
    <row r="3" spans="1:19" ht="13.5" customHeight="1">
      <c r="B3" s="1154"/>
      <c r="C3" s="1154"/>
      <c r="D3" s="1154"/>
      <c r="E3" s="1154"/>
      <c r="F3" s="1154"/>
      <c r="G3" s="1154"/>
      <c r="H3" s="1154"/>
      <c r="I3" s="1154"/>
      <c r="J3" s="1154"/>
      <c r="K3" s="1154"/>
      <c r="L3" s="1154"/>
      <c r="M3" s="1154"/>
      <c r="N3" s="1154"/>
      <c r="O3" s="1154"/>
      <c r="P3" s="1154"/>
      <c r="Q3" s="1154"/>
      <c r="R3" s="1154"/>
      <c r="S3" s="662" t="s">
        <v>1552</v>
      </c>
    </row>
    <row r="4" spans="1:19" ht="15.75" customHeight="1">
      <c r="A4" s="1449" t="s">
        <v>1269</v>
      </c>
      <c r="B4" s="1357" t="s">
        <v>1600</v>
      </c>
      <c r="C4" s="1357"/>
      <c r="D4" s="1357"/>
      <c r="E4" s="1357"/>
      <c r="F4" s="1357"/>
      <c r="G4" s="1358"/>
      <c r="H4" s="1356" t="s">
        <v>1601</v>
      </c>
      <c r="I4" s="1357"/>
      <c r="J4" s="1357"/>
      <c r="K4" s="1357"/>
      <c r="L4" s="1357"/>
      <c r="M4" s="1358"/>
      <c r="N4" s="1356" t="s">
        <v>1602</v>
      </c>
      <c r="O4" s="1357"/>
      <c r="P4" s="1357"/>
      <c r="Q4" s="1357"/>
      <c r="R4" s="1357"/>
      <c r="S4" s="1358"/>
    </row>
    <row r="5" spans="1:19" ht="15.75" customHeight="1">
      <c r="A5" s="1450"/>
      <c r="B5" s="1445" t="s">
        <v>1265</v>
      </c>
      <c r="C5" s="1446"/>
      <c r="D5" s="1445" t="s">
        <v>1266</v>
      </c>
      <c r="E5" s="1446"/>
      <c r="F5" s="1445" t="s">
        <v>1233</v>
      </c>
      <c r="G5" s="1446"/>
      <c r="H5" s="1445" t="s">
        <v>1265</v>
      </c>
      <c r="I5" s="1446"/>
      <c r="J5" s="1445" t="s">
        <v>1266</v>
      </c>
      <c r="K5" s="1446"/>
      <c r="L5" s="1445" t="s">
        <v>1233</v>
      </c>
      <c r="M5" s="1446"/>
      <c r="N5" s="1445" t="s">
        <v>1265</v>
      </c>
      <c r="O5" s="1446"/>
      <c r="P5" s="1447" t="s">
        <v>1266</v>
      </c>
      <c r="Q5" s="1446"/>
      <c r="R5" s="1447" t="s">
        <v>1233</v>
      </c>
      <c r="S5" s="1446"/>
    </row>
    <row r="6" spans="1:19" ht="15.75" customHeight="1">
      <c r="A6" s="1451"/>
      <c r="B6" s="320" t="s">
        <v>1254</v>
      </c>
      <c r="C6" s="321" t="s">
        <v>1270</v>
      </c>
      <c r="D6" s="320" t="s">
        <v>1254</v>
      </c>
      <c r="E6" s="319" t="s">
        <v>1270</v>
      </c>
      <c r="F6" s="320" t="s">
        <v>1254</v>
      </c>
      <c r="G6" s="321" t="s">
        <v>1270</v>
      </c>
      <c r="H6" s="320" t="s">
        <v>1254</v>
      </c>
      <c r="I6" s="321" t="s">
        <v>1270</v>
      </c>
      <c r="J6" s="320" t="s">
        <v>1254</v>
      </c>
      <c r="K6" s="321" t="s">
        <v>1270</v>
      </c>
      <c r="L6" s="320" t="s">
        <v>1254</v>
      </c>
      <c r="M6" s="319" t="s">
        <v>1270</v>
      </c>
      <c r="N6" s="320" t="s">
        <v>1254</v>
      </c>
      <c r="O6" s="321" t="s">
        <v>1270</v>
      </c>
      <c r="P6" s="322" t="s">
        <v>1254</v>
      </c>
      <c r="Q6" s="321" t="s">
        <v>1270</v>
      </c>
      <c r="R6" s="322" t="s">
        <v>1254</v>
      </c>
      <c r="S6" s="321" t="s">
        <v>1270</v>
      </c>
    </row>
    <row r="7" spans="1:19" ht="15.75" customHeight="1">
      <c r="A7" s="272" t="s">
        <v>1208</v>
      </c>
      <c r="B7" s="218" t="s">
        <v>1209</v>
      </c>
      <c r="C7" s="153" t="s">
        <v>1210</v>
      </c>
      <c r="D7" s="218" t="s">
        <v>1211</v>
      </c>
      <c r="E7" s="155" t="s">
        <v>1212</v>
      </c>
      <c r="F7" s="218" t="s">
        <v>1213</v>
      </c>
      <c r="G7" s="155" t="s">
        <v>1214</v>
      </c>
      <c r="H7" s="218" t="s">
        <v>1244</v>
      </c>
      <c r="I7" s="153" t="s">
        <v>1245</v>
      </c>
      <c r="J7" s="218" t="s">
        <v>1246</v>
      </c>
      <c r="K7" s="153" t="s">
        <v>1247</v>
      </c>
      <c r="L7" s="218" t="s">
        <v>1271</v>
      </c>
      <c r="M7" s="155" t="s">
        <v>1272</v>
      </c>
      <c r="N7" s="154" t="s">
        <v>1273</v>
      </c>
      <c r="O7" s="155" t="s">
        <v>1274</v>
      </c>
      <c r="P7" s="219" t="s">
        <v>1275</v>
      </c>
      <c r="Q7" s="155" t="s">
        <v>1276</v>
      </c>
      <c r="R7" s="152" t="s">
        <v>1278</v>
      </c>
      <c r="S7" s="153" t="s">
        <v>1277</v>
      </c>
    </row>
    <row r="8" spans="1:19" ht="21" customHeight="1">
      <c r="A8" s="323" t="s">
        <v>1279</v>
      </c>
      <c r="B8" s="304">
        <v>185323</v>
      </c>
      <c r="C8" s="104">
        <f>ROUND(B8/B$26*100,2)</f>
        <v>10.48</v>
      </c>
      <c r="D8" s="304">
        <v>179107</v>
      </c>
      <c r="E8" s="104">
        <f t="shared" ref="E8:E25" si="0">ROUND(D8/D$26*100,2)</f>
        <v>10.67</v>
      </c>
      <c r="F8" s="1195">
        <f>SUM(B8,D8)</f>
        <v>364430</v>
      </c>
      <c r="G8" s="104">
        <f t="shared" ref="G8:G25" si="1">ROUND(F8/F$26*100,2)</f>
        <v>10.57</v>
      </c>
      <c r="H8" s="304">
        <v>26941</v>
      </c>
      <c r="I8" s="104">
        <f>ROUND(H8/H$26*100,2)+0.01</f>
        <v>9.52</v>
      </c>
      <c r="J8" s="304">
        <v>24778</v>
      </c>
      <c r="K8" s="104">
        <f>ROUND(J8/J$26*100,2)</f>
        <v>9.59</v>
      </c>
      <c r="L8" s="1195">
        <f t="shared" ref="L8:L25" si="2">SUM(H8,J8)</f>
        <v>51719</v>
      </c>
      <c r="M8" s="104">
        <f>ROUND(L8/L$26*100,2)</f>
        <v>9.5500000000000007</v>
      </c>
      <c r="N8" s="1197">
        <f>SUM(B8,H8)</f>
        <v>212264</v>
      </c>
      <c r="O8" s="104">
        <f>ROUND(N8/N$26*100,2)</f>
        <v>10.35</v>
      </c>
      <c r="P8" s="1198">
        <f t="shared" ref="P8:P25" si="3">SUM(D8,J8)</f>
        <v>203885</v>
      </c>
      <c r="Q8" s="104">
        <f>ROUND(P8/P$26*100,2)</f>
        <v>10.52</v>
      </c>
      <c r="R8" s="1200">
        <f t="shared" ref="R8:R25" si="4">SUM(N8,P8)</f>
        <v>416149</v>
      </c>
      <c r="S8" s="104">
        <f>ROUND(R8/R$26*100,2)</f>
        <v>10.43</v>
      </c>
    </row>
    <row r="9" spans="1:19" ht="21" customHeight="1">
      <c r="A9" s="324" t="s">
        <v>1156</v>
      </c>
      <c r="B9" s="304">
        <v>213713</v>
      </c>
      <c r="C9" s="124">
        <f>ROUND(B9/$B$26*100,2)</f>
        <v>12.09</v>
      </c>
      <c r="D9" s="304">
        <v>205271</v>
      </c>
      <c r="E9" s="104">
        <f t="shared" si="0"/>
        <v>12.23</v>
      </c>
      <c r="F9" s="1195">
        <f t="shared" ref="F9:F25" si="5">SUM(B9,D9)</f>
        <v>418984</v>
      </c>
      <c r="G9" s="104">
        <f t="shared" si="1"/>
        <v>12.15</v>
      </c>
      <c r="H9" s="304">
        <v>29775</v>
      </c>
      <c r="I9" s="104">
        <f>ROUND(H9/H$26*100,2)</f>
        <v>10.51</v>
      </c>
      <c r="J9" s="304">
        <v>26577</v>
      </c>
      <c r="K9" s="104">
        <f t="shared" ref="K9:K25" si="6">ROUND(J9/J$26*100,2)</f>
        <v>10.28</v>
      </c>
      <c r="L9" s="1195">
        <f t="shared" si="2"/>
        <v>56352</v>
      </c>
      <c r="M9" s="104">
        <f>ROUND(L9/L$26*100,2)</f>
        <v>10.4</v>
      </c>
      <c r="N9" s="1197">
        <f t="shared" ref="N9:N25" si="7">SUM(B9,H9)</f>
        <v>243488</v>
      </c>
      <c r="O9" s="104">
        <f>ROUND(N9/N$26*100,2)</f>
        <v>11.87</v>
      </c>
      <c r="P9" s="1198">
        <f t="shared" si="3"/>
        <v>231848</v>
      </c>
      <c r="Q9" s="104">
        <f t="shared" ref="Q9:Q25" si="8">ROUND(P9/P$26*100,2)</f>
        <v>11.97</v>
      </c>
      <c r="R9" s="1200">
        <f t="shared" si="4"/>
        <v>475336</v>
      </c>
      <c r="S9" s="104">
        <f t="shared" ref="S9:S25" si="9">ROUND(R9/R$26*100,2)</f>
        <v>11.92</v>
      </c>
    </row>
    <row r="10" spans="1:19" ht="21" customHeight="1">
      <c r="A10" s="325" t="s">
        <v>1280</v>
      </c>
      <c r="B10" s="304">
        <v>229325</v>
      </c>
      <c r="C10" s="124">
        <f t="shared" ref="C10:C25" si="10">ROUND(B10/$B$26*100,2)</f>
        <v>12.97</v>
      </c>
      <c r="D10" s="304">
        <v>221009</v>
      </c>
      <c r="E10" s="104">
        <f t="shared" si="0"/>
        <v>13.16</v>
      </c>
      <c r="F10" s="1195">
        <f t="shared" si="5"/>
        <v>450334</v>
      </c>
      <c r="G10" s="104">
        <f t="shared" si="1"/>
        <v>13.06</v>
      </c>
      <c r="H10" s="304">
        <v>27909</v>
      </c>
      <c r="I10" s="104">
        <f t="shared" ref="I10:I25" si="11">ROUND(H10/H$26*100,2)</f>
        <v>9.85</v>
      </c>
      <c r="J10" s="304">
        <v>26587</v>
      </c>
      <c r="K10" s="104">
        <f t="shared" si="6"/>
        <v>10.29</v>
      </c>
      <c r="L10" s="1195">
        <f t="shared" si="2"/>
        <v>54496</v>
      </c>
      <c r="M10" s="104">
        <f t="shared" ref="M10:M25" si="12">ROUND(L10/L$26*100,2)</f>
        <v>10.06</v>
      </c>
      <c r="N10" s="1197">
        <f t="shared" si="7"/>
        <v>257234</v>
      </c>
      <c r="O10" s="104">
        <f t="shared" ref="O10:O25" si="13">ROUND(N10/N$26*100,2)</f>
        <v>12.54</v>
      </c>
      <c r="P10" s="1198">
        <f t="shared" si="3"/>
        <v>247596</v>
      </c>
      <c r="Q10" s="104">
        <f>ROUND(P10/P$26*100,2)</f>
        <v>12.78</v>
      </c>
      <c r="R10" s="1200">
        <f t="shared" si="4"/>
        <v>504830</v>
      </c>
      <c r="S10" s="104">
        <f t="shared" si="9"/>
        <v>12.66</v>
      </c>
    </row>
    <row r="11" spans="1:19" ht="21" customHeight="1">
      <c r="A11" s="324" t="s">
        <v>1281</v>
      </c>
      <c r="B11" s="304">
        <v>195038</v>
      </c>
      <c r="C11" s="124">
        <f t="shared" si="10"/>
        <v>11.03</v>
      </c>
      <c r="D11" s="304">
        <v>174342</v>
      </c>
      <c r="E11" s="104">
        <f t="shared" si="0"/>
        <v>10.38</v>
      </c>
      <c r="F11" s="1195">
        <f t="shared" si="5"/>
        <v>369380</v>
      </c>
      <c r="G11" s="104">
        <f t="shared" si="1"/>
        <v>10.72</v>
      </c>
      <c r="H11" s="304">
        <v>27761</v>
      </c>
      <c r="I11" s="104">
        <f t="shared" si="11"/>
        <v>9.8000000000000007</v>
      </c>
      <c r="J11" s="304">
        <v>26245</v>
      </c>
      <c r="K11" s="104">
        <f t="shared" si="6"/>
        <v>10.15</v>
      </c>
      <c r="L11" s="1195">
        <f t="shared" si="2"/>
        <v>54006</v>
      </c>
      <c r="M11" s="104">
        <f t="shared" si="12"/>
        <v>9.9700000000000006</v>
      </c>
      <c r="N11" s="1197">
        <f t="shared" si="7"/>
        <v>222799</v>
      </c>
      <c r="O11" s="104">
        <f t="shared" si="13"/>
        <v>10.86</v>
      </c>
      <c r="P11" s="1198">
        <f t="shared" si="3"/>
        <v>200587</v>
      </c>
      <c r="Q11" s="104">
        <f t="shared" si="8"/>
        <v>10.35</v>
      </c>
      <c r="R11" s="1200">
        <f t="shared" si="4"/>
        <v>423386</v>
      </c>
      <c r="S11" s="104">
        <f t="shared" si="9"/>
        <v>10.61</v>
      </c>
    </row>
    <row r="12" spans="1:19" ht="21" customHeight="1">
      <c r="A12" s="324" t="s">
        <v>1282</v>
      </c>
      <c r="B12" s="304">
        <v>162530</v>
      </c>
      <c r="C12" s="124">
        <f t="shared" si="10"/>
        <v>9.19</v>
      </c>
      <c r="D12" s="304">
        <v>157226</v>
      </c>
      <c r="E12" s="104">
        <f t="shared" si="0"/>
        <v>9.3699999999999992</v>
      </c>
      <c r="F12" s="1195">
        <f t="shared" si="5"/>
        <v>319756</v>
      </c>
      <c r="G12" s="104">
        <f t="shared" si="1"/>
        <v>9.2799999999999994</v>
      </c>
      <c r="H12" s="304">
        <v>27946</v>
      </c>
      <c r="I12" s="104">
        <f>ROUND(H12/H$26*100,2)</f>
        <v>9.8699999999999992</v>
      </c>
      <c r="J12" s="304">
        <v>25730</v>
      </c>
      <c r="K12" s="104">
        <f>ROUND(J12/J$26*100,2)-0.01</f>
        <v>9.9500000000000011</v>
      </c>
      <c r="L12" s="1195">
        <f t="shared" si="2"/>
        <v>53676</v>
      </c>
      <c r="M12" s="104">
        <f t="shared" si="12"/>
        <v>9.91</v>
      </c>
      <c r="N12" s="1197">
        <f t="shared" si="7"/>
        <v>190476</v>
      </c>
      <c r="O12" s="104">
        <f>ROUND(N12/N$26*100,2)+0.01</f>
        <v>9.2899999999999991</v>
      </c>
      <c r="P12" s="1198">
        <f t="shared" si="3"/>
        <v>182956</v>
      </c>
      <c r="Q12" s="104">
        <f t="shared" si="8"/>
        <v>9.44</v>
      </c>
      <c r="R12" s="1200">
        <f t="shared" si="4"/>
        <v>373432</v>
      </c>
      <c r="S12" s="104">
        <f t="shared" si="9"/>
        <v>9.36</v>
      </c>
    </row>
    <row r="13" spans="1:19" ht="21" customHeight="1">
      <c r="A13" s="324" t="s">
        <v>1283</v>
      </c>
      <c r="B13" s="304">
        <v>137847</v>
      </c>
      <c r="C13" s="124">
        <f t="shared" si="10"/>
        <v>7.8</v>
      </c>
      <c r="D13" s="304">
        <v>134023</v>
      </c>
      <c r="E13" s="104">
        <f t="shared" si="0"/>
        <v>7.98</v>
      </c>
      <c r="F13" s="1195">
        <f t="shared" si="5"/>
        <v>271870</v>
      </c>
      <c r="G13" s="104">
        <f t="shared" si="1"/>
        <v>7.89</v>
      </c>
      <c r="H13" s="304">
        <v>23792</v>
      </c>
      <c r="I13" s="104">
        <f t="shared" si="11"/>
        <v>8.4</v>
      </c>
      <c r="J13" s="304">
        <v>22209</v>
      </c>
      <c r="K13" s="104">
        <f t="shared" si="6"/>
        <v>8.59</v>
      </c>
      <c r="L13" s="1195">
        <f t="shared" si="2"/>
        <v>46001</v>
      </c>
      <c r="M13" s="104">
        <f t="shared" si="12"/>
        <v>8.49</v>
      </c>
      <c r="N13" s="1197">
        <f t="shared" si="7"/>
        <v>161639</v>
      </c>
      <c r="O13" s="104">
        <f t="shared" si="13"/>
        <v>7.88</v>
      </c>
      <c r="P13" s="1198">
        <f t="shared" si="3"/>
        <v>156232</v>
      </c>
      <c r="Q13" s="104">
        <f t="shared" si="8"/>
        <v>8.06</v>
      </c>
      <c r="R13" s="1200">
        <f t="shared" si="4"/>
        <v>317871</v>
      </c>
      <c r="S13" s="104">
        <f t="shared" si="9"/>
        <v>7.97</v>
      </c>
    </row>
    <row r="14" spans="1:19" ht="21" customHeight="1">
      <c r="A14" s="324" t="s">
        <v>1284</v>
      </c>
      <c r="B14" s="304">
        <v>110731</v>
      </c>
      <c r="C14" s="124">
        <f t="shared" si="10"/>
        <v>6.26</v>
      </c>
      <c r="D14" s="304">
        <v>108578</v>
      </c>
      <c r="E14" s="104">
        <f t="shared" si="0"/>
        <v>6.47</v>
      </c>
      <c r="F14" s="1195">
        <f t="shared" si="5"/>
        <v>219309</v>
      </c>
      <c r="G14" s="104">
        <f t="shared" si="1"/>
        <v>6.36</v>
      </c>
      <c r="H14" s="304">
        <v>19966</v>
      </c>
      <c r="I14" s="104">
        <f t="shared" si="11"/>
        <v>7.05</v>
      </c>
      <c r="J14" s="304">
        <v>19169</v>
      </c>
      <c r="K14" s="104">
        <f t="shared" si="6"/>
        <v>7.42</v>
      </c>
      <c r="L14" s="1195">
        <f t="shared" si="2"/>
        <v>39135</v>
      </c>
      <c r="M14" s="104">
        <f t="shared" si="12"/>
        <v>7.23</v>
      </c>
      <c r="N14" s="1197">
        <f t="shared" si="7"/>
        <v>130697</v>
      </c>
      <c r="O14" s="104">
        <f t="shared" si="13"/>
        <v>6.37</v>
      </c>
      <c r="P14" s="1198">
        <f t="shared" si="3"/>
        <v>127747</v>
      </c>
      <c r="Q14" s="104">
        <f t="shared" si="8"/>
        <v>6.59</v>
      </c>
      <c r="R14" s="1200">
        <f t="shared" si="4"/>
        <v>258444</v>
      </c>
      <c r="S14" s="104">
        <f t="shared" si="9"/>
        <v>6.48</v>
      </c>
    </row>
    <row r="15" spans="1:19" ht="21" customHeight="1">
      <c r="A15" s="324" t="s">
        <v>1285</v>
      </c>
      <c r="B15" s="304">
        <v>113433</v>
      </c>
      <c r="C15" s="124">
        <f t="shared" si="10"/>
        <v>6.41</v>
      </c>
      <c r="D15" s="304">
        <v>114078</v>
      </c>
      <c r="E15" s="104">
        <f t="shared" si="0"/>
        <v>6.8</v>
      </c>
      <c r="F15" s="1195">
        <f t="shared" si="5"/>
        <v>227511</v>
      </c>
      <c r="G15" s="104">
        <f t="shared" si="1"/>
        <v>6.6</v>
      </c>
      <c r="H15" s="304">
        <v>20697</v>
      </c>
      <c r="I15" s="104">
        <f t="shared" si="11"/>
        <v>7.31</v>
      </c>
      <c r="J15" s="304">
        <v>19734</v>
      </c>
      <c r="K15" s="104">
        <f t="shared" si="6"/>
        <v>7.64</v>
      </c>
      <c r="L15" s="1195">
        <f t="shared" si="2"/>
        <v>40431</v>
      </c>
      <c r="M15" s="104">
        <f t="shared" si="12"/>
        <v>7.46</v>
      </c>
      <c r="N15" s="1197">
        <f t="shared" si="7"/>
        <v>134130</v>
      </c>
      <c r="O15" s="104">
        <f t="shared" si="13"/>
        <v>6.54</v>
      </c>
      <c r="P15" s="1198">
        <f t="shared" si="3"/>
        <v>133812</v>
      </c>
      <c r="Q15" s="104">
        <f t="shared" si="8"/>
        <v>6.91</v>
      </c>
      <c r="R15" s="1200">
        <f t="shared" si="4"/>
        <v>267942</v>
      </c>
      <c r="S15" s="104">
        <f t="shared" si="9"/>
        <v>6.72</v>
      </c>
    </row>
    <row r="16" spans="1:19" ht="21" customHeight="1">
      <c r="A16" s="324" t="s">
        <v>1286</v>
      </c>
      <c r="B16" s="304">
        <v>106226</v>
      </c>
      <c r="C16" s="124">
        <f t="shared" si="10"/>
        <v>6.01</v>
      </c>
      <c r="D16" s="304">
        <v>95319</v>
      </c>
      <c r="E16" s="104">
        <f t="shared" si="0"/>
        <v>5.68</v>
      </c>
      <c r="F16" s="1195">
        <f t="shared" si="5"/>
        <v>201545</v>
      </c>
      <c r="G16" s="104">
        <f t="shared" si="1"/>
        <v>5.85</v>
      </c>
      <c r="H16" s="304">
        <v>19517</v>
      </c>
      <c r="I16" s="104">
        <f t="shared" si="11"/>
        <v>6.89</v>
      </c>
      <c r="J16" s="304">
        <v>16744</v>
      </c>
      <c r="K16" s="104">
        <f t="shared" si="6"/>
        <v>6.48</v>
      </c>
      <c r="L16" s="1195">
        <f t="shared" si="2"/>
        <v>36261</v>
      </c>
      <c r="M16" s="104">
        <f t="shared" si="12"/>
        <v>6.69</v>
      </c>
      <c r="N16" s="1197">
        <f t="shared" si="7"/>
        <v>125743</v>
      </c>
      <c r="O16" s="104">
        <f t="shared" si="13"/>
        <v>6.13</v>
      </c>
      <c r="P16" s="1198">
        <f t="shared" si="3"/>
        <v>112063</v>
      </c>
      <c r="Q16" s="104">
        <f>ROUND(P16/P$26*100,2)+0.01</f>
        <v>5.79</v>
      </c>
      <c r="R16" s="1200">
        <f t="shared" si="4"/>
        <v>237806</v>
      </c>
      <c r="S16" s="104">
        <f t="shared" si="9"/>
        <v>5.96</v>
      </c>
    </row>
    <row r="17" spans="1:19" ht="21" customHeight="1">
      <c r="A17" s="326" t="s">
        <v>1287</v>
      </c>
      <c r="B17" s="304">
        <v>84563</v>
      </c>
      <c r="C17" s="124">
        <f t="shared" si="10"/>
        <v>4.78</v>
      </c>
      <c r="D17" s="304">
        <v>76219</v>
      </c>
      <c r="E17" s="104">
        <f t="shared" si="0"/>
        <v>4.54</v>
      </c>
      <c r="F17" s="1195">
        <f t="shared" si="5"/>
        <v>160782</v>
      </c>
      <c r="G17" s="104">
        <f t="shared" si="1"/>
        <v>4.66</v>
      </c>
      <c r="H17" s="304">
        <v>16630</v>
      </c>
      <c r="I17" s="104">
        <f t="shared" si="11"/>
        <v>5.87</v>
      </c>
      <c r="J17" s="304">
        <v>13679</v>
      </c>
      <c r="K17" s="104">
        <f t="shared" si="6"/>
        <v>5.29</v>
      </c>
      <c r="L17" s="1195">
        <f t="shared" si="2"/>
        <v>30309</v>
      </c>
      <c r="M17" s="104">
        <f t="shared" si="12"/>
        <v>5.6</v>
      </c>
      <c r="N17" s="1197">
        <f t="shared" si="7"/>
        <v>101193</v>
      </c>
      <c r="O17" s="104">
        <f t="shared" si="13"/>
        <v>4.93</v>
      </c>
      <c r="P17" s="1198">
        <f t="shared" si="3"/>
        <v>89898</v>
      </c>
      <c r="Q17" s="104">
        <f t="shared" si="8"/>
        <v>4.6399999999999997</v>
      </c>
      <c r="R17" s="1200">
        <f t="shared" si="4"/>
        <v>191091</v>
      </c>
      <c r="S17" s="104">
        <f>ROUND(R17/R$26*100,2)</f>
        <v>4.79</v>
      </c>
    </row>
    <row r="18" spans="1:19" ht="21" customHeight="1">
      <c r="A18" s="326" t="s">
        <v>1288</v>
      </c>
      <c r="B18" s="304">
        <v>71051</v>
      </c>
      <c r="C18" s="124">
        <f t="shared" si="10"/>
        <v>4.0199999999999996</v>
      </c>
      <c r="D18" s="304">
        <v>59091</v>
      </c>
      <c r="E18" s="104">
        <f t="shared" si="0"/>
        <v>3.52</v>
      </c>
      <c r="F18" s="1195">
        <f t="shared" si="5"/>
        <v>130142</v>
      </c>
      <c r="G18" s="104">
        <f t="shared" si="1"/>
        <v>3.78</v>
      </c>
      <c r="H18" s="304">
        <v>13337</v>
      </c>
      <c r="I18" s="104">
        <f t="shared" si="11"/>
        <v>4.71</v>
      </c>
      <c r="J18" s="304">
        <v>10567</v>
      </c>
      <c r="K18" s="104">
        <f t="shared" si="6"/>
        <v>4.09</v>
      </c>
      <c r="L18" s="1195">
        <f t="shared" si="2"/>
        <v>23904</v>
      </c>
      <c r="M18" s="104">
        <f>ROUND(L18/L$26*100,2)</f>
        <v>4.41</v>
      </c>
      <c r="N18" s="1197">
        <f t="shared" si="7"/>
        <v>84388</v>
      </c>
      <c r="O18" s="104">
        <f t="shared" si="13"/>
        <v>4.1100000000000003</v>
      </c>
      <c r="P18" s="1198">
        <f t="shared" si="3"/>
        <v>69658</v>
      </c>
      <c r="Q18" s="104">
        <f t="shared" si="8"/>
        <v>3.6</v>
      </c>
      <c r="R18" s="1200">
        <f t="shared" si="4"/>
        <v>154046</v>
      </c>
      <c r="S18" s="104">
        <f t="shared" si="9"/>
        <v>3.86</v>
      </c>
    </row>
    <row r="19" spans="1:19" ht="21" customHeight="1">
      <c r="A19" s="326" t="s">
        <v>1289</v>
      </c>
      <c r="B19" s="304">
        <v>49411</v>
      </c>
      <c r="C19" s="124">
        <f t="shared" si="10"/>
        <v>2.79</v>
      </c>
      <c r="D19" s="304">
        <v>44835</v>
      </c>
      <c r="E19" s="104">
        <f t="shared" si="0"/>
        <v>2.67</v>
      </c>
      <c r="F19" s="1195">
        <f t="shared" si="5"/>
        <v>94246</v>
      </c>
      <c r="G19" s="104">
        <f t="shared" si="1"/>
        <v>2.73</v>
      </c>
      <c r="H19" s="304">
        <v>9494</v>
      </c>
      <c r="I19" s="104">
        <f t="shared" si="11"/>
        <v>3.35</v>
      </c>
      <c r="J19" s="304">
        <v>7722</v>
      </c>
      <c r="K19" s="104">
        <f t="shared" si="6"/>
        <v>2.99</v>
      </c>
      <c r="L19" s="1195">
        <f t="shared" si="2"/>
        <v>17216</v>
      </c>
      <c r="M19" s="104">
        <f t="shared" si="12"/>
        <v>3.18</v>
      </c>
      <c r="N19" s="1197">
        <f t="shared" si="7"/>
        <v>58905</v>
      </c>
      <c r="O19" s="104">
        <f t="shared" si="13"/>
        <v>2.87</v>
      </c>
      <c r="P19" s="1198">
        <f t="shared" si="3"/>
        <v>52557</v>
      </c>
      <c r="Q19" s="104">
        <f t="shared" si="8"/>
        <v>2.71</v>
      </c>
      <c r="R19" s="1200">
        <f t="shared" si="4"/>
        <v>111462</v>
      </c>
      <c r="S19" s="104">
        <f>ROUND(R19/R$26*100,2)+0.01</f>
        <v>2.8</v>
      </c>
    </row>
    <row r="20" spans="1:19" ht="21" customHeight="1">
      <c r="A20" s="326" t="s">
        <v>1290</v>
      </c>
      <c r="B20" s="304">
        <v>42706</v>
      </c>
      <c r="C20" s="124">
        <f t="shared" si="10"/>
        <v>2.42</v>
      </c>
      <c r="D20" s="304">
        <v>41045</v>
      </c>
      <c r="E20" s="104">
        <f t="shared" si="0"/>
        <v>2.44</v>
      </c>
      <c r="F20" s="1195">
        <f t="shared" si="5"/>
        <v>83751</v>
      </c>
      <c r="G20" s="104">
        <f t="shared" si="1"/>
        <v>2.4300000000000002</v>
      </c>
      <c r="H20" s="304">
        <v>7550</v>
      </c>
      <c r="I20" s="104">
        <f t="shared" si="11"/>
        <v>2.67</v>
      </c>
      <c r="J20" s="304">
        <v>6774</v>
      </c>
      <c r="K20" s="104">
        <f t="shared" si="6"/>
        <v>2.62</v>
      </c>
      <c r="L20" s="1195">
        <f t="shared" si="2"/>
        <v>14324</v>
      </c>
      <c r="M20" s="104">
        <f>ROUND(L20/L$26*100,2)+0.01</f>
        <v>2.65</v>
      </c>
      <c r="N20" s="1197">
        <f t="shared" si="7"/>
        <v>50256</v>
      </c>
      <c r="O20" s="104">
        <f t="shared" si="13"/>
        <v>2.4500000000000002</v>
      </c>
      <c r="P20" s="1198">
        <f t="shared" si="3"/>
        <v>47819</v>
      </c>
      <c r="Q20" s="104">
        <f t="shared" si="8"/>
        <v>2.4700000000000002</v>
      </c>
      <c r="R20" s="1200">
        <f t="shared" si="4"/>
        <v>98075</v>
      </c>
      <c r="S20" s="104">
        <f t="shared" si="9"/>
        <v>2.46</v>
      </c>
    </row>
    <row r="21" spans="1:19" ht="21" customHeight="1">
      <c r="A21" s="326" t="s">
        <v>1291</v>
      </c>
      <c r="B21" s="304">
        <v>28966</v>
      </c>
      <c r="C21" s="124">
        <f t="shared" si="10"/>
        <v>1.64</v>
      </c>
      <c r="D21" s="304">
        <v>29381</v>
      </c>
      <c r="E21" s="104">
        <f t="shared" si="0"/>
        <v>1.75</v>
      </c>
      <c r="F21" s="1195">
        <f t="shared" si="5"/>
        <v>58347</v>
      </c>
      <c r="G21" s="104">
        <f t="shared" si="1"/>
        <v>1.69</v>
      </c>
      <c r="H21" s="304">
        <v>4942</v>
      </c>
      <c r="I21" s="104">
        <f t="shared" si="11"/>
        <v>1.75</v>
      </c>
      <c r="J21" s="304">
        <v>4634</v>
      </c>
      <c r="K21" s="104">
        <f t="shared" si="6"/>
        <v>1.79</v>
      </c>
      <c r="L21" s="1195">
        <f t="shared" si="2"/>
        <v>9576</v>
      </c>
      <c r="M21" s="104">
        <f t="shared" si="12"/>
        <v>1.77</v>
      </c>
      <c r="N21" s="1197">
        <f t="shared" si="7"/>
        <v>33908</v>
      </c>
      <c r="O21" s="104">
        <f t="shared" si="13"/>
        <v>1.65</v>
      </c>
      <c r="P21" s="1198">
        <f t="shared" si="3"/>
        <v>34015</v>
      </c>
      <c r="Q21" s="104">
        <f t="shared" si="8"/>
        <v>1.76</v>
      </c>
      <c r="R21" s="1200">
        <f t="shared" si="4"/>
        <v>67923</v>
      </c>
      <c r="S21" s="104">
        <f t="shared" si="9"/>
        <v>1.7</v>
      </c>
    </row>
    <row r="22" spans="1:19" ht="21" customHeight="1">
      <c r="A22" s="326" t="s">
        <v>1314</v>
      </c>
      <c r="B22" s="304">
        <v>18504</v>
      </c>
      <c r="C22" s="124">
        <f>ROUND(B22/$B$26*100,2)</f>
        <v>1.05</v>
      </c>
      <c r="D22" s="304">
        <v>18975</v>
      </c>
      <c r="E22" s="104">
        <f t="shared" si="0"/>
        <v>1.1299999999999999</v>
      </c>
      <c r="F22" s="1195">
        <f t="shared" si="5"/>
        <v>37479</v>
      </c>
      <c r="G22" s="104">
        <f t="shared" si="1"/>
        <v>1.0900000000000001</v>
      </c>
      <c r="H22" s="304">
        <v>3282</v>
      </c>
      <c r="I22" s="104">
        <f t="shared" si="11"/>
        <v>1.1599999999999999</v>
      </c>
      <c r="J22" s="304">
        <v>3143</v>
      </c>
      <c r="K22" s="104">
        <f t="shared" si="6"/>
        <v>1.22</v>
      </c>
      <c r="L22" s="1195">
        <f t="shared" si="2"/>
        <v>6425</v>
      </c>
      <c r="M22" s="104">
        <f t="shared" si="12"/>
        <v>1.19</v>
      </c>
      <c r="N22" s="1197">
        <f t="shared" si="7"/>
        <v>21786</v>
      </c>
      <c r="O22" s="104">
        <f t="shared" si="13"/>
        <v>1.06</v>
      </c>
      <c r="P22" s="1198">
        <f t="shared" si="3"/>
        <v>22118</v>
      </c>
      <c r="Q22" s="104">
        <f t="shared" si="8"/>
        <v>1.1399999999999999</v>
      </c>
      <c r="R22" s="1200">
        <f t="shared" si="4"/>
        <v>43904</v>
      </c>
      <c r="S22" s="104">
        <f t="shared" si="9"/>
        <v>1.1000000000000001</v>
      </c>
    </row>
    <row r="23" spans="1:19" ht="21" customHeight="1">
      <c r="A23" s="326" t="s">
        <v>1315</v>
      </c>
      <c r="B23" s="304">
        <v>7868</v>
      </c>
      <c r="C23" s="124">
        <f t="shared" si="10"/>
        <v>0.44</v>
      </c>
      <c r="D23" s="304">
        <v>8274</v>
      </c>
      <c r="E23" s="104">
        <f t="shared" si="0"/>
        <v>0.49</v>
      </c>
      <c r="F23" s="1195">
        <f t="shared" si="5"/>
        <v>16142</v>
      </c>
      <c r="G23" s="104">
        <f t="shared" si="1"/>
        <v>0.47</v>
      </c>
      <c r="H23" s="304">
        <v>1510</v>
      </c>
      <c r="I23" s="104">
        <f t="shared" si="11"/>
        <v>0.53</v>
      </c>
      <c r="J23" s="304">
        <v>1568</v>
      </c>
      <c r="K23" s="104">
        <f t="shared" si="6"/>
        <v>0.61</v>
      </c>
      <c r="L23" s="1195">
        <f t="shared" si="2"/>
        <v>3078</v>
      </c>
      <c r="M23" s="104">
        <f t="shared" si="12"/>
        <v>0.56999999999999995</v>
      </c>
      <c r="N23" s="1197">
        <f t="shared" si="7"/>
        <v>9378</v>
      </c>
      <c r="O23" s="104">
        <f t="shared" si="13"/>
        <v>0.46</v>
      </c>
      <c r="P23" s="1198">
        <f t="shared" si="3"/>
        <v>9842</v>
      </c>
      <c r="Q23" s="104">
        <f t="shared" si="8"/>
        <v>0.51</v>
      </c>
      <c r="R23" s="1200">
        <f t="shared" si="4"/>
        <v>19220</v>
      </c>
      <c r="S23" s="104">
        <f t="shared" si="9"/>
        <v>0.48</v>
      </c>
    </row>
    <row r="24" spans="1:19" ht="21" customHeight="1">
      <c r="A24" s="326" t="s">
        <v>1316</v>
      </c>
      <c r="B24" s="304">
        <v>10164</v>
      </c>
      <c r="C24" s="124">
        <f t="shared" si="10"/>
        <v>0.56999999999999995</v>
      </c>
      <c r="D24" s="304">
        <v>11239</v>
      </c>
      <c r="E24" s="104">
        <f t="shared" si="0"/>
        <v>0.67</v>
      </c>
      <c r="F24" s="1195">
        <f t="shared" si="5"/>
        <v>21403</v>
      </c>
      <c r="G24" s="104">
        <f t="shared" si="1"/>
        <v>0.62</v>
      </c>
      <c r="H24" s="304">
        <v>1806</v>
      </c>
      <c r="I24" s="104">
        <f t="shared" si="11"/>
        <v>0.64</v>
      </c>
      <c r="J24" s="304">
        <v>2283</v>
      </c>
      <c r="K24" s="104">
        <f t="shared" si="6"/>
        <v>0.88</v>
      </c>
      <c r="L24" s="1195">
        <f t="shared" si="2"/>
        <v>4089</v>
      </c>
      <c r="M24" s="104">
        <f t="shared" si="12"/>
        <v>0.75</v>
      </c>
      <c r="N24" s="1197">
        <f t="shared" si="7"/>
        <v>11970</v>
      </c>
      <c r="O24" s="104">
        <f t="shared" si="13"/>
        <v>0.57999999999999996</v>
      </c>
      <c r="P24" s="1198">
        <f t="shared" si="3"/>
        <v>13522</v>
      </c>
      <c r="Q24" s="104">
        <f t="shared" si="8"/>
        <v>0.7</v>
      </c>
      <c r="R24" s="1200">
        <f t="shared" si="4"/>
        <v>25492</v>
      </c>
      <c r="S24" s="104">
        <f t="shared" si="9"/>
        <v>0.64</v>
      </c>
    </row>
    <row r="25" spans="1:19" ht="28.5" customHeight="1">
      <c r="A25" s="171" t="s">
        <v>1299</v>
      </c>
      <c r="B25" s="304">
        <v>937</v>
      </c>
      <c r="C25" s="124">
        <f t="shared" si="10"/>
        <v>0.05</v>
      </c>
      <c r="D25" s="304">
        <v>837</v>
      </c>
      <c r="E25" s="104">
        <f t="shared" si="0"/>
        <v>0.05</v>
      </c>
      <c r="F25" s="1195">
        <f t="shared" si="5"/>
        <v>1774</v>
      </c>
      <c r="G25" s="104">
        <f t="shared" si="1"/>
        <v>0.05</v>
      </c>
      <c r="H25" s="304">
        <v>350</v>
      </c>
      <c r="I25" s="104">
        <f t="shared" si="11"/>
        <v>0.12</v>
      </c>
      <c r="J25" s="304">
        <v>312</v>
      </c>
      <c r="K25" s="104">
        <f t="shared" si="6"/>
        <v>0.12</v>
      </c>
      <c r="L25" s="1195">
        <f t="shared" si="2"/>
        <v>662</v>
      </c>
      <c r="M25" s="104">
        <f t="shared" si="12"/>
        <v>0.12</v>
      </c>
      <c r="N25" s="1197">
        <f t="shared" si="7"/>
        <v>1287</v>
      </c>
      <c r="O25" s="104">
        <f t="shared" si="13"/>
        <v>0.06</v>
      </c>
      <c r="P25" s="1198">
        <f t="shared" si="3"/>
        <v>1149</v>
      </c>
      <c r="Q25" s="104">
        <f t="shared" si="8"/>
        <v>0.06</v>
      </c>
      <c r="R25" s="1200">
        <f t="shared" si="4"/>
        <v>2436</v>
      </c>
      <c r="S25" s="104">
        <f t="shared" si="9"/>
        <v>0.06</v>
      </c>
    </row>
    <row r="26" spans="1:19" ht="21" customHeight="1">
      <c r="A26" s="776" t="s">
        <v>1157</v>
      </c>
      <c r="B26" s="1196">
        <f>SUM(B8:B25)</f>
        <v>1768336</v>
      </c>
      <c r="C26" s="172">
        <f>SUM(C8:C25)</f>
        <v>99.999999999999986</v>
      </c>
      <c r="D26" s="1196">
        <f t="shared" ref="D26:R26" si="14">SUM(D8:D25)</f>
        <v>1678849</v>
      </c>
      <c r="E26" s="172">
        <f>SUM(E8:E25)</f>
        <v>100</v>
      </c>
      <c r="F26" s="1196">
        <f t="shared" si="14"/>
        <v>3447185</v>
      </c>
      <c r="G26" s="172">
        <f>SUM(G8:G25)</f>
        <v>100</v>
      </c>
      <c r="H26" s="1196">
        <f t="shared" si="14"/>
        <v>283205</v>
      </c>
      <c r="I26" s="172">
        <f>SUM(I8:I25)</f>
        <v>100</v>
      </c>
      <c r="J26" s="1196">
        <f t="shared" si="14"/>
        <v>258455</v>
      </c>
      <c r="K26" s="172">
        <f>SUM(K8:K25)</f>
        <v>100.00000000000001</v>
      </c>
      <c r="L26" s="1196">
        <f t="shared" si="14"/>
        <v>541660</v>
      </c>
      <c r="M26" s="172">
        <f>SUM(M8:M25)</f>
        <v>99.999999999999986</v>
      </c>
      <c r="N26" s="1196">
        <f t="shared" si="14"/>
        <v>2051541</v>
      </c>
      <c r="O26" s="172">
        <f>SUM(O8:O25)</f>
        <v>100</v>
      </c>
      <c r="P26" s="1199">
        <f t="shared" si="14"/>
        <v>1937304</v>
      </c>
      <c r="Q26" s="172">
        <f>SUM(Q8:Q25)</f>
        <v>100.00000000000001</v>
      </c>
      <c r="R26" s="1199">
        <f t="shared" si="14"/>
        <v>3988845</v>
      </c>
      <c r="S26" s="172">
        <f>SUM(S8:S25)</f>
        <v>100</v>
      </c>
    </row>
    <row r="27" spans="1:19">
      <c r="A27" s="1207"/>
      <c r="N27" s="1219"/>
      <c r="O27" s="1219"/>
      <c r="P27" s="1219"/>
      <c r="Q27" s="1219"/>
      <c r="R27" s="1219"/>
      <c r="S27" s="1220" t="s">
        <v>868</v>
      </c>
    </row>
    <row r="28" spans="1:19">
      <c r="A28" s="1207"/>
    </row>
    <row r="30" spans="1:19">
      <c r="S30" s="144"/>
    </row>
  </sheetData>
  <mergeCells count="15">
    <mergeCell ref="A1:S1"/>
    <mergeCell ref="A4:A6"/>
    <mergeCell ref="B4:G4"/>
    <mergeCell ref="H4:M4"/>
    <mergeCell ref="N4:S4"/>
    <mergeCell ref="J5:K5"/>
    <mergeCell ref="A2:S2"/>
    <mergeCell ref="N5:O5"/>
    <mergeCell ref="P5:Q5"/>
    <mergeCell ref="R5:S5"/>
    <mergeCell ref="L5:M5"/>
    <mergeCell ref="B5:C5"/>
    <mergeCell ref="D5:E5"/>
    <mergeCell ref="F5:G5"/>
    <mergeCell ref="H5:I5"/>
  </mergeCells>
  <phoneticPr fontId="0" type="noConversion"/>
  <printOptions horizontalCentered="1"/>
  <pageMargins left="0.1" right="0.1" top="0.65" bottom="0.1" header="0.17" footer="0.1"/>
  <pageSetup paperSize="9" orientation="landscape" blackAndWhite="1" horizontalDpi="4294967295" verticalDpi="144" r:id="rId1"/>
  <headerFooter alignWithMargins="0"/>
</worksheet>
</file>

<file path=xl/worksheets/sheet15.xml><?xml version="1.0" encoding="utf-8"?>
<worksheet xmlns="http://schemas.openxmlformats.org/spreadsheetml/2006/main" xmlns:r="http://schemas.openxmlformats.org/officeDocument/2006/relationships">
  <sheetPr codeName="Sheet16"/>
  <dimension ref="A1:H102"/>
  <sheetViews>
    <sheetView workbookViewId="0">
      <selection activeCell="M17" sqref="M17"/>
    </sheetView>
  </sheetViews>
  <sheetFormatPr defaultRowHeight="12.75"/>
  <cols>
    <col min="1" max="1" width="23.28515625" style="11" customWidth="1"/>
    <col min="2" max="2" width="8.5703125" style="11" customWidth="1"/>
    <col min="3" max="7" width="11" style="11" customWidth="1"/>
    <col min="8" max="8" width="6.7109375" style="11" customWidth="1"/>
    <col min="9" max="16384" width="9.140625" style="11"/>
  </cols>
  <sheetData>
    <row r="1" spans="1:7" ht="15" customHeight="1">
      <c r="A1" s="1363" t="s">
        <v>1345</v>
      </c>
      <c r="B1" s="1363"/>
      <c r="C1" s="1363"/>
      <c r="D1" s="1363"/>
      <c r="E1" s="1363"/>
      <c r="F1" s="1363"/>
      <c r="G1" s="1363"/>
    </row>
    <row r="2" spans="1:7" customFormat="1" ht="18.75" customHeight="1">
      <c r="A2" s="1408" t="str">
        <f>CONCATENATE("Distribution of Population by sex in different towns in the district of ",District!$A$1,", 2011")</f>
        <v>Distribution of Population by sex in different towns in the district of Malda, 2011</v>
      </c>
      <c r="B2" s="1408"/>
      <c r="C2" s="1408"/>
      <c r="D2" s="1408"/>
      <c r="E2" s="1408"/>
      <c r="F2" s="1408"/>
      <c r="G2" s="1408"/>
    </row>
    <row r="3" spans="1:7" customFormat="1" ht="13.5" customHeight="1">
      <c r="A3" s="1453" t="s">
        <v>1552</v>
      </c>
      <c r="B3" s="1453"/>
      <c r="C3" s="1453"/>
      <c r="D3" s="1453"/>
      <c r="E3" s="1453"/>
      <c r="F3" s="1453"/>
      <c r="G3" s="1453"/>
    </row>
    <row r="4" spans="1:7" customFormat="1" ht="30.75" customHeight="1">
      <c r="A4" s="1346" t="s">
        <v>1383</v>
      </c>
      <c r="B4" s="1434" t="s">
        <v>849</v>
      </c>
      <c r="C4" s="1456" t="s">
        <v>1170</v>
      </c>
      <c r="D4" s="1457"/>
      <c r="E4" s="1457"/>
      <c r="F4" s="1454" t="s">
        <v>1411</v>
      </c>
      <c r="G4" s="1455"/>
    </row>
    <row r="5" spans="1:7" customFormat="1" ht="15" customHeight="1">
      <c r="A5" s="1347"/>
      <c r="B5" s="1452"/>
      <c r="C5" s="525" t="s">
        <v>1265</v>
      </c>
      <c r="D5" s="240" t="s">
        <v>1266</v>
      </c>
      <c r="E5" s="217" t="s">
        <v>1233</v>
      </c>
      <c r="F5" s="215" t="s">
        <v>1317</v>
      </c>
      <c r="G5" s="216" t="s">
        <v>1266</v>
      </c>
    </row>
    <row r="6" spans="1:7" customFormat="1" ht="15.75" customHeight="1">
      <c r="A6" s="151" t="s">
        <v>1208</v>
      </c>
      <c r="B6" s="151" t="s">
        <v>1209</v>
      </c>
      <c r="C6" s="218" t="s">
        <v>1210</v>
      </c>
      <c r="D6" s="151" t="s">
        <v>1211</v>
      </c>
      <c r="E6" s="152" t="s">
        <v>1212</v>
      </c>
      <c r="F6" s="218" t="s">
        <v>1213</v>
      </c>
      <c r="G6" s="153" t="s">
        <v>1214</v>
      </c>
    </row>
    <row r="7" spans="1:7" customFormat="1" ht="19.5" customHeight="1">
      <c r="A7" s="397" t="s">
        <v>1155</v>
      </c>
      <c r="B7" s="398" t="s">
        <v>874</v>
      </c>
      <c r="C7" s="383">
        <v>2827</v>
      </c>
      <c r="D7" s="397">
        <v>2743</v>
      </c>
      <c r="E7" s="1221">
        <f>SUM(C7:D7)</f>
        <v>5570</v>
      </c>
      <c r="F7" s="387">
        <f t="shared" ref="F7:F38" si="0">ROUND(C7/E7*100,2)</f>
        <v>50.75</v>
      </c>
      <c r="G7" s="382">
        <f t="shared" ref="G7:G38" si="1">ROUND(D7/E7*100,2)</f>
        <v>49.25</v>
      </c>
    </row>
    <row r="8" spans="1:7" customFormat="1" ht="19.5" customHeight="1">
      <c r="A8" s="374" t="s">
        <v>869</v>
      </c>
      <c r="B8" s="112" t="s">
        <v>1159</v>
      </c>
      <c r="C8" s="121">
        <v>2827</v>
      </c>
      <c r="D8" s="116">
        <v>2743</v>
      </c>
      <c r="E8" s="735">
        <f>SUM(C8:D8)</f>
        <v>5570</v>
      </c>
      <c r="F8" s="386">
        <f t="shared" si="0"/>
        <v>50.75</v>
      </c>
      <c r="G8" s="104">
        <f t="shared" si="1"/>
        <v>49.25</v>
      </c>
    </row>
    <row r="9" spans="1:7" customFormat="1" ht="19.5" customHeight="1">
      <c r="A9" s="397" t="s">
        <v>1154</v>
      </c>
      <c r="B9" s="398" t="s">
        <v>893</v>
      </c>
      <c r="C9" s="383">
        <f>SUM(C10:C37)</f>
        <v>280378</v>
      </c>
      <c r="D9" s="397">
        <f>SUM(D10:D37)</f>
        <v>255712</v>
      </c>
      <c r="E9" s="1221">
        <f>SUM(E10:E37)</f>
        <v>536090</v>
      </c>
      <c r="F9" s="387">
        <f t="shared" si="0"/>
        <v>52.3</v>
      </c>
      <c r="G9" s="382">
        <f t="shared" si="1"/>
        <v>47.7</v>
      </c>
    </row>
    <row r="10" spans="1:7" customFormat="1" ht="19.5" customHeight="1">
      <c r="A10" s="181" t="s">
        <v>578</v>
      </c>
      <c r="B10" s="112" t="s">
        <v>850</v>
      </c>
      <c r="C10" s="121">
        <v>47420</v>
      </c>
      <c r="D10" s="116">
        <v>36592</v>
      </c>
      <c r="E10" s="735">
        <f t="shared" ref="E10:E28" si="2">SUM(C10:D10)</f>
        <v>84012</v>
      </c>
      <c r="F10" s="386">
        <f t="shared" si="0"/>
        <v>56.44</v>
      </c>
      <c r="G10" s="104">
        <f t="shared" si="1"/>
        <v>43.56</v>
      </c>
    </row>
    <row r="11" spans="1:7" customFormat="1" ht="19.5" customHeight="1">
      <c r="A11" s="181" t="s">
        <v>490</v>
      </c>
      <c r="B11" s="112" t="s">
        <v>850</v>
      </c>
      <c r="C11" s="113">
        <v>106824</v>
      </c>
      <c r="D11" s="116">
        <v>98697</v>
      </c>
      <c r="E11" s="735">
        <f t="shared" si="2"/>
        <v>205521</v>
      </c>
      <c r="F11" s="386">
        <f t="shared" si="0"/>
        <v>51.98</v>
      </c>
      <c r="G11" s="104">
        <f t="shared" si="1"/>
        <v>48.02</v>
      </c>
    </row>
    <row r="12" spans="1:7" customFormat="1" ht="19.5" customHeight="1">
      <c r="A12" s="374" t="s">
        <v>870</v>
      </c>
      <c r="B12" s="112" t="s">
        <v>1159</v>
      </c>
      <c r="C12" s="113">
        <v>3159</v>
      </c>
      <c r="D12" s="112">
        <v>3016</v>
      </c>
      <c r="E12" s="735">
        <f t="shared" si="2"/>
        <v>6175</v>
      </c>
      <c r="F12" s="386">
        <f t="shared" si="0"/>
        <v>51.16</v>
      </c>
      <c r="G12" s="104">
        <f t="shared" si="1"/>
        <v>48.84</v>
      </c>
    </row>
    <row r="13" spans="1:7" customFormat="1" ht="19.5" customHeight="1">
      <c r="A13" s="374" t="s">
        <v>871</v>
      </c>
      <c r="B13" s="112" t="s">
        <v>1159</v>
      </c>
      <c r="C13" s="113">
        <v>2742</v>
      </c>
      <c r="D13" s="112">
        <v>2722</v>
      </c>
      <c r="E13" s="735">
        <f t="shared" si="2"/>
        <v>5464</v>
      </c>
      <c r="F13" s="386">
        <f t="shared" si="0"/>
        <v>50.18</v>
      </c>
      <c r="G13" s="104">
        <f t="shared" si="1"/>
        <v>49.82</v>
      </c>
    </row>
    <row r="14" spans="1:7" customFormat="1" ht="19.5" customHeight="1">
      <c r="A14" s="121" t="s">
        <v>512</v>
      </c>
      <c r="B14" s="112" t="s">
        <v>1159</v>
      </c>
      <c r="C14" s="113">
        <v>3694</v>
      </c>
      <c r="D14" s="112">
        <v>3561</v>
      </c>
      <c r="E14" s="735">
        <f t="shared" si="2"/>
        <v>7255</v>
      </c>
      <c r="F14" s="386">
        <f t="shared" si="0"/>
        <v>50.92</v>
      </c>
      <c r="G14" s="104">
        <f t="shared" si="1"/>
        <v>49.08</v>
      </c>
    </row>
    <row r="15" spans="1:7" customFormat="1" ht="19.5" customHeight="1">
      <c r="A15" s="181" t="s">
        <v>1158</v>
      </c>
      <c r="B15" s="112" t="s">
        <v>1159</v>
      </c>
      <c r="C15" s="113">
        <v>2973</v>
      </c>
      <c r="D15" s="116">
        <v>2779</v>
      </c>
      <c r="E15" s="735">
        <f t="shared" si="2"/>
        <v>5752</v>
      </c>
      <c r="F15" s="386">
        <f t="shared" si="0"/>
        <v>51.69</v>
      </c>
      <c r="G15" s="104">
        <f t="shared" si="1"/>
        <v>48.31</v>
      </c>
    </row>
    <row r="16" spans="1:7" customFormat="1" ht="19.5" customHeight="1">
      <c r="A16" s="181" t="s">
        <v>1161</v>
      </c>
      <c r="B16" s="112" t="s">
        <v>1159</v>
      </c>
      <c r="C16" s="113">
        <v>3296</v>
      </c>
      <c r="D16" s="116">
        <v>3156</v>
      </c>
      <c r="E16" s="735">
        <f t="shared" si="2"/>
        <v>6452</v>
      </c>
      <c r="F16" s="386">
        <f t="shared" si="0"/>
        <v>51.08</v>
      </c>
      <c r="G16" s="104">
        <f t="shared" si="1"/>
        <v>48.92</v>
      </c>
    </row>
    <row r="17" spans="1:7" customFormat="1" ht="19.5" customHeight="1">
      <c r="A17" s="181" t="s">
        <v>1162</v>
      </c>
      <c r="B17" s="112" t="s">
        <v>1159</v>
      </c>
      <c r="C17" s="113">
        <v>2982</v>
      </c>
      <c r="D17" s="116">
        <v>2916</v>
      </c>
      <c r="E17" s="735">
        <f t="shared" si="2"/>
        <v>5898</v>
      </c>
      <c r="F17" s="386">
        <f t="shared" si="0"/>
        <v>50.56</v>
      </c>
      <c r="G17" s="104">
        <f t="shared" si="1"/>
        <v>49.44</v>
      </c>
    </row>
    <row r="18" spans="1:7" customFormat="1" ht="19.5" customHeight="1">
      <c r="A18" s="374" t="s">
        <v>872</v>
      </c>
      <c r="B18" s="112" t="s">
        <v>1159</v>
      </c>
      <c r="C18" s="113">
        <v>2544</v>
      </c>
      <c r="D18" s="112">
        <v>2478</v>
      </c>
      <c r="E18" s="735">
        <f t="shared" si="2"/>
        <v>5022</v>
      </c>
      <c r="F18" s="386">
        <f t="shared" si="0"/>
        <v>50.66</v>
      </c>
      <c r="G18" s="104">
        <f t="shared" si="1"/>
        <v>49.34</v>
      </c>
    </row>
    <row r="19" spans="1:7" customFormat="1" ht="19.5" customHeight="1">
      <c r="A19" s="374" t="s">
        <v>873</v>
      </c>
      <c r="B19" s="112" t="s">
        <v>1159</v>
      </c>
      <c r="C19" s="113">
        <v>2856</v>
      </c>
      <c r="D19" s="112">
        <v>2726</v>
      </c>
      <c r="E19" s="735">
        <f t="shared" si="2"/>
        <v>5582</v>
      </c>
      <c r="F19" s="386">
        <f t="shared" si="0"/>
        <v>51.16</v>
      </c>
      <c r="G19" s="104">
        <f t="shared" si="1"/>
        <v>48.84</v>
      </c>
    </row>
    <row r="20" spans="1:7" customFormat="1" ht="19.5" customHeight="1">
      <c r="A20" s="374" t="s">
        <v>892</v>
      </c>
      <c r="B20" s="112" t="s">
        <v>1159</v>
      </c>
      <c r="C20" s="113">
        <v>5082</v>
      </c>
      <c r="D20" s="112">
        <v>4824</v>
      </c>
      <c r="E20" s="735">
        <f t="shared" si="2"/>
        <v>9906</v>
      </c>
      <c r="F20" s="386">
        <f t="shared" si="0"/>
        <v>51.3</v>
      </c>
      <c r="G20" s="104">
        <f t="shared" si="1"/>
        <v>48.7</v>
      </c>
    </row>
    <row r="21" spans="1:7" customFormat="1" ht="19.5" customHeight="1">
      <c r="A21" s="374" t="s">
        <v>891</v>
      </c>
      <c r="B21" s="112" t="s">
        <v>1159</v>
      </c>
      <c r="C21" s="113">
        <v>6528</v>
      </c>
      <c r="D21" s="112">
        <v>6053</v>
      </c>
      <c r="E21" s="735">
        <f t="shared" si="2"/>
        <v>12581</v>
      </c>
      <c r="F21" s="386">
        <f t="shared" si="0"/>
        <v>51.89</v>
      </c>
      <c r="G21" s="104">
        <f t="shared" si="1"/>
        <v>48.11</v>
      </c>
    </row>
    <row r="22" spans="1:7" customFormat="1" ht="19.5" customHeight="1">
      <c r="A22" s="374" t="s">
        <v>890</v>
      </c>
      <c r="B22" s="112" t="s">
        <v>1159</v>
      </c>
      <c r="C22" s="113">
        <v>5309</v>
      </c>
      <c r="D22" s="112">
        <v>5280</v>
      </c>
      <c r="E22" s="735">
        <f t="shared" si="2"/>
        <v>10589</v>
      </c>
      <c r="F22" s="386">
        <f t="shared" si="0"/>
        <v>50.14</v>
      </c>
      <c r="G22" s="104">
        <f t="shared" si="1"/>
        <v>49.86</v>
      </c>
    </row>
    <row r="23" spans="1:7" customFormat="1" ht="19.5" customHeight="1">
      <c r="A23" s="374" t="s">
        <v>889</v>
      </c>
      <c r="B23" s="112" t="s">
        <v>1159</v>
      </c>
      <c r="C23" s="113">
        <v>4574</v>
      </c>
      <c r="D23" s="112">
        <v>4086</v>
      </c>
      <c r="E23" s="735">
        <f t="shared" si="2"/>
        <v>8660</v>
      </c>
      <c r="F23" s="386">
        <f t="shared" si="0"/>
        <v>52.82</v>
      </c>
      <c r="G23" s="104">
        <f t="shared" si="1"/>
        <v>47.18</v>
      </c>
    </row>
    <row r="24" spans="1:7" customFormat="1" ht="19.5" customHeight="1">
      <c r="A24" s="374" t="s">
        <v>888</v>
      </c>
      <c r="B24" s="112" t="s">
        <v>1159</v>
      </c>
      <c r="C24" s="113">
        <v>5808</v>
      </c>
      <c r="D24" s="112">
        <v>5408</v>
      </c>
      <c r="E24" s="735">
        <f t="shared" si="2"/>
        <v>11216</v>
      </c>
      <c r="F24" s="386">
        <f t="shared" si="0"/>
        <v>51.78</v>
      </c>
      <c r="G24" s="104">
        <f t="shared" si="1"/>
        <v>48.22</v>
      </c>
    </row>
    <row r="25" spans="1:7" customFormat="1" ht="19.5" customHeight="1">
      <c r="A25" s="374" t="s">
        <v>887</v>
      </c>
      <c r="B25" s="112" t="s">
        <v>1159</v>
      </c>
      <c r="C25" s="113">
        <v>4528</v>
      </c>
      <c r="D25" s="112">
        <v>4250</v>
      </c>
      <c r="E25" s="735">
        <f t="shared" si="2"/>
        <v>8778</v>
      </c>
      <c r="F25" s="386">
        <f t="shared" si="0"/>
        <v>51.58</v>
      </c>
      <c r="G25" s="104">
        <f t="shared" si="1"/>
        <v>48.42</v>
      </c>
    </row>
    <row r="26" spans="1:7" customFormat="1" ht="19.5" customHeight="1">
      <c r="A26" s="374" t="s">
        <v>886</v>
      </c>
      <c r="B26" s="112" t="s">
        <v>1159</v>
      </c>
      <c r="C26" s="113">
        <v>8129</v>
      </c>
      <c r="D26" s="112">
        <v>7679</v>
      </c>
      <c r="E26" s="735">
        <f t="shared" si="2"/>
        <v>15808</v>
      </c>
      <c r="F26" s="386">
        <f t="shared" si="0"/>
        <v>51.42</v>
      </c>
      <c r="G26" s="104">
        <f t="shared" si="1"/>
        <v>48.58</v>
      </c>
    </row>
    <row r="27" spans="1:7" customFormat="1" ht="19.5" customHeight="1">
      <c r="A27" s="374" t="s">
        <v>885</v>
      </c>
      <c r="B27" s="112" t="s">
        <v>1159</v>
      </c>
      <c r="C27" s="113">
        <v>3963</v>
      </c>
      <c r="D27" s="112">
        <v>3768</v>
      </c>
      <c r="E27" s="735">
        <f t="shared" si="2"/>
        <v>7731</v>
      </c>
      <c r="F27" s="386">
        <f t="shared" si="0"/>
        <v>51.26</v>
      </c>
      <c r="G27" s="104">
        <f t="shared" si="1"/>
        <v>48.74</v>
      </c>
    </row>
    <row r="28" spans="1:7" customFormat="1" ht="19.5" customHeight="1">
      <c r="A28" s="374" t="s">
        <v>884</v>
      </c>
      <c r="B28" s="112" t="s">
        <v>1159</v>
      </c>
      <c r="C28" s="113">
        <v>2831</v>
      </c>
      <c r="D28" s="112">
        <v>2629</v>
      </c>
      <c r="E28" s="735">
        <f t="shared" si="2"/>
        <v>5460</v>
      </c>
      <c r="F28" s="386">
        <f t="shared" si="0"/>
        <v>51.85</v>
      </c>
      <c r="G28" s="104">
        <f t="shared" si="1"/>
        <v>48.15</v>
      </c>
    </row>
    <row r="29" spans="1:7" customFormat="1" ht="19.5" customHeight="1">
      <c r="A29" s="374" t="s">
        <v>883</v>
      </c>
      <c r="B29" s="112" t="s">
        <v>1159</v>
      </c>
      <c r="C29" s="113">
        <v>6905</v>
      </c>
      <c r="D29" s="112">
        <v>6645</v>
      </c>
      <c r="E29" s="735">
        <f t="shared" ref="E29:E36" si="3">SUM(C29:D29)</f>
        <v>13550</v>
      </c>
      <c r="F29" s="386">
        <f t="shared" si="0"/>
        <v>50.96</v>
      </c>
      <c r="G29" s="104">
        <f t="shared" si="1"/>
        <v>49.04</v>
      </c>
    </row>
    <row r="30" spans="1:7" customFormat="1" ht="19.5" customHeight="1">
      <c r="A30" s="374" t="s">
        <v>882</v>
      </c>
      <c r="B30" s="112" t="s">
        <v>1159</v>
      </c>
      <c r="C30" s="113">
        <v>3918</v>
      </c>
      <c r="D30" s="112">
        <v>3667</v>
      </c>
      <c r="E30" s="735">
        <f t="shared" si="3"/>
        <v>7585</v>
      </c>
      <c r="F30" s="386">
        <f t="shared" si="0"/>
        <v>51.65</v>
      </c>
      <c r="G30" s="104">
        <f t="shared" si="1"/>
        <v>48.35</v>
      </c>
    </row>
    <row r="31" spans="1:7" customFormat="1" ht="19.5" customHeight="1">
      <c r="A31" s="374" t="s">
        <v>881</v>
      </c>
      <c r="B31" s="112" t="s">
        <v>1159</v>
      </c>
      <c r="C31" s="113">
        <v>6404</v>
      </c>
      <c r="D31" s="112">
        <v>6260</v>
      </c>
      <c r="E31" s="735">
        <f t="shared" si="3"/>
        <v>12664</v>
      </c>
      <c r="F31" s="386">
        <f t="shared" si="0"/>
        <v>50.57</v>
      </c>
      <c r="G31" s="104">
        <f t="shared" si="1"/>
        <v>49.43</v>
      </c>
    </row>
    <row r="32" spans="1:7" customFormat="1" ht="19.5" customHeight="1">
      <c r="A32" s="374" t="s">
        <v>880</v>
      </c>
      <c r="B32" s="112" t="s">
        <v>1159</v>
      </c>
      <c r="C32" s="113">
        <v>6340</v>
      </c>
      <c r="D32" s="112">
        <v>6039</v>
      </c>
      <c r="E32" s="735">
        <f t="shared" si="3"/>
        <v>12379</v>
      </c>
      <c r="F32" s="386">
        <f t="shared" si="0"/>
        <v>51.22</v>
      </c>
      <c r="G32" s="104">
        <f t="shared" si="1"/>
        <v>48.78</v>
      </c>
    </row>
    <row r="33" spans="1:8" customFormat="1" ht="19.5" customHeight="1">
      <c r="A33" s="374" t="s">
        <v>879</v>
      </c>
      <c r="B33" s="112" t="s">
        <v>1159</v>
      </c>
      <c r="C33" s="113">
        <v>8841</v>
      </c>
      <c r="D33" s="112">
        <v>8506</v>
      </c>
      <c r="E33" s="735">
        <f t="shared" si="3"/>
        <v>17347</v>
      </c>
      <c r="F33" s="386">
        <f t="shared" si="0"/>
        <v>50.97</v>
      </c>
      <c r="G33" s="104">
        <f t="shared" si="1"/>
        <v>49.03</v>
      </c>
    </row>
    <row r="34" spans="1:8" customFormat="1" ht="19.5" customHeight="1">
      <c r="A34" s="374" t="s">
        <v>878</v>
      </c>
      <c r="B34" s="112" t="s">
        <v>1159</v>
      </c>
      <c r="C34" s="113">
        <v>5571</v>
      </c>
      <c r="D34" s="112">
        <v>5370</v>
      </c>
      <c r="E34" s="735">
        <f t="shared" si="3"/>
        <v>10941</v>
      </c>
      <c r="F34" s="386">
        <f t="shared" si="0"/>
        <v>50.92</v>
      </c>
      <c r="G34" s="104">
        <f t="shared" si="1"/>
        <v>49.08</v>
      </c>
    </row>
    <row r="35" spans="1:8" customFormat="1" ht="19.5" customHeight="1">
      <c r="A35" s="374" t="s">
        <v>877</v>
      </c>
      <c r="B35" s="112" t="s">
        <v>1159</v>
      </c>
      <c r="C35" s="113">
        <v>1944</v>
      </c>
      <c r="D35" s="112">
        <v>1894</v>
      </c>
      <c r="E35" s="735">
        <f t="shared" si="3"/>
        <v>3838</v>
      </c>
      <c r="F35" s="386">
        <f t="shared" si="0"/>
        <v>50.65</v>
      </c>
      <c r="G35" s="104">
        <f t="shared" si="1"/>
        <v>49.35</v>
      </c>
    </row>
    <row r="36" spans="1:8" customFormat="1" ht="19.5" customHeight="1">
      <c r="A36" s="374" t="s">
        <v>876</v>
      </c>
      <c r="B36" s="112" t="s">
        <v>1159</v>
      </c>
      <c r="C36" s="113">
        <v>6843</v>
      </c>
      <c r="D36" s="112">
        <v>6611</v>
      </c>
      <c r="E36" s="735">
        <f t="shared" si="3"/>
        <v>13454</v>
      </c>
      <c r="F36" s="386">
        <f t="shared" si="0"/>
        <v>50.86</v>
      </c>
      <c r="G36" s="104">
        <f t="shared" si="1"/>
        <v>49.14</v>
      </c>
    </row>
    <row r="37" spans="1:8" customFormat="1" ht="19.5" customHeight="1">
      <c r="A37" s="374" t="s">
        <v>875</v>
      </c>
      <c r="B37" s="112" t="s">
        <v>1159</v>
      </c>
      <c r="C37" s="113">
        <v>8370</v>
      </c>
      <c r="D37" s="112">
        <v>8100</v>
      </c>
      <c r="E37" s="735">
        <f>SUM(C37:D37)</f>
        <v>16470</v>
      </c>
      <c r="F37" s="386">
        <f t="shared" si="0"/>
        <v>50.82</v>
      </c>
      <c r="G37" s="104">
        <f t="shared" si="1"/>
        <v>49.18</v>
      </c>
    </row>
    <row r="38" spans="1:8" customFormat="1" ht="19.5" customHeight="1">
      <c r="A38" s="399" t="s">
        <v>836</v>
      </c>
      <c r="B38" s="400" t="s">
        <v>894</v>
      </c>
      <c r="C38" s="1222">
        <f>SUM(C9,C7)</f>
        <v>283205</v>
      </c>
      <c r="D38" s="399">
        <f>SUM(D9,D7)</f>
        <v>258455</v>
      </c>
      <c r="E38" s="182">
        <f>SUM(C38,D38)</f>
        <v>541660</v>
      </c>
      <c r="F38" s="1218">
        <f t="shared" si="0"/>
        <v>52.28</v>
      </c>
      <c r="G38" s="379">
        <f t="shared" si="1"/>
        <v>47.72</v>
      </c>
    </row>
    <row r="39" spans="1:8" customFormat="1">
      <c r="D39" s="11"/>
      <c r="G39" s="924" t="s">
        <v>868</v>
      </c>
      <c r="H39" s="158"/>
    </row>
    <row r="40" spans="1:8" customFormat="1">
      <c r="D40" s="11"/>
      <c r="H40" s="158"/>
    </row>
    <row r="41" spans="1:8" customFormat="1">
      <c r="A41" s="11"/>
      <c r="B41" s="11"/>
      <c r="C41" s="11"/>
      <c r="D41" s="11"/>
      <c r="E41" s="11"/>
      <c r="F41" s="11"/>
      <c r="G41" s="11"/>
      <c r="H41" s="11"/>
    </row>
    <row r="44" spans="1:8" ht="15.75" customHeight="1"/>
    <row r="47" spans="1:8" ht="15" customHeight="1"/>
    <row r="69" spans="1:8" ht="13.5">
      <c r="B69" s="311"/>
      <c r="C69" s="311"/>
      <c r="E69" s="76"/>
      <c r="F69" s="60"/>
      <c r="G69" s="77"/>
      <c r="H69" s="13"/>
    </row>
    <row r="70" spans="1:8" ht="13.5">
      <c r="E70" s="76"/>
      <c r="F70" s="60"/>
      <c r="G70" s="77"/>
      <c r="H70" s="13"/>
    </row>
    <row r="71" spans="1:8" ht="13.5">
      <c r="A71" s="13"/>
      <c r="B71" s="13"/>
      <c r="C71" s="76"/>
      <c r="D71" s="60"/>
      <c r="E71" s="76"/>
      <c r="F71" s="60"/>
      <c r="G71" s="77"/>
      <c r="H71" s="13"/>
    </row>
    <row r="72" spans="1:8" ht="13.5">
      <c r="A72" s="13"/>
      <c r="B72" s="13"/>
      <c r="C72" s="76"/>
      <c r="D72" s="60"/>
      <c r="E72" s="76"/>
      <c r="F72" s="60"/>
      <c r="G72" s="77"/>
      <c r="H72" s="13"/>
    </row>
    <row r="73" spans="1:8" ht="13.5">
      <c r="A73" s="13"/>
      <c r="B73" s="13"/>
      <c r="C73" s="76"/>
      <c r="D73" s="60"/>
      <c r="E73" s="76"/>
      <c r="F73" s="60"/>
      <c r="G73" s="77"/>
      <c r="H73" s="13"/>
    </row>
    <row r="74" spans="1:8" ht="13.5">
      <c r="A74" s="13"/>
      <c r="B74" s="13"/>
      <c r="C74" s="76"/>
      <c r="D74" s="60"/>
      <c r="E74" s="76"/>
      <c r="F74" s="60"/>
      <c r="G74" s="77"/>
      <c r="H74" s="13"/>
    </row>
    <row r="75" spans="1:8" ht="13.5">
      <c r="A75" s="13"/>
      <c r="B75" s="13"/>
      <c r="C75" s="76"/>
      <c r="D75" s="60"/>
      <c r="E75" s="76"/>
      <c r="F75" s="60"/>
      <c r="G75" s="77"/>
      <c r="H75" s="13"/>
    </row>
    <row r="76" spans="1:8" ht="13.5">
      <c r="A76" s="13"/>
      <c r="B76" s="13"/>
      <c r="C76" s="76"/>
      <c r="D76" s="60"/>
      <c r="E76" s="76"/>
      <c r="F76" s="60"/>
      <c r="G76" s="77"/>
      <c r="H76" s="13"/>
    </row>
    <row r="77" spans="1:8" ht="13.5">
      <c r="A77" s="13"/>
      <c r="B77" s="13"/>
      <c r="C77" s="76"/>
      <c r="D77" s="60"/>
      <c r="E77" s="76"/>
      <c r="F77" s="60"/>
      <c r="G77" s="77"/>
      <c r="H77" s="13"/>
    </row>
    <row r="78" spans="1:8" ht="13.5">
      <c r="A78" s="13"/>
      <c r="B78" s="13"/>
      <c r="C78" s="76"/>
      <c r="D78" s="60"/>
      <c r="E78" s="76"/>
      <c r="F78" s="60"/>
      <c r="G78" s="77"/>
      <c r="H78" s="13"/>
    </row>
    <row r="79" spans="1:8" ht="13.5">
      <c r="A79" s="13"/>
      <c r="B79" s="13"/>
      <c r="C79" s="76"/>
      <c r="D79" s="60"/>
      <c r="E79" s="76"/>
      <c r="F79" s="60"/>
      <c r="G79" s="77"/>
      <c r="H79" s="13"/>
    </row>
    <row r="80" spans="1:8" ht="13.5">
      <c r="A80" s="13"/>
      <c r="B80" s="13"/>
      <c r="C80" s="76"/>
      <c r="D80" s="60"/>
      <c r="E80" s="76"/>
      <c r="F80" s="60"/>
      <c r="G80" s="77"/>
      <c r="H80" s="13"/>
    </row>
    <row r="81" spans="1:8" ht="13.5">
      <c r="A81" s="13"/>
      <c r="B81" s="13"/>
      <c r="C81" s="76"/>
      <c r="D81" s="60"/>
      <c r="E81" s="76"/>
      <c r="F81" s="60"/>
      <c r="G81" s="77"/>
      <c r="H81" s="13"/>
    </row>
    <row r="82" spans="1:8" ht="13.5">
      <c r="A82" s="13"/>
      <c r="B82" s="13"/>
      <c r="C82" s="76"/>
      <c r="D82" s="60"/>
      <c r="E82" s="76"/>
      <c r="F82" s="60"/>
      <c r="G82" s="77"/>
      <c r="H82" s="13"/>
    </row>
    <row r="83" spans="1:8" ht="13.5">
      <c r="A83" s="13"/>
      <c r="B83" s="13"/>
      <c r="C83" s="76"/>
      <c r="D83" s="60"/>
      <c r="E83" s="76"/>
      <c r="F83" s="60"/>
      <c r="G83" s="77"/>
      <c r="H83" s="13"/>
    </row>
    <row r="84" spans="1:8" ht="13.5">
      <c r="A84" s="13"/>
      <c r="B84" s="13"/>
      <c r="C84" s="76"/>
      <c r="D84" s="60"/>
      <c r="E84" s="76"/>
      <c r="F84" s="60"/>
      <c r="G84" s="77"/>
      <c r="H84" s="13"/>
    </row>
    <row r="85" spans="1:8" ht="13.5">
      <c r="A85" s="13"/>
      <c r="B85" s="13"/>
      <c r="C85" s="76"/>
      <c r="D85" s="60"/>
      <c r="E85" s="76"/>
      <c r="F85" s="60"/>
      <c r="G85" s="77"/>
      <c r="H85" s="13"/>
    </row>
    <row r="86" spans="1:8" ht="13.5">
      <c r="A86" s="13"/>
      <c r="B86" s="13"/>
      <c r="C86" s="76"/>
      <c r="D86" s="60"/>
      <c r="E86" s="76"/>
      <c r="F86" s="60"/>
      <c r="G86" s="77"/>
      <c r="H86" s="13"/>
    </row>
    <row r="87" spans="1:8" ht="13.5">
      <c r="A87" s="13"/>
      <c r="B87" s="13"/>
      <c r="C87" s="76"/>
      <c r="D87" s="60"/>
      <c r="E87" s="76"/>
      <c r="F87" s="60"/>
      <c r="G87" s="77"/>
      <c r="H87" s="13"/>
    </row>
    <row r="88" spans="1:8" ht="13.5">
      <c r="A88" s="13"/>
      <c r="B88" s="13"/>
      <c r="C88" s="76"/>
      <c r="D88" s="60"/>
      <c r="E88" s="76"/>
      <c r="F88" s="60"/>
      <c r="G88" s="77"/>
      <c r="H88" s="13"/>
    </row>
    <row r="89" spans="1:8" ht="13.5">
      <c r="A89" s="13"/>
      <c r="B89" s="13"/>
      <c r="C89" s="76"/>
      <c r="D89" s="60"/>
      <c r="E89" s="76"/>
      <c r="F89" s="60"/>
      <c r="G89" s="77"/>
      <c r="H89" s="13"/>
    </row>
    <row r="90" spans="1:8" ht="13.5">
      <c r="A90" s="13"/>
      <c r="B90" s="13"/>
      <c r="C90" s="76"/>
      <c r="D90" s="60"/>
      <c r="E90" s="76"/>
      <c r="F90" s="60"/>
      <c r="G90" s="77"/>
      <c r="H90" s="13"/>
    </row>
    <row r="91" spans="1:8" ht="13.5">
      <c r="A91" s="13"/>
      <c r="B91" s="13"/>
      <c r="C91" s="76"/>
      <c r="D91" s="60"/>
      <c r="E91" s="76"/>
      <c r="F91" s="60"/>
      <c r="G91" s="77"/>
      <c r="H91" s="13"/>
    </row>
    <row r="92" spans="1:8" ht="13.5">
      <c r="A92" s="13"/>
      <c r="B92" s="13"/>
      <c r="C92" s="76"/>
      <c r="D92" s="60"/>
      <c r="E92" s="76"/>
      <c r="F92" s="60"/>
      <c r="G92" s="77"/>
      <c r="H92" s="13"/>
    </row>
    <row r="93" spans="1:8" ht="13.5">
      <c r="A93" s="13"/>
      <c r="B93" s="13"/>
      <c r="C93" s="76"/>
      <c r="D93" s="60"/>
      <c r="E93" s="76"/>
      <c r="F93" s="60"/>
      <c r="G93" s="77"/>
      <c r="H93" s="13"/>
    </row>
    <row r="94" spans="1:8" ht="13.5">
      <c r="A94" s="13"/>
      <c r="B94" s="13"/>
      <c r="C94" s="76"/>
      <c r="D94" s="60"/>
      <c r="E94" s="76"/>
      <c r="F94" s="60"/>
      <c r="G94" s="77"/>
      <c r="H94" s="13"/>
    </row>
    <row r="95" spans="1:8" ht="13.5">
      <c r="A95" s="13"/>
      <c r="B95" s="13"/>
      <c r="C95" s="76"/>
      <c r="D95" s="60"/>
      <c r="E95" s="76"/>
      <c r="F95" s="60"/>
      <c r="G95" s="77"/>
      <c r="H95" s="13"/>
    </row>
    <row r="96" spans="1:8" ht="13.5">
      <c r="A96" s="13"/>
      <c r="B96" s="13"/>
      <c r="C96" s="76"/>
      <c r="D96" s="60"/>
      <c r="E96" s="76"/>
      <c r="F96" s="60"/>
      <c r="G96" s="77"/>
      <c r="H96" s="13"/>
    </row>
    <row r="97" spans="1:8" ht="13.5">
      <c r="A97" s="13"/>
      <c r="B97" s="13"/>
      <c r="C97" s="76"/>
      <c r="D97" s="60"/>
      <c r="E97" s="76"/>
      <c r="F97" s="60"/>
      <c r="G97" s="77"/>
      <c r="H97" s="13"/>
    </row>
    <row r="98" spans="1:8" ht="13.5">
      <c r="A98" s="13"/>
      <c r="B98" s="13"/>
      <c r="C98" s="76"/>
      <c r="D98" s="60"/>
      <c r="E98" s="76"/>
      <c r="F98" s="60"/>
      <c r="G98" s="77"/>
      <c r="H98" s="13"/>
    </row>
    <row r="99" spans="1:8" ht="13.5">
      <c r="A99" s="13"/>
      <c r="B99" s="13"/>
      <c r="C99" s="76"/>
      <c r="D99" s="60"/>
      <c r="E99" s="76"/>
      <c r="F99" s="60"/>
      <c r="G99" s="77"/>
      <c r="H99" s="13"/>
    </row>
    <row r="100" spans="1:8" ht="13.5">
      <c r="A100" s="13"/>
      <c r="B100" s="13"/>
      <c r="C100" s="76"/>
      <c r="D100" s="60"/>
      <c r="E100" s="76"/>
      <c r="F100" s="60"/>
      <c r="G100" s="77"/>
      <c r="H100" s="13"/>
    </row>
    <row r="101" spans="1:8" ht="13.5">
      <c r="A101" s="13"/>
      <c r="B101" s="13"/>
      <c r="C101" s="76"/>
      <c r="D101" s="60"/>
      <c r="E101" s="76"/>
      <c r="F101" s="60"/>
      <c r="G101" s="77"/>
      <c r="H101" s="13"/>
    </row>
    <row r="102" spans="1:8" ht="13.5">
      <c r="A102" s="38"/>
      <c r="B102" s="13"/>
      <c r="C102" s="76"/>
      <c r="D102" s="60"/>
      <c r="E102" s="76"/>
      <c r="F102" s="60"/>
      <c r="G102" s="77"/>
      <c r="H102" s="13"/>
    </row>
  </sheetData>
  <mergeCells count="7">
    <mergeCell ref="A2:G2"/>
    <mergeCell ref="A1:G1"/>
    <mergeCell ref="A4:A5"/>
    <mergeCell ref="B4:B5"/>
    <mergeCell ref="A3:G3"/>
    <mergeCell ref="F4:G4"/>
    <mergeCell ref="C4:E4"/>
  </mergeCells>
  <phoneticPr fontId="0" type="noConversion"/>
  <printOptions horizontalCentered="1"/>
  <pageMargins left="0.1" right="0.1" top="0.59" bottom="0.1" header="0.52" footer="0.1"/>
  <pageSetup paperSize="9" orientation="portrait" blackAndWhite="1" horizontalDpi="4294967295" verticalDpi="144" r:id="rId1"/>
  <headerFooter alignWithMargins="0"/>
</worksheet>
</file>

<file path=xl/worksheets/sheet16.xml><?xml version="1.0" encoding="utf-8"?>
<worksheet xmlns="http://schemas.openxmlformats.org/spreadsheetml/2006/main" xmlns:r="http://schemas.openxmlformats.org/officeDocument/2006/relationships">
  <sheetPr codeName="Sheet10"/>
  <dimension ref="A1:R30"/>
  <sheetViews>
    <sheetView workbookViewId="0">
      <selection activeCell="M5" sqref="M5"/>
    </sheetView>
  </sheetViews>
  <sheetFormatPr defaultRowHeight="12.75"/>
  <cols>
    <col min="1" max="1" width="16.5703125" customWidth="1"/>
    <col min="2" max="2" width="7.85546875" customWidth="1"/>
    <col min="3" max="3" width="6.140625" customWidth="1"/>
    <col min="4" max="4" width="7.140625" customWidth="1"/>
    <col min="5" max="5" width="6" customWidth="1"/>
    <col min="6" max="6" width="7.140625" customWidth="1"/>
    <col min="7" max="7" width="6.140625" customWidth="1"/>
    <col min="8" max="8" width="7.28515625" customWidth="1"/>
    <col min="9" max="9" width="6.5703125" customWidth="1"/>
    <col min="10" max="10" width="7.140625" customWidth="1"/>
    <col min="11" max="11" width="6.28515625" customWidth="1"/>
    <col min="12" max="12" width="8.140625" customWidth="1"/>
    <col min="13" max="13" width="6" customWidth="1"/>
    <col min="14" max="14" width="7.140625" customWidth="1"/>
    <col min="15" max="15" width="6" customWidth="1"/>
    <col min="16" max="16" width="7.7109375" customWidth="1"/>
    <col min="17" max="17" width="6" customWidth="1"/>
    <col min="18" max="18" width="8.5703125" customWidth="1"/>
  </cols>
  <sheetData>
    <row r="1" spans="1:18" ht="13.5" customHeight="1">
      <c r="A1" s="1363" t="s">
        <v>1346</v>
      </c>
      <c r="B1" s="1363"/>
      <c r="C1" s="1363"/>
      <c r="D1" s="1363"/>
      <c r="E1" s="1363"/>
      <c r="F1" s="1363"/>
      <c r="G1" s="1363"/>
      <c r="H1" s="1363"/>
      <c r="I1" s="1363"/>
      <c r="J1" s="1363"/>
      <c r="K1" s="1363"/>
      <c r="L1" s="1363"/>
      <c r="M1" s="1363"/>
      <c r="N1" s="1363"/>
      <c r="O1" s="1363"/>
      <c r="P1" s="1363"/>
      <c r="Q1" s="1363"/>
      <c r="R1" s="1363"/>
    </row>
    <row r="2" spans="1:18" ht="14.25" customHeight="1">
      <c r="A2" s="1467" t="str">
        <f>CONCATENATE(" Distribution of Population over different categories of workers and non-workers in the district of ",District!$A$1,", 2011")</f>
        <v xml:space="preserve"> Distribution of Population over different categories of workers and non-workers in the district of Malda, 2011</v>
      </c>
      <c r="B2" s="1467"/>
      <c r="C2" s="1467"/>
      <c r="D2" s="1467"/>
      <c r="E2" s="1467"/>
      <c r="F2" s="1467"/>
      <c r="G2" s="1467"/>
      <c r="H2" s="1467"/>
      <c r="I2" s="1467"/>
      <c r="J2" s="1467"/>
      <c r="K2" s="1467"/>
      <c r="L2" s="1467"/>
      <c r="M2" s="1467"/>
      <c r="N2" s="1467"/>
      <c r="O2" s="1467"/>
      <c r="P2" s="1467"/>
      <c r="Q2" s="1467"/>
      <c r="R2" s="1467"/>
    </row>
    <row r="3" spans="1:18">
      <c r="A3" s="11"/>
      <c r="B3" s="13"/>
      <c r="C3" s="13"/>
      <c r="D3" s="13"/>
      <c r="E3" s="13"/>
      <c r="F3" s="13"/>
      <c r="G3" s="13"/>
      <c r="H3" s="13"/>
      <c r="I3" s="13"/>
      <c r="J3" s="13"/>
      <c r="K3" s="13"/>
      <c r="L3" s="13"/>
      <c r="M3" s="13"/>
      <c r="N3" s="13"/>
      <c r="O3" s="13"/>
      <c r="P3" s="13"/>
      <c r="Q3" s="13"/>
      <c r="R3" s="79" t="s">
        <v>1552</v>
      </c>
    </row>
    <row r="4" spans="1:18" ht="23.25" customHeight="1">
      <c r="A4" s="1346" t="s">
        <v>446</v>
      </c>
      <c r="B4" s="1461" t="s">
        <v>362</v>
      </c>
      <c r="C4" s="1462"/>
      <c r="D4" s="1454" t="s">
        <v>1320</v>
      </c>
      <c r="E4" s="1459"/>
      <c r="F4" s="1459"/>
      <c r="G4" s="1459"/>
      <c r="H4" s="1459"/>
      <c r="I4" s="1459"/>
      <c r="J4" s="1459"/>
      <c r="K4" s="1455"/>
      <c r="L4" s="1454" t="s">
        <v>1507</v>
      </c>
      <c r="M4" s="1455"/>
      <c r="N4" s="1454" t="s">
        <v>1508</v>
      </c>
      <c r="O4" s="1455"/>
      <c r="P4" s="1454" t="s">
        <v>1185</v>
      </c>
      <c r="Q4" s="1455"/>
      <c r="R4" s="1346" t="s">
        <v>96</v>
      </c>
    </row>
    <row r="5" spans="1:18" ht="24.75" customHeight="1">
      <c r="A5" s="1377"/>
      <c r="B5" s="1463"/>
      <c r="C5" s="1464"/>
      <c r="D5" s="1407" t="s">
        <v>1319</v>
      </c>
      <c r="E5" s="1460"/>
      <c r="F5" s="1407" t="s">
        <v>1505</v>
      </c>
      <c r="G5" s="1460"/>
      <c r="H5" s="1465" t="s">
        <v>980</v>
      </c>
      <c r="I5" s="1466"/>
      <c r="J5" s="1407" t="s">
        <v>1506</v>
      </c>
      <c r="K5" s="1460"/>
      <c r="L5" s="1346" t="s">
        <v>1318</v>
      </c>
      <c r="M5" s="1452" t="s">
        <v>1270</v>
      </c>
      <c r="N5" s="1346" t="s">
        <v>1318</v>
      </c>
      <c r="O5" s="1452" t="s">
        <v>1270</v>
      </c>
      <c r="P5" s="1346" t="s">
        <v>1318</v>
      </c>
      <c r="Q5" s="1452" t="s">
        <v>1270</v>
      </c>
      <c r="R5" s="1377"/>
    </row>
    <row r="6" spans="1:18" ht="27" customHeight="1">
      <c r="A6" s="1347"/>
      <c r="B6" s="258" t="s">
        <v>1318</v>
      </c>
      <c r="C6" s="773" t="s">
        <v>1270</v>
      </c>
      <c r="D6" s="258" t="s">
        <v>1093</v>
      </c>
      <c r="E6" s="897" t="s">
        <v>646</v>
      </c>
      <c r="F6" s="258" t="s">
        <v>1093</v>
      </c>
      <c r="G6" s="897" t="s">
        <v>646</v>
      </c>
      <c r="H6" s="258" t="s">
        <v>1093</v>
      </c>
      <c r="I6" s="897" t="s">
        <v>646</v>
      </c>
      <c r="J6" s="258" t="s">
        <v>1093</v>
      </c>
      <c r="K6" s="897" t="s">
        <v>646</v>
      </c>
      <c r="L6" s="1347"/>
      <c r="M6" s="1460"/>
      <c r="N6" s="1347"/>
      <c r="O6" s="1460"/>
      <c r="P6" s="1347"/>
      <c r="Q6" s="1460"/>
      <c r="R6" s="1347"/>
    </row>
    <row r="7" spans="1:18" ht="15.75" customHeight="1">
      <c r="A7" s="151" t="s">
        <v>1208</v>
      </c>
      <c r="B7" s="151" t="s">
        <v>1209</v>
      </c>
      <c r="C7" s="955" t="s">
        <v>1210</v>
      </c>
      <c r="D7" s="151" t="s">
        <v>1211</v>
      </c>
      <c r="E7" s="956" t="s">
        <v>1212</v>
      </c>
      <c r="F7" s="151" t="s">
        <v>1213</v>
      </c>
      <c r="G7" s="956" t="s">
        <v>1214</v>
      </c>
      <c r="H7" s="151" t="s">
        <v>1244</v>
      </c>
      <c r="I7" s="956" t="s">
        <v>1245</v>
      </c>
      <c r="J7" s="151" t="s">
        <v>1246</v>
      </c>
      <c r="K7" s="956" t="s">
        <v>1247</v>
      </c>
      <c r="L7" s="151" t="s">
        <v>1271</v>
      </c>
      <c r="M7" s="242" t="s">
        <v>1272</v>
      </c>
      <c r="N7" s="151" t="s">
        <v>1273</v>
      </c>
      <c r="O7" s="153" t="s">
        <v>1274</v>
      </c>
      <c r="P7" s="151" t="s">
        <v>1275</v>
      </c>
      <c r="Q7" s="153" t="s">
        <v>1276</v>
      </c>
      <c r="R7" s="241" t="s">
        <v>1278</v>
      </c>
    </row>
    <row r="8" spans="1:18" ht="24" customHeight="1">
      <c r="A8" s="411" t="s">
        <v>1551</v>
      </c>
      <c r="B8" s="790">
        <f>SUM(B9:B14)</f>
        <v>448904</v>
      </c>
      <c r="C8" s="1161">
        <f t="shared" ref="C8:C26" si="0">ROUND(B8/$R8*100,2)</f>
        <v>33.54</v>
      </c>
      <c r="D8" s="790">
        <f>SUM(D9:D14)</f>
        <v>98610</v>
      </c>
      <c r="E8" s="1161">
        <f>ROUND(D8/$B8*100,5)</f>
        <v>21.966830000000002</v>
      </c>
      <c r="F8" s="790">
        <f>SUM(F9:F14)</f>
        <v>228241</v>
      </c>
      <c r="G8" s="1161">
        <f t="shared" ref="G8:G27" si="1">ROUND(F8/$B8*100,2)</f>
        <v>50.84</v>
      </c>
      <c r="H8" s="790">
        <f>SUM(H9:H14)</f>
        <v>17528</v>
      </c>
      <c r="I8" s="1161">
        <f>ROUND(H8/$B8*100,2)+0.01</f>
        <v>3.9099999999999997</v>
      </c>
      <c r="J8" s="790">
        <f>SUM(J9:J14)</f>
        <v>104525</v>
      </c>
      <c r="K8" s="1161">
        <f>ROUND(J8/$B8*100,5)</f>
        <v>23.284490000000002</v>
      </c>
      <c r="L8" s="790">
        <f>SUM(L9:L14)</f>
        <v>312260</v>
      </c>
      <c r="M8" s="1161">
        <f>ROUND(L8/$R8*100,5)</f>
        <v>23.331209999999999</v>
      </c>
      <c r="N8" s="790">
        <f>SUM(N9:N14)</f>
        <v>136644</v>
      </c>
      <c r="O8" s="1161">
        <f>ROUND(N8/$R8*100,2)</f>
        <v>10.210000000000001</v>
      </c>
      <c r="P8" s="790">
        <f>SUM(P9:P14)</f>
        <v>889475</v>
      </c>
      <c r="Q8" s="381">
        <f t="shared" ref="Q8:Q26" si="2">ROUND(P8/$R8*100,2)</f>
        <v>66.459999999999994</v>
      </c>
      <c r="R8" s="790">
        <f>SUM(R9:R14)</f>
        <v>1338379</v>
      </c>
    </row>
    <row r="9" spans="1:18" ht="16.5" customHeight="1">
      <c r="A9" s="663" t="s">
        <v>1051</v>
      </c>
      <c r="B9" s="450">
        <f t="shared" ref="B9:B14" si="3">SUM(D9,F9,H9,J9)</f>
        <v>70153</v>
      </c>
      <c r="C9" s="469">
        <f t="shared" si="0"/>
        <v>35.17</v>
      </c>
      <c r="D9" s="116">
        <v>14687</v>
      </c>
      <c r="E9" s="469">
        <f t="shared" ref="E9:E27" si="4">ROUND(D9/$B9*100,2)</f>
        <v>20.94</v>
      </c>
      <c r="F9" s="116">
        <v>38171</v>
      </c>
      <c r="G9" s="469">
        <f t="shared" si="1"/>
        <v>54.41</v>
      </c>
      <c r="H9" s="116">
        <v>2019</v>
      </c>
      <c r="I9" s="469">
        <f t="shared" ref="I9:I27" si="5">ROUND(H9/$B9*100,2)</f>
        <v>2.88</v>
      </c>
      <c r="J9" s="116">
        <v>15276</v>
      </c>
      <c r="K9" s="469">
        <f t="shared" ref="K9:K27" si="6">ROUND(J9/$B9*100,2)</f>
        <v>21.78</v>
      </c>
      <c r="L9" s="116">
        <v>51908</v>
      </c>
      <c r="M9" s="469">
        <f t="shared" ref="M9:M27" si="7">ROUND(L9/$R9*100,2)</f>
        <v>26.02</v>
      </c>
      <c r="N9" s="116">
        <v>18245</v>
      </c>
      <c r="O9" s="469">
        <f t="shared" ref="O9:O26" si="8">ROUND(N9/$R9*100,2)</f>
        <v>9.15</v>
      </c>
      <c r="P9" s="116">
        <v>129340</v>
      </c>
      <c r="Q9" s="792">
        <f t="shared" si="2"/>
        <v>64.83</v>
      </c>
      <c r="R9" s="450">
        <f t="shared" ref="R9:R14" si="9">SUM(L9,N9,P9)</f>
        <v>199493</v>
      </c>
    </row>
    <row r="10" spans="1:18" ht="16.5" customHeight="1">
      <c r="A10" s="663" t="s">
        <v>495</v>
      </c>
      <c r="B10" s="450">
        <f t="shared" si="3"/>
        <v>78752</v>
      </c>
      <c r="C10" s="469">
        <f t="shared" si="0"/>
        <v>31.33</v>
      </c>
      <c r="D10" s="116">
        <v>20513</v>
      </c>
      <c r="E10" s="469">
        <f t="shared" si="4"/>
        <v>26.05</v>
      </c>
      <c r="F10" s="116">
        <v>41898</v>
      </c>
      <c r="G10" s="469">
        <f t="shared" si="1"/>
        <v>53.2</v>
      </c>
      <c r="H10" s="116">
        <v>1821</v>
      </c>
      <c r="I10" s="469">
        <f t="shared" si="5"/>
        <v>2.31</v>
      </c>
      <c r="J10" s="116">
        <v>14520</v>
      </c>
      <c r="K10" s="469">
        <f t="shared" si="6"/>
        <v>18.440000000000001</v>
      </c>
      <c r="L10" s="116">
        <v>51130</v>
      </c>
      <c r="M10" s="469">
        <f t="shared" si="7"/>
        <v>20.34</v>
      </c>
      <c r="N10" s="116">
        <v>27622</v>
      </c>
      <c r="O10" s="469">
        <f t="shared" si="8"/>
        <v>10.99</v>
      </c>
      <c r="P10" s="116">
        <v>172593</v>
      </c>
      <c r="Q10" s="792">
        <f t="shared" si="2"/>
        <v>68.67</v>
      </c>
      <c r="R10" s="450">
        <f t="shared" si="9"/>
        <v>251345</v>
      </c>
    </row>
    <row r="11" spans="1:18" ht="16.5" customHeight="1">
      <c r="A11" s="663" t="s">
        <v>531</v>
      </c>
      <c r="B11" s="450">
        <f t="shared" si="3"/>
        <v>77826</v>
      </c>
      <c r="C11" s="469">
        <f t="shared" si="0"/>
        <v>38.01</v>
      </c>
      <c r="D11" s="116">
        <v>15994</v>
      </c>
      <c r="E11" s="469">
        <f t="shared" si="4"/>
        <v>20.55</v>
      </c>
      <c r="F11" s="116">
        <v>41532</v>
      </c>
      <c r="G11" s="469">
        <f t="shared" si="1"/>
        <v>53.37</v>
      </c>
      <c r="H11" s="116">
        <v>1983</v>
      </c>
      <c r="I11" s="469">
        <f t="shared" si="5"/>
        <v>2.5499999999999998</v>
      </c>
      <c r="J11" s="116">
        <v>18317</v>
      </c>
      <c r="K11" s="469">
        <f t="shared" si="6"/>
        <v>23.54</v>
      </c>
      <c r="L11" s="116">
        <v>56818</v>
      </c>
      <c r="M11" s="469">
        <f t="shared" si="7"/>
        <v>27.75</v>
      </c>
      <c r="N11" s="116">
        <v>21008</v>
      </c>
      <c r="O11" s="469">
        <f t="shared" si="8"/>
        <v>10.26</v>
      </c>
      <c r="P11" s="116">
        <v>126914</v>
      </c>
      <c r="Q11" s="792">
        <f t="shared" si="2"/>
        <v>61.99</v>
      </c>
      <c r="R11" s="450">
        <f t="shared" si="9"/>
        <v>204740</v>
      </c>
    </row>
    <row r="12" spans="1:18" ht="16.5" customHeight="1">
      <c r="A12" s="663" t="s">
        <v>532</v>
      </c>
      <c r="B12" s="450">
        <f t="shared" si="3"/>
        <v>70646</v>
      </c>
      <c r="C12" s="469">
        <f t="shared" si="0"/>
        <v>34.409999999999997</v>
      </c>
      <c r="D12" s="116">
        <v>16531</v>
      </c>
      <c r="E12" s="469">
        <f t="shared" si="4"/>
        <v>23.4</v>
      </c>
      <c r="F12" s="116">
        <v>38816</v>
      </c>
      <c r="G12" s="469">
        <f t="shared" si="1"/>
        <v>54.94</v>
      </c>
      <c r="H12" s="116">
        <v>2203</v>
      </c>
      <c r="I12" s="469">
        <f t="shared" si="5"/>
        <v>3.12</v>
      </c>
      <c r="J12" s="116">
        <v>13096</v>
      </c>
      <c r="K12" s="469">
        <f t="shared" si="6"/>
        <v>18.54</v>
      </c>
      <c r="L12" s="116">
        <v>49159</v>
      </c>
      <c r="M12" s="469">
        <f t="shared" si="7"/>
        <v>23.94</v>
      </c>
      <c r="N12" s="116">
        <v>21487</v>
      </c>
      <c r="O12" s="469">
        <f t="shared" si="8"/>
        <v>10.46</v>
      </c>
      <c r="P12" s="116">
        <v>134687</v>
      </c>
      <c r="Q12" s="792">
        <f t="shared" si="2"/>
        <v>65.59</v>
      </c>
      <c r="R12" s="450">
        <f t="shared" si="9"/>
        <v>205333</v>
      </c>
    </row>
    <row r="13" spans="1:18" ht="16.5" customHeight="1">
      <c r="A13" s="663" t="s">
        <v>533</v>
      </c>
      <c r="B13" s="450">
        <f t="shared" si="3"/>
        <v>90358</v>
      </c>
      <c r="C13" s="469">
        <f t="shared" si="0"/>
        <v>32.81</v>
      </c>
      <c r="D13" s="116">
        <v>20093</v>
      </c>
      <c r="E13" s="469">
        <f t="shared" si="4"/>
        <v>22.24</v>
      </c>
      <c r="F13" s="116">
        <v>38870</v>
      </c>
      <c r="G13" s="469">
        <f t="shared" si="1"/>
        <v>43.02</v>
      </c>
      <c r="H13" s="116">
        <v>6258</v>
      </c>
      <c r="I13" s="469">
        <f t="shared" si="5"/>
        <v>6.93</v>
      </c>
      <c r="J13" s="116">
        <v>25137</v>
      </c>
      <c r="K13" s="469">
        <f t="shared" si="6"/>
        <v>27.82</v>
      </c>
      <c r="L13" s="116">
        <v>58841</v>
      </c>
      <c r="M13" s="469">
        <f t="shared" si="7"/>
        <v>21.37</v>
      </c>
      <c r="N13" s="116">
        <v>31517</v>
      </c>
      <c r="O13" s="469">
        <f t="shared" si="8"/>
        <v>11.44</v>
      </c>
      <c r="P13" s="116">
        <v>185030</v>
      </c>
      <c r="Q13" s="792">
        <f t="shared" si="2"/>
        <v>67.19</v>
      </c>
      <c r="R13" s="450">
        <f t="shared" si="9"/>
        <v>275388</v>
      </c>
    </row>
    <row r="14" spans="1:18" ht="16.5" customHeight="1">
      <c r="A14" s="663" t="s">
        <v>573</v>
      </c>
      <c r="B14" s="450">
        <f t="shared" si="3"/>
        <v>61169</v>
      </c>
      <c r="C14" s="469">
        <f t="shared" si="0"/>
        <v>30.27</v>
      </c>
      <c r="D14" s="116">
        <v>10792</v>
      </c>
      <c r="E14" s="469">
        <f t="shared" si="4"/>
        <v>17.64</v>
      </c>
      <c r="F14" s="116">
        <v>28954</v>
      </c>
      <c r="G14" s="469">
        <f t="shared" si="1"/>
        <v>47.33</v>
      </c>
      <c r="H14" s="116">
        <v>3244</v>
      </c>
      <c r="I14" s="469">
        <f t="shared" si="5"/>
        <v>5.3</v>
      </c>
      <c r="J14" s="116">
        <v>18179</v>
      </c>
      <c r="K14" s="469">
        <f t="shared" si="6"/>
        <v>29.72</v>
      </c>
      <c r="L14" s="116">
        <v>44404</v>
      </c>
      <c r="M14" s="469">
        <f t="shared" si="7"/>
        <v>21.97</v>
      </c>
      <c r="N14" s="116">
        <v>16765</v>
      </c>
      <c r="O14" s="469">
        <f t="shared" si="8"/>
        <v>8.3000000000000007</v>
      </c>
      <c r="P14" s="116">
        <v>140911</v>
      </c>
      <c r="Q14" s="792">
        <f t="shared" si="2"/>
        <v>69.73</v>
      </c>
      <c r="R14" s="450">
        <f t="shared" si="9"/>
        <v>202080</v>
      </c>
    </row>
    <row r="15" spans="1:18" ht="24" customHeight="1">
      <c r="A15" s="957" t="s">
        <v>95</v>
      </c>
      <c r="B15" s="793">
        <f>SUM(B16:B26)</f>
        <v>1088943</v>
      </c>
      <c r="C15" s="1162">
        <f t="shared" si="0"/>
        <v>41.08</v>
      </c>
      <c r="D15" s="793">
        <f>SUM(D16:D26)</f>
        <v>156572</v>
      </c>
      <c r="E15" s="1162">
        <f t="shared" si="4"/>
        <v>14.38</v>
      </c>
      <c r="F15" s="793">
        <f>SUM(F16:F26)</f>
        <v>317518</v>
      </c>
      <c r="G15" s="1162">
        <f t="shared" si="1"/>
        <v>29.16</v>
      </c>
      <c r="H15" s="793">
        <f>SUM(H16:H26)</f>
        <v>179159</v>
      </c>
      <c r="I15" s="1162">
        <f t="shared" si="5"/>
        <v>16.45</v>
      </c>
      <c r="J15" s="793">
        <f>SUM(J16:J26)</f>
        <v>435694</v>
      </c>
      <c r="K15" s="1162">
        <f t="shared" si="6"/>
        <v>40.01</v>
      </c>
      <c r="L15" s="793">
        <f>SUM(L16:L26)</f>
        <v>738735</v>
      </c>
      <c r="M15" s="1162">
        <f t="shared" si="7"/>
        <v>27.87</v>
      </c>
      <c r="N15" s="793">
        <f>SUM(N16:N26)</f>
        <v>350208</v>
      </c>
      <c r="O15" s="1162">
        <f t="shared" si="8"/>
        <v>13.21</v>
      </c>
      <c r="P15" s="793">
        <f>SUM(P16:P26)</f>
        <v>1561523</v>
      </c>
      <c r="Q15" s="381">
        <f t="shared" si="2"/>
        <v>58.92</v>
      </c>
      <c r="R15" s="793">
        <f>SUM(R16:R26)</f>
        <v>2650466</v>
      </c>
    </row>
    <row r="16" spans="1:18" ht="16.5" customHeight="1">
      <c r="A16" s="664" t="s">
        <v>576</v>
      </c>
      <c r="B16" s="450">
        <f t="shared" ref="B16:B26" si="10">SUM(D16,F16,H16,J16)</f>
        <v>146098</v>
      </c>
      <c r="C16" s="469">
        <f t="shared" si="0"/>
        <v>42.49</v>
      </c>
      <c r="D16" s="116">
        <v>51433</v>
      </c>
      <c r="E16" s="469">
        <f t="shared" si="4"/>
        <v>35.200000000000003</v>
      </c>
      <c r="F16" s="116">
        <v>57954</v>
      </c>
      <c r="G16" s="469">
        <f t="shared" si="1"/>
        <v>39.67</v>
      </c>
      <c r="H16" s="116">
        <v>2748</v>
      </c>
      <c r="I16" s="469">
        <f t="shared" si="5"/>
        <v>1.88</v>
      </c>
      <c r="J16" s="116">
        <v>33963</v>
      </c>
      <c r="K16" s="469">
        <f t="shared" si="6"/>
        <v>23.25</v>
      </c>
      <c r="L16" s="116">
        <v>104863</v>
      </c>
      <c r="M16" s="469">
        <f t="shared" si="7"/>
        <v>30.5</v>
      </c>
      <c r="N16" s="116">
        <v>41235</v>
      </c>
      <c r="O16" s="469">
        <f t="shared" si="8"/>
        <v>11.99</v>
      </c>
      <c r="P16" s="116">
        <v>197732</v>
      </c>
      <c r="Q16" s="792">
        <f t="shared" si="2"/>
        <v>57.51</v>
      </c>
      <c r="R16" s="450">
        <f t="shared" ref="R16:R26" si="11">SUM(L16,N16,P16)</f>
        <v>343830</v>
      </c>
    </row>
    <row r="17" spans="1:18" ht="16.5" customHeight="1">
      <c r="A17" s="664" t="s">
        <v>1510</v>
      </c>
      <c r="B17" s="450">
        <f t="shared" si="10"/>
        <v>61236</v>
      </c>
      <c r="C17" s="469">
        <f t="shared" si="0"/>
        <v>42.55</v>
      </c>
      <c r="D17" s="116">
        <v>19189</v>
      </c>
      <c r="E17" s="469">
        <f t="shared" si="4"/>
        <v>31.34</v>
      </c>
      <c r="F17" s="116">
        <v>30283</v>
      </c>
      <c r="G17" s="469">
        <f t="shared" si="1"/>
        <v>49.45</v>
      </c>
      <c r="H17" s="116">
        <v>1583</v>
      </c>
      <c r="I17" s="469">
        <f t="shared" si="5"/>
        <v>2.59</v>
      </c>
      <c r="J17" s="116">
        <v>10181</v>
      </c>
      <c r="K17" s="469">
        <f t="shared" si="6"/>
        <v>16.63</v>
      </c>
      <c r="L17" s="116">
        <v>40013</v>
      </c>
      <c r="M17" s="469">
        <f t="shared" si="7"/>
        <v>27.8</v>
      </c>
      <c r="N17" s="116">
        <v>21223</v>
      </c>
      <c r="O17" s="469">
        <f t="shared" si="8"/>
        <v>14.75</v>
      </c>
      <c r="P17" s="116">
        <v>82670</v>
      </c>
      <c r="Q17" s="792">
        <f t="shared" si="2"/>
        <v>57.45</v>
      </c>
      <c r="R17" s="450">
        <f t="shared" si="11"/>
        <v>143906</v>
      </c>
    </row>
    <row r="18" spans="1:18" ht="16.5" customHeight="1">
      <c r="A18" s="664" t="s">
        <v>577</v>
      </c>
      <c r="B18" s="450">
        <f t="shared" si="10"/>
        <v>96568</v>
      </c>
      <c r="C18" s="469">
        <f t="shared" si="0"/>
        <v>45.83</v>
      </c>
      <c r="D18" s="116">
        <v>22299</v>
      </c>
      <c r="E18" s="469">
        <f t="shared" si="4"/>
        <v>23.09</v>
      </c>
      <c r="F18" s="116">
        <v>49750</v>
      </c>
      <c r="G18" s="469">
        <f t="shared" si="1"/>
        <v>51.52</v>
      </c>
      <c r="H18" s="116">
        <v>4882</v>
      </c>
      <c r="I18" s="469">
        <f t="shared" si="5"/>
        <v>5.0599999999999996</v>
      </c>
      <c r="J18" s="116">
        <v>19637</v>
      </c>
      <c r="K18" s="469">
        <f t="shared" si="6"/>
        <v>20.329999999999998</v>
      </c>
      <c r="L18" s="116">
        <v>57151</v>
      </c>
      <c r="M18" s="469">
        <f t="shared" si="7"/>
        <v>27.12</v>
      </c>
      <c r="N18" s="116">
        <v>39417</v>
      </c>
      <c r="O18" s="469">
        <f t="shared" si="8"/>
        <v>18.71</v>
      </c>
      <c r="P18" s="116">
        <v>114131</v>
      </c>
      <c r="Q18" s="792">
        <f t="shared" si="2"/>
        <v>54.17</v>
      </c>
      <c r="R18" s="450">
        <f t="shared" si="11"/>
        <v>210699</v>
      </c>
    </row>
    <row r="19" spans="1:18" ht="16.5" customHeight="1">
      <c r="A19" s="664" t="s">
        <v>578</v>
      </c>
      <c r="B19" s="450">
        <f t="shared" si="10"/>
        <v>63124</v>
      </c>
      <c r="C19" s="469">
        <f t="shared" si="0"/>
        <v>40.369999999999997</v>
      </c>
      <c r="D19" s="116">
        <v>12281</v>
      </c>
      <c r="E19" s="469">
        <f t="shared" si="4"/>
        <v>19.46</v>
      </c>
      <c r="F19" s="116">
        <v>23991</v>
      </c>
      <c r="G19" s="469">
        <f t="shared" si="1"/>
        <v>38.01</v>
      </c>
      <c r="H19" s="116">
        <v>2473</v>
      </c>
      <c r="I19" s="469">
        <f t="shared" si="5"/>
        <v>3.92</v>
      </c>
      <c r="J19" s="116">
        <v>24379</v>
      </c>
      <c r="K19" s="469">
        <f t="shared" si="6"/>
        <v>38.619999999999997</v>
      </c>
      <c r="L19" s="116">
        <v>44438</v>
      </c>
      <c r="M19" s="469">
        <f t="shared" si="7"/>
        <v>28.42</v>
      </c>
      <c r="N19" s="116">
        <v>18686</v>
      </c>
      <c r="O19" s="469">
        <f t="shared" si="8"/>
        <v>11.95</v>
      </c>
      <c r="P19" s="116">
        <v>93241</v>
      </c>
      <c r="Q19" s="792">
        <f t="shared" si="2"/>
        <v>59.63</v>
      </c>
      <c r="R19" s="450">
        <f t="shared" si="11"/>
        <v>156365</v>
      </c>
    </row>
    <row r="20" spans="1:18" ht="16.5" customHeight="1">
      <c r="A20" s="664" t="s">
        <v>490</v>
      </c>
      <c r="B20" s="450">
        <f t="shared" si="10"/>
        <v>98746</v>
      </c>
      <c r="C20" s="469">
        <f t="shared" si="0"/>
        <v>35.96</v>
      </c>
      <c r="D20" s="116">
        <v>7635</v>
      </c>
      <c r="E20" s="469">
        <f t="shared" si="4"/>
        <v>7.73</v>
      </c>
      <c r="F20" s="116">
        <v>23502</v>
      </c>
      <c r="G20" s="469">
        <f t="shared" si="1"/>
        <v>23.8</v>
      </c>
      <c r="H20" s="116">
        <v>12311</v>
      </c>
      <c r="I20" s="469">
        <f t="shared" si="5"/>
        <v>12.47</v>
      </c>
      <c r="J20" s="116">
        <v>55298</v>
      </c>
      <c r="K20" s="469">
        <f t="shared" si="6"/>
        <v>56</v>
      </c>
      <c r="L20" s="116">
        <v>72582</v>
      </c>
      <c r="M20" s="469">
        <f t="shared" si="7"/>
        <v>26.43</v>
      </c>
      <c r="N20" s="116">
        <v>26164</v>
      </c>
      <c r="O20" s="469">
        <f t="shared" si="8"/>
        <v>9.5299999999999994</v>
      </c>
      <c r="P20" s="116">
        <v>175881</v>
      </c>
      <c r="Q20" s="792">
        <f t="shared" si="2"/>
        <v>64.040000000000006</v>
      </c>
      <c r="R20" s="450">
        <f t="shared" si="11"/>
        <v>274627</v>
      </c>
    </row>
    <row r="21" spans="1:18" ht="16.5" customHeight="1">
      <c r="A21" s="664" t="s">
        <v>580</v>
      </c>
      <c r="B21" s="450">
        <f t="shared" si="10"/>
        <v>97646</v>
      </c>
      <c r="C21" s="469">
        <f t="shared" si="0"/>
        <v>36.19</v>
      </c>
      <c r="D21" s="116">
        <v>9053</v>
      </c>
      <c r="E21" s="469">
        <f t="shared" si="4"/>
        <v>9.27</v>
      </c>
      <c r="F21" s="116">
        <v>46068</v>
      </c>
      <c r="G21" s="469">
        <f t="shared" si="1"/>
        <v>47.18</v>
      </c>
      <c r="H21" s="116">
        <v>10195</v>
      </c>
      <c r="I21" s="469">
        <f t="shared" si="5"/>
        <v>10.44</v>
      </c>
      <c r="J21" s="116">
        <v>32330</v>
      </c>
      <c r="K21" s="469">
        <f t="shared" si="6"/>
        <v>33.11</v>
      </c>
      <c r="L21" s="116">
        <v>54673</v>
      </c>
      <c r="M21" s="469">
        <f t="shared" si="7"/>
        <v>20.260000000000002</v>
      </c>
      <c r="N21" s="116">
        <v>42973</v>
      </c>
      <c r="O21" s="469">
        <f t="shared" si="8"/>
        <v>15.93</v>
      </c>
      <c r="P21" s="116">
        <v>172167</v>
      </c>
      <c r="Q21" s="792">
        <f t="shared" si="2"/>
        <v>63.81</v>
      </c>
      <c r="R21" s="450">
        <f t="shared" si="11"/>
        <v>269813</v>
      </c>
    </row>
    <row r="22" spans="1:18" ht="16.5" customHeight="1">
      <c r="A22" s="664" t="s">
        <v>585</v>
      </c>
      <c r="B22" s="450">
        <f t="shared" si="10"/>
        <v>174522</v>
      </c>
      <c r="C22" s="469">
        <f t="shared" si="0"/>
        <v>44.46</v>
      </c>
      <c r="D22" s="116">
        <v>7821</v>
      </c>
      <c r="E22" s="469">
        <f t="shared" si="4"/>
        <v>4.4800000000000004</v>
      </c>
      <c r="F22" s="116">
        <v>21494</v>
      </c>
      <c r="G22" s="469">
        <f t="shared" si="1"/>
        <v>12.32</v>
      </c>
      <c r="H22" s="116">
        <v>53457</v>
      </c>
      <c r="I22" s="469">
        <f t="shared" si="5"/>
        <v>30.63</v>
      </c>
      <c r="J22" s="116">
        <v>91750</v>
      </c>
      <c r="K22" s="469">
        <f t="shared" si="6"/>
        <v>52.57</v>
      </c>
      <c r="L22" s="116">
        <v>121304</v>
      </c>
      <c r="M22" s="469">
        <f t="shared" si="7"/>
        <v>30.9</v>
      </c>
      <c r="N22" s="116">
        <v>53218</v>
      </c>
      <c r="O22" s="469">
        <f t="shared" si="8"/>
        <v>13.56</v>
      </c>
      <c r="P22" s="116">
        <v>217995</v>
      </c>
      <c r="Q22" s="792">
        <f t="shared" si="2"/>
        <v>55.54</v>
      </c>
      <c r="R22" s="450">
        <f t="shared" si="11"/>
        <v>392517</v>
      </c>
    </row>
    <row r="23" spans="1:18" ht="16.5" customHeight="1">
      <c r="A23" s="664" t="s">
        <v>586</v>
      </c>
      <c r="B23" s="450">
        <f t="shared" si="10"/>
        <v>89659</v>
      </c>
      <c r="C23" s="469">
        <f t="shared" si="0"/>
        <v>42.67</v>
      </c>
      <c r="D23" s="116">
        <v>7165</v>
      </c>
      <c r="E23" s="469">
        <f t="shared" si="4"/>
        <v>7.99</v>
      </c>
      <c r="F23" s="116">
        <v>23537</v>
      </c>
      <c r="G23" s="469">
        <f t="shared" si="1"/>
        <v>26.25</v>
      </c>
      <c r="H23" s="116">
        <v>27320</v>
      </c>
      <c r="I23" s="469">
        <f t="shared" si="5"/>
        <v>30.47</v>
      </c>
      <c r="J23" s="116">
        <v>31637</v>
      </c>
      <c r="K23" s="469">
        <f t="shared" si="6"/>
        <v>35.29</v>
      </c>
      <c r="L23" s="116">
        <v>54219</v>
      </c>
      <c r="M23" s="469">
        <f t="shared" si="7"/>
        <v>25.81</v>
      </c>
      <c r="N23" s="116">
        <v>35440</v>
      </c>
      <c r="O23" s="469">
        <f t="shared" si="8"/>
        <v>16.87</v>
      </c>
      <c r="P23" s="116">
        <v>120446</v>
      </c>
      <c r="Q23" s="792">
        <f t="shared" si="2"/>
        <v>57.33</v>
      </c>
      <c r="R23" s="450">
        <f t="shared" si="11"/>
        <v>210105</v>
      </c>
    </row>
    <row r="24" spans="1:18" ht="16.5" customHeight="1">
      <c r="A24" s="664" t="s">
        <v>587</v>
      </c>
      <c r="B24" s="450">
        <f t="shared" si="10"/>
        <v>160395</v>
      </c>
      <c r="C24" s="469">
        <f t="shared" si="0"/>
        <v>44.67</v>
      </c>
      <c r="D24" s="116">
        <v>19127</v>
      </c>
      <c r="E24" s="469">
        <f t="shared" si="4"/>
        <v>11.92</v>
      </c>
      <c r="F24" s="116">
        <v>40520</v>
      </c>
      <c r="G24" s="469">
        <f t="shared" si="1"/>
        <v>25.26</v>
      </c>
      <c r="H24" s="116">
        <v>60603</v>
      </c>
      <c r="I24" s="469">
        <f t="shared" si="5"/>
        <v>37.78</v>
      </c>
      <c r="J24" s="116">
        <v>40145</v>
      </c>
      <c r="K24" s="469">
        <f t="shared" si="6"/>
        <v>25.03</v>
      </c>
      <c r="L24" s="116">
        <v>101345</v>
      </c>
      <c r="M24" s="469">
        <f t="shared" si="7"/>
        <v>28.22</v>
      </c>
      <c r="N24" s="116">
        <v>59050</v>
      </c>
      <c r="O24" s="469">
        <f t="shared" si="8"/>
        <v>16.45</v>
      </c>
      <c r="P24" s="116">
        <v>198676</v>
      </c>
      <c r="Q24" s="792">
        <f t="shared" si="2"/>
        <v>55.33</v>
      </c>
      <c r="R24" s="450">
        <f t="shared" si="11"/>
        <v>359071</v>
      </c>
    </row>
    <row r="25" spans="1:18" ht="16.5" customHeight="1">
      <c r="A25" s="664" t="s">
        <v>1511</v>
      </c>
      <c r="B25" s="450">
        <f t="shared" si="10"/>
        <v>35626</v>
      </c>
      <c r="C25" s="469">
        <f t="shared" si="0"/>
        <v>42.41</v>
      </c>
      <c r="D25" s="116">
        <v>148</v>
      </c>
      <c r="E25" s="469">
        <f t="shared" si="4"/>
        <v>0.42</v>
      </c>
      <c r="F25" s="116">
        <v>126</v>
      </c>
      <c r="G25" s="469">
        <f t="shared" si="1"/>
        <v>0.35</v>
      </c>
      <c r="H25" s="116">
        <v>2364</v>
      </c>
      <c r="I25" s="469">
        <f t="shared" si="5"/>
        <v>6.64</v>
      </c>
      <c r="J25" s="116">
        <v>32988</v>
      </c>
      <c r="K25" s="469">
        <f t="shared" si="6"/>
        <v>92.6</v>
      </c>
      <c r="L25" s="116">
        <v>29936</v>
      </c>
      <c r="M25" s="469">
        <f t="shared" si="7"/>
        <v>35.630000000000003</v>
      </c>
      <c r="N25" s="116">
        <v>5690</v>
      </c>
      <c r="O25" s="469">
        <f t="shared" si="8"/>
        <v>6.77</v>
      </c>
      <c r="P25" s="116">
        <v>48386</v>
      </c>
      <c r="Q25" s="792">
        <f t="shared" si="2"/>
        <v>57.59</v>
      </c>
      <c r="R25" s="450">
        <f t="shared" si="11"/>
        <v>84012</v>
      </c>
    </row>
    <row r="26" spans="1:18" ht="16.5" customHeight="1">
      <c r="A26" s="664" t="s">
        <v>579</v>
      </c>
      <c r="B26" s="719">
        <f t="shared" si="10"/>
        <v>65323</v>
      </c>
      <c r="C26" s="710">
        <f t="shared" si="0"/>
        <v>31.78</v>
      </c>
      <c r="D26" s="116">
        <v>421</v>
      </c>
      <c r="E26" s="469">
        <f t="shared" si="4"/>
        <v>0.64</v>
      </c>
      <c r="F26" s="116">
        <v>293</v>
      </c>
      <c r="G26" s="469">
        <f t="shared" si="1"/>
        <v>0.45</v>
      </c>
      <c r="H26" s="116">
        <v>1223</v>
      </c>
      <c r="I26" s="469">
        <f t="shared" si="5"/>
        <v>1.87</v>
      </c>
      <c r="J26" s="116">
        <v>63386</v>
      </c>
      <c r="K26" s="469">
        <f t="shared" si="6"/>
        <v>97.03</v>
      </c>
      <c r="L26" s="116">
        <v>58211</v>
      </c>
      <c r="M26" s="469">
        <f t="shared" si="7"/>
        <v>28.32</v>
      </c>
      <c r="N26" s="116">
        <v>7112</v>
      </c>
      <c r="O26" s="469">
        <f t="shared" si="8"/>
        <v>3.46</v>
      </c>
      <c r="P26" s="116">
        <v>140198</v>
      </c>
      <c r="Q26" s="792">
        <f t="shared" si="2"/>
        <v>68.22</v>
      </c>
      <c r="R26" s="450">
        <f t="shared" si="11"/>
        <v>205521</v>
      </c>
    </row>
    <row r="27" spans="1:18" ht="16.5" customHeight="1">
      <c r="A27" s="454" t="s">
        <v>921</v>
      </c>
      <c r="B27" s="345">
        <f>SUM(B8,B15)</f>
        <v>1537847</v>
      </c>
      <c r="C27" s="794">
        <f>ROUND(B27/$R27*100,2)</f>
        <v>38.549999999999997</v>
      </c>
      <c r="D27" s="345">
        <f>SUM(D8,D15)</f>
        <v>255182</v>
      </c>
      <c r="E27" s="1163">
        <f t="shared" si="4"/>
        <v>16.59</v>
      </c>
      <c r="F27" s="345">
        <f>SUM(F8,F15)</f>
        <v>545759</v>
      </c>
      <c r="G27" s="1163">
        <f t="shared" si="1"/>
        <v>35.49</v>
      </c>
      <c r="H27" s="345">
        <f>SUM(H8,H15)</f>
        <v>196687</v>
      </c>
      <c r="I27" s="1163">
        <f t="shared" si="5"/>
        <v>12.79</v>
      </c>
      <c r="J27" s="345">
        <f>SUM(J8,J15)</f>
        <v>540219</v>
      </c>
      <c r="K27" s="1163">
        <f t="shared" si="6"/>
        <v>35.130000000000003</v>
      </c>
      <c r="L27" s="345">
        <f>SUM(L8,L15)</f>
        <v>1050995</v>
      </c>
      <c r="M27" s="1163">
        <f t="shared" si="7"/>
        <v>26.35</v>
      </c>
      <c r="N27" s="345">
        <f>SUM(N8,N15)</f>
        <v>486852</v>
      </c>
      <c r="O27" s="1163">
        <f>ROUND(N27/$R27*100,2)-0.01</f>
        <v>12.200000000000001</v>
      </c>
      <c r="P27" s="345">
        <f>SUM(P8,P15)</f>
        <v>2450998</v>
      </c>
      <c r="Q27" s="794">
        <f>ROUND(P27/$R27*100,2)</f>
        <v>61.45</v>
      </c>
      <c r="R27" s="345">
        <f>SUM(R8,R15)</f>
        <v>3988845</v>
      </c>
    </row>
    <row r="28" spans="1:18" ht="11.25" customHeight="1">
      <c r="A28" s="958" t="s">
        <v>1604</v>
      </c>
      <c r="B28" s="959"/>
      <c r="C28" s="959"/>
      <c r="D28" s="960"/>
      <c r="E28" s="961"/>
      <c r="F28" s="138"/>
      <c r="G28" s="138"/>
      <c r="H28" s="1458" t="s">
        <v>1139</v>
      </c>
      <c r="I28" s="1458"/>
      <c r="J28" s="138"/>
      <c r="K28" s="138"/>
      <c r="L28" s="138"/>
      <c r="M28" s="138"/>
      <c r="N28" s="138"/>
      <c r="O28" s="962"/>
      <c r="P28" s="963"/>
      <c r="Q28" s="962"/>
      <c r="R28" s="964" t="s">
        <v>868</v>
      </c>
    </row>
    <row r="29" spans="1:18" ht="11.25" customHeight="1">
      <c r="A29" s="958" t="s">
        <v>647</v>
      </c>
      <c r="B29" s="60"/>
      <c r="C29" s="76"/>
      <c r="D29" s="60"/>
      <c r="E29" s="76"/>
      <c r="F29" s="60"/>
      <c r="G29" s="76"/>
      <c r="H29" s="60"/>
      <c r="I29" s="76"/>
      <c r="J29" s="60"/>
      <c r="K29" s="76"/>
      <c r="L29" s="60"/>
      <c r="M29" s="77"/>
      <c r="N29" s="60"/>
      <c r="O29" s="11"/>
      <c r="P29" s="11"/>
      <c r="Q29" s="11"/>
      <c r="R29" s="11"/>
    </row>
    <row r="30" spans="1:18" ht="11.25" customHeight="1">
      <c r="A30" s="965" t="s">
        <v>1603</v>
      </c>
      <c r="B30" s="558"/>
      <c r="C30" s="558"/>
      <c r="D30" s="801"/>
      <c r="E30" s="802"/>
      <c r="F30" s="77"/>
      <c r="G30" s="60"/>
    </row>
  </sheetData>
  <mergeCells count="20">
    <mergeCell ref="A1:R1"/>
    <mergeCell ref="D5:E5"/>
    <mergeCell ref="L4:M4"/>
    <mergeCell ref="A4:A6"/>
    <mergeCell ref="N4:O4"/>
    <mergeCell ref="P5:P6"/>
    <mergeCell ref="B4:C5"/>
    <mergeCell ref="H5:I5"/>
    <mergeCell ref="J5:K5"/>
    <mergeCell ref="A2:R2"/>
    <mergeCell ref="H28:I28"/>
    <mergeCell ref="R4:R6"/>
    <mergeCell ref="L5:L6"/>
    <mergeCell ref="D4:K4"/>
    <mergeCell ref="P4:Q4"/>
    <mergeCell ref="M5:M6"/>
    <mergeCell ref="N5:N6"/>
    <mergeCell ref="O5:O6"/>
    <mergeCell ref="Q5:Q6"/>
    <mergeCell ref="F5:G5"/>
  </mergeCells>
  <phoneticPr fontId="0" type="noConversion"/>
  <printOptions horizontalCentered="1"/>
  <pageMargins left="0.1" right="0.1" top="0.7" bottom="0.2" header="0.37" footer="0.16"/>
  <pageSetup paperSize="9" orientation="landscape" blackAndWhite="1" horizontalDpi="4294967295"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55"/>
  <sheetViews>
    <sheetView workbookViewId="0">
      <selection activeCell="M5" sqref="M5"/>
    </sheetView>
  </sheetViews>
  <sheetFormatPr defaultRowHeight="12.75"/>
  <cols>
    <col min="1" max="1" width="2.7109375" customWidth="1"/>
    <col min="2" max="2" width="2.140625" customWidth="1"/>
    <col min="3" max="3" width="27.5703125" customWidth="1"/>
    <col min="4" max="6" width="12.7109375" customWidth="1"/>
    <col min="7" max="7" width="14.28515625" customWidth="1"/>
  </cols>
  <sheetData>
    <row r="1" spans="1:8" ht="16.5" customHeight="1">
      <c r="A1" s="1469" t="s">
        <v>1347</v>
      </c>
      <c r="B1" s="1469"/>
      <c r="C1" s="1469"/>
      <c r="D1" s="1469"/>
      <c r="E1" s="1469"/>
      <c r="F1" s="1469"/>
      <c r="G1" s="1469"/>
    </row>
    <row r="2" spans="1:8" ht="37.5" customHeight="1">
      <c r="A2" s="1477" t="str">
        <f>CONCATENATE("Distribution of Population over different categories of workers and 
non-workers by sex in the district of ",District!$A$1,", 2011")</f>
        <v>Distribution of Population over different categories of workers and 
non-workers by sex in the district of Malda, 2011</v>
      </c>
      <c r="B2" s="1477"/>
      <c r="C2" s="1477"/>
      <c r="D2" s="1477"/>
      <c r="E2" s="1477"/>
      <c r="F2" s="1477"/>
      <c r="G2" s="1477"/>
    </row>
    <row r="3" spans="1:8">
      <c r="A3" s="1433" t="s">
        <v>1512</v>
      </c>
      <c r="B3" s="1435"/>
      <c r="C3" s="1434"/>
      <c r="D3" s="1461" t="s">
        <v>944</v>
      </c>
      <c r="E3" s="1478"/>
      <c r="F3" s="1462"/>
      <c r="G3" s="1434" t="s">
        <v>1574</v>
      </c>
    </row>
    <row r="4" spans="1:8">
      <c r="A4" s="1406"/>
      <c r="B4" s="1395"/>
      <c r="C4" s="1452"/>
      <c r="D4" s="1472"/>
      <c r="E4" s="1473"/>
      <c r="F4" s="1474"/>
      <c r="G4" s="1452"/>
    </row>
    <row r="5" spans="1:8" ht="15" customHeight="1">
      <c r="A5" s="1407"/>
      <c r="B5" s="1396"/>
      <c r="C5" s="1460"/>
      <c r="D5" s="263" t="s">
        <v>1265</v>
      </c>
      <c r="E5" s="261" t="s">
        <v>1266</v>
      </c>
      <c r="F5" s="213" t="s">
        <v>1233</v>
      </c>
      <c r="G5" s="1460"/>
    </row>
    <row r="6" spans="1:8">
      <c r="A6" s="1353" t="s">
        <v>1208</v>
      </c>
      <c r="B6" s="1425"/>
      <c r="C6" s="1354"/>
      <c r="D6" s="268" t="s">
        <v>1209</v>
      </c>
      <c r="E6" s="241" t="s">
        <v>1210</v>
      </c>
      <c r="F6" s="153" t="s">
        <v>1211</v>
      </c>
      <c r="G6" s="153" t="s">
        <v>1212</v>
      </c>
    </row>
    <row r="7" spans="1:8" ht="15" customHeight="1">
      <c r="A7" s="911" t="s">
        <v>1520</v>
      </c>
      <c r="B7" s="795" t="s">
        <v>1513</v>
      </c>
      <c r="C7" s="144"/>
      <c r="D7" s="505"/>
      <c r="E7" s="1061"/>
      <c r="F7" s="567"/>
      <c r="G7" s="567"/>
    </row>
    <row r="8" spans="1:8" ht="15" customHeight="1">
      <c r="A8" s="1475" t="s">
        <v>1514</v>
      </c>
      <c r="B8" s="1476"/>
      <c r="C8" s="795" t="s">
        <v>1515</v>
      </c>
      <c r="D8" s="430"/>
      <c r="E8" s="567"/>
      <c r="F8" s="567"/>
      <c r="G8" s="912"/>
    </row>
    <row r="9" spans="1:8" ht="15" customHeight="1">
      <c r="A9" s="1413"/>
      <c r="B9" s="1468"/>
      <c r="C9" s="1165" t="s">
        <v>1268</v>
      </c>
      <c r="D9" s="1169">
        <v>721574</v>
      </c>
      <c r="E9" s="1170">
        <v>164869</v>
      </c>
      <c r="F9" s="98">
        <f>SUM(D9,E9)</f>
        <v>886443</v>
      </c>
      <c r="G9" s="913">
        <f>ROUND(F9/F21*100,2)</f>
        <v>25.71</v>
      </c>
    </row>
    <row r="10" spans="1:8" ht="15" customHeight="1">
      <c r="A10" s="1413"/>
      <c r="B10" s="1468"/>
      <c r="C10" s="1166" t="s">
        <v>1267</v>
      </c>
      <c r="D10" s="1169">
        <v>130358</v>
      </c>
      <c r="E10" s="1170">
        <v>34194</v>
      </c>
      <c r="F10" s="98">
        <f>SUM(D10,E10)</f>
        <v>164552</v>
      </c>
      <c r="G10" s="914">
        <f>ROUND(F10/F22*100,2)</f>
        <v>30.38</v>
      </c>
    </row>
    <row r="11" spans="1:8" ht="15" customHeight="1">
      <c r="A11" s="1413"/>
      <c r="B11" s="1468"/>
      <c r="C11" s="1167" t="s">
        <v>1516</v>
      </c>
      <c r="D11" s="349">
        <f>SUM(D9:D10)</f>
        <v>851932</v>
      </c>
      <c r="E11" s="762">
        <f>SUM(E9:E10)</f>
        <v>199063</v>
      </c>
      <c r="F11" s="762">
        <f>SUM(D11,E11)</f>
        <v>1050995</v>
      </c>
      <c r="G11" s="1029">
        <f>ROUND(F11/F23*100,2)</f>
        <v>26.35</v>
      </c>
    </row>
    <row r="12" spans="1:8" ht="15" customHeight="1">
      <c r="A12" s="1475" t="s">
        <v>1517</v>
      </c>
      <c r="B12" s="1476"/>
      <c r="C12" s="795" t="s">
        <v>1518</v>
      </c>
      <c r="D12" s="116"/>
      <c r="E12" s="98"/>
      <c r="F12" s="98"/>
      <c r="G12" s="104"/>
    </row>
    <row r="13" spans="1:8" ht="15" customHeight="1">
      <c r="A13" s="1413"/>
      <c r="B13" s="1468"/>
      <c r="C13" s="1165" t="s">
        <v>1268</v>
      </c>
      <c r="D13" s="1169">
        <v>214672</v>
      </c>
      <c r="E13" s="1170">
        <v>232647</v>
      </c>
      <c r="F13" s="98">
        <f>SUM(D13,E13)</f>
        <v>447319</v>
      </c>
      <c r="G13" s="913">
        <f>ROUND(F13/ $F21*100,2)</f>
        <v>12.98</v>
      </c>
    </row>
    <row r="14" spans="1:8" ht="15" customHeight="1">
      <c r="A14" s="1413"/>
      <c r="B14" s="1468"/>
      <c r="C14" s="1166" t="s">
        <v>1267</v>
      </c>
      <c r="D14" s="1169">
        <v>19857</v>
      </c>
      <c r="E14" s="1170">
        <v>19676</v>
      </c>
      <c r="F14" s="98">
        <f>SUM(D14,E14)</f>
        <v>39533</v>
      </c>
      <c r="G14" s="914">
        <f>ROUND(F14/ $F22*100,2)</f>
        <v>7.3</v>
      </c>
    </row>
    <row r="15" spans="1:8" ht="15" customHeight="1">
      <c r="A15" s="1413"/>
      <c r="B15" s="1468"/>
      <c r="C15" s="1167" t="s">
        <v>1516</v>
      </c>
      <c r="D15" s="349">
        <f>SUM(D13:D14)</f>
        <v>234529</v>
      </c>
      <c r="E15" s="762">
        <f>SUM(E13:E14)</f>
        <v>252323</v>
      </c>
      <c r="F15" s="762">
        <f>SUM(D15,E15)</f>
        <v>486852</v>
      </c>
      <c r="G15" s="1029">
        <f>ROUND(F15/ $F23*100,2)-0.01</f>
        <v>12.200000000000001</v>
      </c>
    </row>
    <row r="16" spans="1:8" ht="15" customHeight="1">
      <c r="A16" s="911" t="s">
        <v>185</v>
      </c>
      <c r="B16" s="795" t="s">
        <v>1519</v>
      </c>
      <c r="C16" s="144"/>
      <c r="D16" s="116"/>
      <c r="E16" s="98"/>
      <c r="F16" s="98"/>
      <c r="G16" s="104"/>
      <c r="H16" s="1"/>
    </row>
    <row r="17" spans="1:7" ht="15" customHeight="1">
      <c r="A17" s="1413"/>
      <c r="B17" s="1468"/>
      <c r="C17" s="1165" t="s">
        <v>1268</v>
      </c>
      <c r="D17" s="1169">
        <v>832090</v>
      </c>
      <c r="E17" s="1170">
        <v>1281333</v>
      </c>
      <c r="F17" s="98">
        <f>SUM(D17,E17)</f>
        <v>2113423</v>
      </c>
      <c r="G17" s="913">
        <f>ROUND(F17/ $F21*100,2)</f>
        <v>61.31</v>
      </c>
    </row>
    <row r="18" spans="1:7" ht="15" customHeight="1">
      <c r="A18" s="1413"/>
      <c r="B18" s="1468"/>
      <c r="C18" s="1166" t="s">
        <v>1267</v>
      </c>
      <c r="D18" s="1169">
        <v>132990</v>
      </c>
      <c r="E18" s="1170">
        <v>204585</v>
      </c>
      <c r="F18" s="98">
        <f>SUM(D18,E18)</f>
        <v>337575</v>
      </c>
      <c r="G18" s="914">
        <f>ROUND(F18/ $F22*100,2)</f>
        <v>62.32</v>
      </c>
    </row>
    <row r="19" spans="1:7" ht="15" customHeight="1">
      <c r="A19" s="1413"/>
      <c r="B19" s="1468"/>
      <c r="C19" s="1167" t="s">
        <v>1516</v>
      </c>
      <c r="D19" s="349">
        <f>SUM(D17:D18)</f>
        <v>965080</v>
      </c>
      <c r="E19" s="762">
        <f>SUM(E17:E18)</f>
        <v>1485918</v>
      </c>
      <c r="F19" s="762">
        <f>SUM(D19,E19)</f>
        <v>2450998</v>
      </c>
      <c r="G19" s="1029">
        <f>ROUND(F19/ $F$23*100,2)</f>
        <v>61.45</v>
      </c>
    </row>
    <row r="20" spans="1:7" ht="15" customHeight="1">
      <c r="A20" s="915" t="s">
        <v>363</v>
      </c>
      <c r="B20" s="144"/>
      <c r="C20" s="144"/>
      <c r="D20" s="116"/>
      <c r="E20" s="98"/>
      <c r="F20" s="98"/>
      <c r="G20" s="104"/>
    </row>
    <row r="21" spans="1:7" ht="15" customHeight="1">
      <c r="A21" s="1413"/>
      <c r="B21" s="1468"/>
      <c r="C21" s="1165" t="s">
        <v>1268</v>
      </c>
      <c r="D21" s="116">
        <f t="shared" ref="D21:E23" si="0">SUM(D9,D13,D17)</f>
        <v>1768336</v>
      </c>
      <c r="E21" s="98">
        <f t="shared" si="0"/>
        <v>1678849</v>
      </c>
      <c r="F21" s="98">
        <f>SUM(D21,E21)</f>
        <v>3447185</v>
      </c>
      <c r="G21" s="913">
        <f>SUM(G9,G13,G17)</f>
        <v>100</v>
      </c>
    </row>
    <row r="22" spans="1:7" ht="15" customHeight="1">
      <c r="A22" s="1413"/>
      <c r="B22" s="1468"/>
      <c r="C22" s="1166" t="s">
        <v>1267</v>
      </c>
      <c r="D22" s="116">
        <f t="shared" si="0"/>
        <v>283205</v>
      </c>
      <c r="E22" s="98">
        <f t="shared" si="0"/>
        <v>258455</v>
      </c>
      <c r="F22" s="98">
        <f>SUM(D22,E22)</f>
        <v>541660</v>
      </c>
      <c r="G22" s="914">
        <f>SUM(G10,G14,G18)</f>
        <v>100</v>
      </c>
    </row>
    <row r="23" spans="1:7" ht="15" customHeight="1">
      <c r="A23" s="1413"/>
      <c r="B23" s="1468"/>
      <c r="C23" s="1167" t="s">
        <v>1516</v>
      </c>
      <c r="D23" s="650">
        <f t="shared" si="0"/>
        <v>2051541</v>
      </c>
      <c r="E23" s="1030">
        <f t="shared" si="0"/>
        <v>1937304</v>
      </c>
      <c r="F23" s="762">
        <f>SUM(D23,E23)</f>
        <v>3988845</v>
      </c>
      <c r="G23" s="1029">
        <f>SUM(G11,G15,G19)</f>
        <v>100</v>
      </c>
    </row>
    <row r="24" spans="1:7" ht="14.1" customHeight="1">
      <c r="A24" s="1433" t="s">
        <v>1512</v>
      </c>
      <c r="B24" s="1435"/>
      <c r="C24" s="1434"/>
      <c r="D24" s="1470" t="s">
        <v>944</v>
      </c>
      <c r="E24" s="1471"/>
      <c r="F24" s="1462"/>
      <c r="G24" s="1434" t="s">
        <v>1019</v>
      </c>
    </row>
    <row r="25" spans="1:7" ht="14.1" customHeight="1">
      <c r="A25" s="1406"/>
      <c r="B25" s="1395"/>
      <c r="C25" s="1452"/>
      <c r="D25" s="1472"/>
      <c r="E25" s="1473"/>
      <c r="F25" s="1474"/>
      <c r="G25" s="1452"/>
    </row>
    <row r="26" spans="1:7" ht="14.1" customHeight="1">
      <c r="A26" s="1407"/>
      <c r="B26" s="1396"/>
      <c r="C26" s="1460"/>
      <c r="D26" s="263" t="s">
        <v>1265</v>
      </c>
      <c r="E26" s="261" t="s">
        <v>1266</v>
      </c>
      <c r="F26" s="298" t="s">
        <v>1233</v>
      </c>
      <c r="G26" s="1460"/>
    </row>
    <row r="27" spans="1:7" ht="14.1" customHeight="1">
      <c r="A27" s="1353" t="s">
        <v>1213</v>
      </c>
      <c r="B27" s="1425"/>
      <c r="C27" s="1354"/>
      <c r="D27" s="218" t="s">
        <v>1214</v>
      </c>
      <c r="E27" s="151" t="s">
        <v>1244</v>
      </c>
      <c r="F27" s="153" t="s">
        <v>1245</v>
      </c>
      <c r="G27" s="153" t="s">
        <v>1246</v>
      </c>
    </row>
    <row r="28" spans="1:7" ht="15" customHeight="1">
      <c r="A28" s="911" t="s">
        <v>1520</v>
      </c>
      <c r="B28" s="795" t="s">
        <v>1513</v>
      </c>
      <c r="C28" s="1172"/>
      <c r="D28" s="134"/>
      <c r="E28" s="115"/>
      <c r="F28" s="98"/>
      <c r="G28" s="98"/>
    </row>
    <row r="29" spans="1:7" ht="15" customHeight="1">
      <c r="A29" s="1475">
        <v>1</v>
      </c>
      <c r="B29" s="1476"/>
      <c r="C29" s="795" t="s">
        <v>1521</v>
      </c>
      <c r="D29" s="121"/>
      <c r="E29" s="116"/>
      <c r="F29" s="98"/>
      <c r="G29" s="98"/>
    </row>
    <row r="30" spans="1:7" ht="15" customHeight="1">
      <c r="A30" s="1413"/>
      <c r="B30" s="1468"/>
      <c r="C30" s="1165" t="s">
        <v>1268</v>
      </c>
      <c r="D30" s="1173">
        <v>223086</v>
      </c>
      <c r="E30" s="1169">
        <v>28586</v>
      </c>
      <c r="F30" s="98">
        <f>SUM(D30:E30)</f>
        <v>251672</v>
      </c>
      <c r="G30" s="913">
        <f>ROUND(F30/ $F46*100,2)</f>
        <v>18.87</v>
      </c>
    </row>
    <row r="31" spans="1:7" ht="15" customHeight="1">
      <c r="A31" s="1413"/>
      <c r="B31" s="1468"/>
      <c r="C31" s="1166" t="s">
        <v>1267</v>
      </c>
      <c r="D31" s="1173">
        <v>3045</v>
      </c>
      <c r="E31" s="1169">
        <v>465</v>
      </c>
      <c r="F31" s="98">
        <f>SUM(D31:E31)</f>
        <v>3510</v>
      </c>
      <c r="G31" s="914">
        <f>ROUND(F31/ $F47*100,2)</f>
        <v>1.72</v>
      </c>
    </row>
    <row r="32" spans="1:7" ht="15" customHeight="1">
      <c r="A32" s="1413"/>
      <c r="B32" s="1468"/>
      <c r="C32" s="1167" t="s">
        <v>1516</v>
      </c>
      <c r="D32" s="809">
        <f>SUM(D30:D31)</f>
        <v>226131</v>
      </c>
      <c r="E32" s="349">
        <f>SUM(E30:E31)</f>
        <v>29051</v>
      </c>
      <c r="F32" s="762">
        <f>SUM(D32:E32)</f>
        <v>255182</v>
      </c>
      <c r="G32" s="1029">
        <f>ROUND(F32/ $F48*100,2)</f>
        <v>16.59</v>
      </c>
    </row>
    <row r="33" spans="1:7" ht="15" customHeight="1">
      <c r="A33" s="1475">
        <v>2</v>
      </c>
      <c r="B33" s="1476"/>
      <c r="C33" s="795" t="s">
        <v>1522</v>
      </c>
      <c r="D33" s="121"/>
      <c r="E33" s="116"/>
      <c r="F33" s="98"/>
      <c r="G33" s="104"/>
    </row>
    <row r="34" spans="1:7" ht="15" customHeight="1">
      <c r="A34" s="1413"/>
      <c r="B34" s="1468"/>
      <c r="C34" s="1165" t="s">
        <v>1268</v>
      </c>
      <c r="D34" s="1173">
        <v>398936</v>
      </c>
      <c r="E34" s="1169">
        <v>135223</v>
      </c>
      <c r="F34" s="98">
        <f t="shared" ref="F34:F43" si="1">SUM(D34:E34)</f>
        <v>534159</v>
      </c>
      <c r="G34" s="913">
        <f>ROUND(F34/ $F46*100,2)</f>
        <v>40.049999999999997</v>
      </c>
    </row>
    <row r="35" spans="1:7" ht="15" customHeight="1">
      <c r="A35" s="1413"/>
      <c r="B35" s="1468"/>
      <c r="C35" s="1166" t="s">
        <v>1267</v>
      </c>
      <c r="D35" s="1173">
        <v>10398</v>
      </c>
      <c r="E35" s="1169">
        <v>1202</v>
      </c>
      <c r="F35" s="98">
        <f t="shared" si="1"/>
        <v>11600</v>
      </c>
      <c r="G35" s="914">
        <f>ROUND(F35/ $F47*100,2)</f>
        <v>5.68</v>
      </c>
    </row>
    <row r="36" spans="1:7" ht="15" customHeight="1">
      <c r="A36" s="1413"/>
      <c r="B36" s="1468"/>
      <c r="C36" s="1167" t="s">
        <v>1516</v>
      </c>
      <c r="D36" s="809">
        <f>SUM(D34:D35)</f>
        <v>409334</v>
      </c>
      <c r="E36" s="349">
        <f>SUM(E34:E35)</f>
        <v>136425</v>
      </c>
      <c r="F36" s="762">
        <f>SUM(D36:E36)</f>
        <v>545759</v>
      </c>
      <c r="G36" s="1029">
        <f>ROUND(F36/ $F48*100,2)</f>
        <v>35.49</v>
      </c>
    </row>
    <row r="37" spans="1:7" ht="15" customHeight="1">
      <c r="A37" s="1475">
        <v>3</v>
      </c>
      <c r="B37" s="1476"/>
      <c r="C37" s="795" t="s">
        <v>1523</v>
      </c>
      <c r="D37" s="121"/>
      <c r="E37" s="116"/>
      <c r="F37" s="98"/>
      <c r="G37" s="104"/>
    </row>
    <row r="38" spans="1:7" ht="15" customHeight="1">
      <c r="A38" s="1413"/>
      <c r="B38" s="1468"/>
      <c r="C38" s="1165" t="s">
        <v>1268</v>
      </c>
      <c r="D38" s="1173">
        <v>29830</v>
      </c>
      <c r="E38" s="1169">
        <v>140900</v>
      </c>
      <c r="F38" s="98">
        <f t="shared" si="1"/>
        <v>170730</v>
      </c>
      <c r="G38" s="913">
        <f>ROUND(F38/ $F46*100,2)</f>
        <v>12.8</v>
      </c>
    </row>
    <row r="39" spans="1:7" ht="15" customHeight="1">
      <c r="A39" s="1413"/>
      <c r="B39" s="1468"/>
      <c r="C39" s="1166" t="s">
        <v>1267</v>
      </c>
      <c r="D39" s="1173">
        <v>6092</v>
      </c>
      <c r="E39" s="1169">
        <v>19865</v>
      </c>
      <c r="F39" s="98">
        <f t="shared" si="1"/>
        <v>25957</v>
      </c>
      <c r="G39" s="914">
        <f>ROUND(F39/ $F47*100,2)</f>
        <v>12.72</v>
      </c>
    </row>
    <row r="40" spans="1:7" ht="15" customHeight="1">
      <c r="A40" s="1413"/>
      <c r="B40" s="1468"/>
      <c r="C40" s="1167" t="s">
        <v>1516</v>
      </c>
      <c r="D40" s="809">
        <f>SUM(D38:D39)</f>
        <v>35922</v>
      </c>
      <c r="E40" s="349">
        <f>SUM(E38:E39)</f>
        <v>160765</v>
      </c>
      <c r="F40" s="762">
        <f>SUM(D40:E40)</f>
        <v>196687</v>
      </c>
      <c r="G40" s="1029">
        <f>ROUND(F40/ $F48*100,2)</f>
        <v>12.79</v>
      </c>
    </row>
    <row r="41" spans="1:7" ht="15" customHeight="1">
      <c r="A41" s="1475">
        <v>4</v>
      </c>
      <c r="B41" s="1476"/>
      <c r="C41" s="795" t="s">
        <v>1524</v>
      </c>
      <c r="D41" s="121"/>
      <c r="E41" s="116"/>
      <c r="F41" s="98"/>
      <c r="G41" s="104"/>
    </row>
    <row r="42" spans="1:7" ht="15" customHeight="1">
      <c r="A42" s="1413"/>
      <c r="B42" s="1468"/>
      <c r="C42" s="1165" t="s">
        <v>1268</v>
      </c>
      <c r="D42" s="1173">
        <v>284394</v>
      </c>
      <c r="E42" s="1169">
        <v>92807</v>
      </c>
      <c r="F42" s="98">
        <f t="shared" si="1"/>
        <v>377201</v>
      </c>
      <c r="G42" s="913">
        <f>ROUND(F42/ $F46*100,2)</f>
        <v>28.28</v>
      </c>
    </row>
    <row r="43" spans="1:7" ht="15" customHeight="1">
      <c r="A43" s="1413"/>
      <c r="B43" s="1468"/>
      <c r="C43" s="1166" t="s">
        <v>1267</v>
      </c>
      <c r="D43" s="1173">
        <v>130680</v>
      </c>
      <c r="E43" s="1169">
        <v>32338</v>
      </c>
      <c r="F43" s="98">
        <f t="shared" si="1"/>
        <v>163018</v>
      </c>
      <c r="G43" s="914">
        <f>ROUND(F43/ $F47*100,2)</f>
        <v>79.88</v>
      </c>
    </row>
    <row r="44" spans="1:7" ht="15" customHeight="1">
      <c r="A44" s="1413"/>
      <c r="B44" s="1468"/>
      <c r="C44" s="1167" t="s">
        <v>1516</v>
      </c>
      <c r="D44" s="809">
        <f>SUM(D42:D43)</f>
        <v>415074</v>
      </c>
      <c r="E44" s="349">
        <f>SUM(E42:E43)</f>
        <v>125145</v>
      </c>
      <c r="F44" s="762">
        <f>SUM(D44:E44)</f>
        <v>540219</v>
      </c>
      <c r="G44" s="1029">
        <f>ROUND(F44/ $F48*100,2)</f>
        <v>35.130000000000003</v>
      </c>
    </row>
    <row r="45" spans="1:7" ht="15" customHeight="1">
      <c r="A45" s="915" t="s">
        <v>1525</v>
      </c>
      <c r="B45" s="138"/>
      <c r="C45" s="144"/>
      <c r="D45" s="121"/>
      <c r="E45" s="116"/>
      <c r="F45" s="98"/>
      <c r="G45" s="104"/>
    </row>
    <row r="46" spans="1:7" ht="15" customHeight="1">
      <c r="A46" s="1413"/>
      <c r="B46" s="1468"/>
      <c r="C46" s="1165" t="s">
        <v>1268</v>
      </c>
      <c r="D46" s="121">
        <f t="shared" ref="D46:G48" si="2">SUM(D30,D34,D38,D42)</f>
        <v>936246</v>
      </c>
      <c r="E46" s="116">
        <f t="shared" si="2"/>
        <v>397516</v>
      </c>
      <c r="F46" s="98">
        <f t="shared" si="2"/>
        <v>1333762</v>
      </c>
      <c r="G46" s="913">
        <f t="shared" si="2"/>
        <v>100</v>
      </c>
    </row>
    <row r="47" spans="1:7" ht="15" customHeight="1">
      <c r="A47" s="1413"/>
      <c r="B47" s="1468"/>
      <c r="C47" s="1166" t="s">
        <v>1267</v>
      </c>
      <c r="D47" s="121">
        <f t="shared" si="2"/>
        <v>150215</v>
      </c>
      <c r="E47" s="116">
        <f t="shared" si="2"/>
        <v>53870</v>
      </c>
      <c r="F47" s="98">
        <f t="shared" si="2"/>
        <v>204085</v>
      </c>
      <c r="G47" s="914">
        <f t="shared" si="2"/>
        <v>100</v>
      </c>
    </row>
    <row r="48" spans="1:7" ht="15" customHeight="1">
      <c r="A48" s="1480"/>
      <c r="B48" s="1481"/>
      <c r="C48" s="1171" t="s">
        <v>1516</v>
      </c>
      <c r="D48" s="1168">
        <f t="shared" si="2"/>
        <v>1086461</v>
      </c>
      <c r="E48" s="650">
        <f t="shared" si="2"/>
        <v>451386</v>
      </c>
      <c r="F48" s="1030">
        <f t="shared" si="2"/>
        <v>1537847</v>
      </c>
      <c r="G48" s="1031">
        <f t="shared" si="2"/>
        <v>100</v>
      </c>
    </row>
    <row r="49" spans="1:8" ht="14.1" customHeight="1">
      <c r="A49" s="16"/>
      <c r="B49" s="16"/>
      <c r="C49" s="7"/>
      <c r="D49" s="8"/>
      <c r="E49" s="1479" t="s">
        <v>868</v>
      </c>
      <c r="F49" s="1479"/>
      <c r="G49" s="1479"/>
    </row>
    <row r="50" spans="1:8" ht="14.1" customHeight="1">
      <c r="A50" s="7"/>
      <c r="B50" s="7"/>
      <c r="C50" s="7"/>
      <c r="D50" s="7"/>
    </row>
    <row r="51" spans="1:8" ht="14.1" customHeight="1"/>
    <row r="52" spans="1:8" ht="14.1" customHeight="1"/>
    <row r="53" spans="1:8" ht="14.1" customHeight="1">
      <c r="H53" s="1"/>
    </row>
    <row r="54" spans="1:8" ht="14.1" customHeight="1"/>
    <row r="55" spans="1:8" ht="14.1" customHeight="1"/>
  </sheetData>
  <mergeCells count="44">
    <mergeCell ref="A35:B35"/>
    <mergeCell ref="A30:B30"/>
    <mergeCell ref="A31:B31"/>
    <mergeCell ref="A33:B33"/>
    <mergeCell ref="A47:B47"/>
    <mergeCell ref="A22:B22"/>
    <mergeCell ref="A23:B23"/>
    <mergeCell ref="A18:B18"/>
    <mergeCell ref="A14:B14"/>
    <mergeCell ref="A19:B19"/>
    <mergeCell ref="A27:C27"/>
    <mergeCell ref="A36:B36"/>
    <mergeCell ref="A34:B34"/>
    <mergeCell ref="A29:B29"/>
    <mergeCell ref="A46:B46"/>
    <mergeCell ref="A41:B41"/>
    <mergeCell ref="A44:B44"/>
    <mergeCell ref="A42:B42"/>
    <mergeCell ref="A43:B43"/>
    <mergeCell ref="A9:B9"/>
    <mergeCell ref="A21:B21"/>
    <mergeCell ref="A17:B17"/>
    <mergeCell ref="A39:B39"/>
    <mergeCell ref="A32:B32"/>
    <mergeCell ref="A6:C6"/>
    <mergeCell ref="A3:C5"/>
    <mergeCell ref="D3:F4"/>
    <mergeCell ref="G3:G5"/>
    <mergeCell ref="A8:B8"/>
    <mergeCell ref="E49:G49"/>
    <mergeCell ref="A37:B37"/>
    <mergeCell ref="A40:B40"/>
    <mergeCell ref="A38:B38"/>
    <mergeCell ref="A48:B48"/>
    <mergeCell ref="A11:B11"/>
    <mergeCell ref="A1:G1"/>
    <mergeCell ref="A24:C26"/>
    <mergeCell ref="D24:F25"/>
    <mergeCell ref="G24:G26"/>
    <mergeCell ref="A10:B10"/>
    <mergeCell ref="A12:B12"/>
    <mergeCell ref="A15:B15"/>
    <mergeCell ref="A13:B13"/>
    <mergeCell ref="A2:G2"/>
  </mergeCells>
  <phoneticPr fontId="0" type="noConversion"/>
  <printOptions horizontalCentered="1"/>
  <pageMargins left="0.1" right="0.1" top="0.7" bottom="0.1" header="0.7" footer="0.1"/>
  <pageSetup paperSize="9" orientation="portrait" blackAndWhite="1" horizontalDpi="4294967295" verticalDpi="144" r:id="rId1"/>
  <headerFooter alignWithMargins="0"/>
</worksheet>
</file>

<file path=xl/worksheets/sheet18.xml><?xml version="1.0" encoding="utf-8"?>
<worksheet xmlns="http://schemas.openxmlformats.org/spreadsheetml/2006/main" xmlns:r="http://schemas.openxmlformats.org/officeDocument/2006/relationships">
  <sheetPr codeName="Sheet18"/>
  <dimension ref="A1:I62"/>
  <sheetViews>
    <sheetView topLeftCell="A4" workbookViewId="0">
      <selection activeCell="M5" sqref="M5"/>
    </sheetView>
  </sheetViews>
  <sheetFormatPr defaultRowHeight="12.75"/>
  <cols>
    <col min="1" max="1" width="23.5703125" customWidth="1"/>
    <col min="2" max="7" width="18.7109375" customWidth="1"/>
  </cols>
  <sheetData>
    <row r="1" spans="1:9" ht="12.75" customHeight="1">
      <c r="A1" s="1363" t="s">
        <v>1348</v>
      </c>
      <c r="B1" s="1363"/>
      <c r="C1" s="1363"/>
      <c r="D1" s="1363"/>
      <c r="E1" s="1363"/>
      <c r="F1" s="1363"/>
      <c r="G1" s="1363"/>
    </row>
    <row r="2" spans="1:9" ht="14.25" customHeight="1">
      <c r="A2" s="1482" t="str">
        <f>CONCATENATE("Scheduled Caste and Scheduled Tribe Population by sex in the district of ",District!$A$1,", 2011")</f>
        <v>Scheduled Caste and Scheduled Tribe Population by sex in the district of Malda, 2011</v>
      </c>
      <c r="B2" s="1482"/>
      <c r="C2" s="1482"/>
      <c r="D2" s="1482"/>
      <c r="E2" s="1482"/>
      <c r="F2" s="1482"/>
      <c r="G2" s="1482"/>
      <c r="H2" s="22"/>
      <c r="I2" s="22"/>
    </row>
    <row r="3" spans="1:9" ht="10.5" customHeight="1">
      <c r="B3" s="4"/>
      <c r="C3" s="4"/>
      <c r="D3" s="4"/>
      <c r="E3" s="4"/>
      <c r="F3" s="4"/>
      <c r="G3" s="159" t="s">
        <v>1253</v>
      </c>
    </row>
    <row r="4" spans="1:9" ht="12.75" customHeight="1">
      <c r="A4" s="1346" t="s">
        <v>262</v>
      </c>
      <c r="B4" s="1356" t="s">
        <v>498</v>
      </c>
      <c r="C4" s="1357"/>
      <c r="D4" s="1358"/>
      <c r="E4" s="1356" t="s">
        <v>499</v>
      </c>
      <c r="F4" s="1357"/>
      <c r="G4" s="1358"/>
    </row>
    <row r="5" spans="1:9" ht="12" customHeight="1">
      <c r="A5" s="1377"/>
      <c r="B5" s="263" t="s">
        <v>1265</v>
      </c>
      <c r="C5" s="261" t="s">
        <v>1266</v>
      </c>
      <c r="D5" s="298" t="s">
        <v>1233</v>
      </c>
      <c r="E5" s="263" t="s">
        <v>1265</v>
      </c>
      <c r="F5" s="261" t="s">
        <v>1266</v>
      </c>
      <c r="G5" s="298" t="s">
        <v>1233</v>
      </c>
    </row>
    <row r="6" spans="1:9" ht="12" customHeight="1">
      <c r="A6" s="151" t="s">
        <v>1208</v>
      </c>
      <c r="B6" s="218" t="s">
        <v>1209</v>
      </c>
      <c r="C6" s="151" t="s">
        <v>1210</v>
      </c>
      <c r="D6" s="153" t="s">
        <v>1211</v>
      </c>
      <c r="E6" s="218" t="s">
        <v>1212</v>
      </c>
      <c r="F6" s="151" t="s">
        <v>1213</v>
      </c>
      <c r="G6" s="153" t="s">
        <v>1214</v>
      </c>
    </row>
    <row r="7" spans="1:9" ht="12.75" customHeight="1">
      <c r="A7" s="397" t="s">
        <v>1155</v>
      </c>
      <c r="B7" s="383">
        <f t="shared" ref="B7:G7" si="0">SUM(B8:B13)</f>
        <v>87927</v>
      </c>
      <c r="C7" s="397">
        <f t="shared" si="0"/>
        <v>81336</v>
      </c>
      <c r="D7" s="385">
        <f t="shared" si="0"/>
        <v>169263</v>
      </c>
      <c r="E7" s="383">
        <f t="shared" si="0"/>
        <v>26451</v>
      </c>
      <c r="F7" s="397">
        <f t="shared" si="0"/>
        <v>25008</v>
      </c>
      <c r="G7" s="385">
        <f t="shared" si="0"/>
        <v>51459</v>
      </c>
    </row>
    <row r="8" spans="1:9" ht="12.75" customHeight="1">
      <c r="A8" s="181" t="s">
        <v>1051</v>
      </c>
      <c r="B8" s="84">
        <v>25346</v>
      </c>
      <c r="C8" s="84">
        <v>23723</v>
      </c>
      <c r="D8" s="98">
        <f t="shared" ref="D8:D27" si="1">SUM(B8:C8)</f>
        <v>49069</v>
      </c>
      <c r="E8" s="84">
        <v>2112</v>
      </c>
      <c r="F8" s="84">
        <v>2030</v>
      </c>
      <c r="G8" s="98">
        <f t="shared" ref="G8:G27" si="2">SUM(E8:F8)</f>
        <v>4142</v>
      </c>
    </row>
    <row r="9" spans="1:9" ht="12.75" customHeight="1">
      <c r="A9" s="181" t="s">
        <v>495</v>
      </c>
      <c r="B9" s="84">
        <v>16871</v>
      </c>
      <c r="C9" s="84">
        <v>15423</v>
      </c>
      <c r="D9" s="98">
        <f t="shared" si="1"/>
        <v>32294</v>
      </c>
      <c r="E9" s="84">
        <v>3755</v>
      </c>
      <c r="F9" s="84">
        <v>3495</v>
      </c>
      <c r="G9" s="98">
        <f t="shared" si="2"/>
        <v>7250</v>
      </c>
    </row>
    <row r="10" spans="1:9" ht="12.75" customHeight="1">
      <c r="A10" s="181" t="s">
        <v>531</v>
      </c>
      <c r="B10" s="84">
        <v>14186</v>
      </c>
      <c r="C10" s="84">
        <v>13184</v>
      </c>
      <c r="D10" s="98">
        <f t="shared" si="1"/>
        <v>27370</v>
      </c>
      <c r="E10" s="84">
        <v>443</v>
      </c>
      <c r="F10" s="84">
        <v>426</v>
      </c>
      <c r="G10" s="98">
        <f t="shared" si="2"/>
        <v>869</v>
      </c>
    </row>
    <row r="11" spans="1:9" ht="12.75" customHeight="1">
      <c r="A11" s="181" t="s">
        <v>532</v>
      </c>
      <c r="B11" s="84">
        <v>8807</v>
      </c>
      <c r="C11" s="84">
        <v>8305</v>
      </c>
      <c r="D11" s="98">
        <f t="shared" si="1"/>
        <v>17112</v>
      </c>
      <c r="E11" s="84">
        <v>7011</v>
      </c>
      <c r="F11" s="84">
        <v>6775</v>
      </c>
      <c r="G11" s="98">
        <f t="shared" si="2"/>
        <v>13786</v>
      </c>
    </row>
    <row r="12" spans="1:9" ht="12.75" customHeight="1">
      <c r="A12" s="181" t="s">
        <v>533</v>
      </c>
      <c r="B12" s="84">
        <v>15977</v>
      </c>
      <c r="C12" s="84">
        <v>14561</v>
      </c>
      <c r="D12" s="98">
        <f t="shared" si="1"/>
        <v>30538</v>
      </c>
      <c r="E12" s="84">
        <v>12134</v>
      </c>
      <c r="F12" s="84">
        <v>11324</v>
      </c>
      <c r="G12" s="98">
        <f t="shared" si="2"/>
        <v>23458</v>
      </c>
    </row>
    <row r="13" spans="1:9" ht="12.75" customHeight="1">
      <c r="A13" s="180" t="s">
        <v>573</v>
      </c>
      <c r="B13" s="84">
        <v>6740</v>
      </c>
      <c r="C13" s="84">
        <v>6140</v>
      </c>
      <c r="D13" s="98">
        <f t="shared" si="1"/>
        <v>12880</v>
      </c>
      <c r="E13" s="84">
        <v>996</v>
      </c>
      <c r="F13" s="84">
        <v>958</v>
      </c>
      <c r="G13" s="98">
        <f t="shared" si="2"/>
        <v>1954</v>
      </c>
    </row>
    <row r="14" spans="1:9" ht="12.75" customHeight="1">
      <c r="A14" s="397" t="s">
        <v>1154</v>
      </c>
      <c r="B14" s="397">
        <f t="shared" ref="B14:G14" si="3">SUM(B15:B25)</f>
        <v>344817</v>
      </c>
      <c r="C14" s="397">
        <f t="shared" si="3"/>
        <v>321350</v>
      </c>
      <c r="D14" s="385">
        <f t="shared" si="3"/>
        <v>666167</v>
      </c>
      <c r="E14" s="397">
        <f t="shared" si="3"/>
        <v>131077</v>
      </c>
      <c r="F14" s="397">
        <f t="shared" si="3"/>
        <v>131448</v>
      </c>
      <c r="G14" s="385">
        <f t="shared" si="3"/>
        <v>262525</v>
      </c>
    </row>
    <row r="15" spans="1:9" ht="12.75" customHeight="1">
      <c r="A15" s="181" t="s">
        <v>576</v>
      </c>
      <c r="B15" s="84">
        <v>65979</v>
      </c>
      <c r="C15" s="84">
        <v>62485</v>
      </c>
      <c r="D15" s="98">
        <f t="shared" si="1"/>
        <v>128464</v>
      </c>
      <c r="E15" s="84">
        <v>33646</v>
      </c>
      <c r="F15" s="84">
        <v>34902</v>
      </c>
      <c r="G15" s="98">
        <f t="shared" si="2"/>
        <v>68548</v>
      </c>
    </row>
    <row r="16" spans="1:9" ht="12.75" customHeight="1">
      <c r="A16" s="181" t="s">
        <v>1510</v>
      </c>
      <c r="B16" s="84">
        <v>37098</v>
      </c>
      <c r="C16" s="84">
        <v>34078</v>
      </c>
      <c r="D16" s="98">
        <f t="shared" si="1"/>
        <v>71176</v>
      </c>
      <c r="E16" s="84">
        <v>14477</v>
      </c>
      <c r="F16" s="84">
        <v>14513</v>
      </c>
      <c r="G16" s="98">
        <f t="shared" si="2"/>
        <v>28990</v>
      </c>
    </row>
    <row r="17" spans="1:7" ht="12.75" customHeight="1">
      <c r="A17" s="181" t="s">
        <v>577</v>
      </c>
      <c r="B17" s="84">
        <v>54384</v>
      </c>
      <c r="C17" s="84">
        <v>51002</v>
      </c>
      <c r="D17" s="98">
        <f t="shared" si="1"/>
        <v>105386</v>
      </c>
      <c r="E17" s="84">
        <v>29896</v>
      </c>
      <c r="F17" s="84">
        <v>31441</v>
      </c>
      <c r="G17" s="98">
        <f t="shared" si="2"/>
        <v>61337</v>
      </c>
    </row>
    <row r="18" spans="1:7" ht="12.75" customHeight="1">
      <c r="A18" s="181" t="s">
        <v>578</v>
      </c>
      <c r="B18" s="84">
        <v>25869</v>
      </c>
      <c r="C18" s="84">
        <v>24418</v>
      </c>
      <c r="D18" s="98">
        <f t="shared" si="1"/>
        <v>50287</v>
      </c>
      <c r="E18" s="84">
        <v>11556</v>
      </c>
      <c r="F18" s="84">
        <v>11980</v>
      </c>
      <c r="G18" s="98">
        <f t="shared" si="2"/>
        <v>23536</v>
      </c>
    </row>
    <row r="19" spans="1:7" ht="12.75" customHeight="1">
      <c r="A19" s="181" t="s">
        <v>490</v>
      </c>
      <c r="B19" s="84">
        <v>24580</v>
      </c>
      <c r="C19" s="84">
        <v>22952</v>
      </c>
      <c r="D19" s="98">
        <f t="shared" si="1"/>
        <v>47532</v>
      </c>
      <c r="E19" s="84">
        <v>2561</v>
      </c>
      <c r="F19" s="84">
        <v>2626</v>
      </c>
      <c r="G19" s="98">
        <f t="shared" si="2"/>
        <v>5187</v>
      </c>
    </row>
    <row r="20" spans="1:7" ht="12.75" customHeight="1">
      <c r="A20" s="181" t="s">
        <v>580</v>
      </c>
      <c r="B20" s="84">
        <v>38913</v>
      </c>
      <c r="C20" s="84">
        <v>35903</v>
      </c>
      <c r="D20" s="98">
        <f t="shared" si="1"/>
        <v>74816</v>
      </c>
      <c r="E20" s="84">
        <v>20889</v>
      </c>
      <c r="F20" s="84">
        <v>19236</v>
      </c>
      <c r="G20" s="98">
        <f t="shared" si="2"/>
        <v>40125</v>
      </c>
    </row>
    <row r="21" spans="1:7" ht="12.75" customHeight="1">
      <c r="A21" s="181" t="s">
        <v>585</v>
      </c>
      <c r="B21" s="84">
        <v>7774</v>
      </c>
      <c r="C21" s="84">
        <v>7259</v>
      </c>
      <c r="D21" s="98">
        <f t="shared" si="1"/>
        <v>15033</v>
      </c>
      <c r="E21" s="84">
        <v>796</v>
      </c>
      <c r="F21" s="84">
        <v>746</v>
      </c>
      <c r="G21" s="98">
        <f t="shared" si="2"/>
        <v>1542</v>
      </c>
    </row>
    <row r="22" spans="1:7" ht="12.75" customHeight="1">
      <c r="A22" s="180" t="s">
        <v>586</v>
      </c>
      <c r="B22" s="84">
        <v>16918</v>
      </c>
      <c r="C22" s="84">
        <v>15768</v>
      </c>
      <c r="D22" s="98">
        <f t="shared" si="1"/>
        <v>32686</v>
      </c>
      <c r="E22" s="84">
        <v>2455</v>
      </c>
      <c r="F22" s="84">
        <v>2361</v>
      </c>
      <c r="G22" s="98">
        <f t="shared" si="2"/>
        <v>4816</v>
      </c>
    </row>
    <row r="23" spans="1:7" ht="12.75" customHeight="1">
      <c r="A23" s="181" t="s">
        <v>587</v>
      </c>
      <c r="B23" s="84">
        <v>54126</v>
      </c>
      <c r="C23" s="84">
        <v>51572</v>
      </c>
      <c r="D23" s="98">
        <f t="shared" si="1"/>
        <v>105698</v>
      </c>
      <c r="E23" s="84">
        <v>13073</v>
      </c>
      <c r="F23" s="84">
        <v>12237</v>
      </c>
      <c r="G23" s="98">
        <f t="shared" si="2"/>
        <v>25310</v>
      </c>
    </row>
    <row r="24" spans="1:7" ht="12.75" customHeight="1">
      <c r="A24" s="181" t="s">
        <v>1511</v>
      </c>
      <c r="B24" s="84">
        <v>8573</v>
      </c>
      <c r="C24" s="84">
        <v>6763</v>
      </c>
      <c r="D24" s="98">
        <f>SUM(B24:C24)</f>
        <v>15336</v>
      </c>
      <c r="E24" s="84">
        <v>415</v>
      </c>
      <c r="F24" s="84">
        <v>198</v>
      </c>
      <c r="G24" s="98">
        <f>SUM(E24:F24)</f>
        <v>613</v>
      </c>
    </row>
    <row r="25" spans="1:7" ht="12.75" customHeight="1">
      <c r="A25" s="180" t="s">
        <v>579</v>
      </c>
      <c r="B25" s="85">
        <v>10603</v>
      </c>
      <c r="C25" s="85">
        <v>9150</v>
      </c>
      <c r="D25" s="98">
        <f>SUM(B25:C25)</f>
        <v>19753</v>
      </c>
      <c r="E25" s="85">
        <v>1313</v>
      </c>
      <c r="F25" s="85">
        <v>1208</v>
      </c>
      <c r="G25" s="98">
        <f>SUM(E25:F25)</f>
        <v>2521</v>
      </c>
    </row>
    <row r="26" spans="1:7" ht="12.75" customHeight="1">
      <c r="A26" s="803" t="s">
        <v>921</v>
      </c>
      <c r="B26" s="808">
        <f t="shared" ref="B26:G26" si="4">SUM(B7,B14)</f>
        <v>432744</v>
      </c>
      <c r="C26" s="803">
        <f t="shared" si="4"/>
        <v>402686</v>
      </c>
      <c r="D26" s="808">
        <f t="shared" si="4"/>
        <v>835430</v>
      </c>
      <c r="E26" s="803">
        <f t="shared" si="4"/>
        <v>157528</v>
      </c>
      <c r="F26" s="808">
        <f t="shared" si="4"/>
        <v>156456</v>
      </c>
      <c r="G26" s="803">
        <f t="shared" si="4"/>
        <v>313984</v>
      </c>
    </row>
    <row r="27" spans="1:7" ht="12.75" customHeight="1">
      <c r="A27" s="1128" t="s">
        <v>1606</v>
      </c>
      <c r="B27" s="806">
        <v>396637</v>
      </c>
      <c r="C27" s="457">
        <v>370855</v>
      </c>
      <c r="D27" s="807">
        <f t="shared" si="1"/>
        <v>767492</v>
      </c>
      <c r="E27" s="542">
        <v>154156</v>
      </c>
      <c r="F27" s="807">
        <v>153469</v>
      </c>
      <c r="G27" s="457">
        <f t="shared" si="2"/>
        <v>307625</v>
      </c>
    </row>
    <row r="28" spans="1:7" ht="12.75" customHeight="1">
      <c r="A28" s="1129" t="s">
        <v>1607</v>
      </c>
      <c r="B28" s="805">
        <v>36107</v>
      </c>
      <c r="C28" s="804">
        <v>31831</v>
      </c>
      <c r="D28" s="805">
        <f>D26-D27</f>
        <v>67938</v>
      </c>
      <c r="E28" s="804">
        <v>3372</v>
      </c>
      <c r="F28" s="805">
        <v>2987</v>
      </c>
      <c r="G28" s="804">
        <f>G26-G27</f>
        <v>6359</v>
      </c>
    </row>
    <row r="29" spans="1:7" ht="12" customHeight="1">
      <c r="A29" s="537"/>
      <c r="B29" s="384"/>
      <c r="C29" s="384"/>
      <c r="D29" s="384"/>
      <c r="E29" s="1479" t="s">
        <v>868</v>
      </c>
      <c r="F29" s="1479"/>
      <c r="G29" s="1479"/>
    </row>
    <row r="30" spans="1:7" ht="6.75" customHeight="1">
      <c r="A30" s="537"/>
      <c r="B30" s="384"/>
      <c r="C30" s="384"/>
      <c r="D30" s="384"/>
      <c r="E30" s="900"/>
      <c r="F30" s="900"/>
      <c r="G30" s="900"/>
    </row>
    <row r="31" spans="1:7">
      <c r="A31" s="1363" t="s">
        <v>1349</v>
      </c>
      <c r="B31" s="1363"/>
      <c r="C31" s="1363"/>
      <c r="D31" s="1363"/>
      <c r="E31" s="1363"/>
      <c r="F31" s="1363"/>
      <c r="G31" s="1363"/>
    </row>
    <row r="32" spans="1:7" ht="14.25" customHeight="1">
      <c r="A32" s="1485" t="str">
        <f>CONCATENATE("Population by religion in the district of ",District!$A$1,", 1991 and 2001")</f>
        <v>Population by religion in the district of Malda, 1991 and 2001</v>
      </c>
      <c r="B32" s="1485"/>
      <c r="C32" s="1485"/>
      <c r="D32" s="1485"/>
      <c r="E32" s="1485"/>
      <c r="F32" s="1485"/>
      <c r="G32" s="1485"/>
    </row>
    <row r="33" spans="1:7" ht="12.75" customHeight="1">
      <c r="A33" s="1346" t="s">
        <v>1605</v>
      </c>
      <c r="B33" s="1356">
        <v>1991</v>
      </c>
      <c r="C33" s="1357"/>
      <c r="D33" s="1358"/>
      <c r="E33" s="1356">
        <v>2001</v>
      </c>
      <c r="F33" s="1357"/>
      <c r="G33" s="1358"/>
    </row>
    <row r="34" spans="1:7" ht="12.75" customHeight="1">
      <c r="A34" s="1347"/>
      <c r="B34" s="346" t="s">
        <v>357</v>
      </c>
      <c r="C34" s="1389" t="s">
        <v>1124</v>
      </c>
      <c r="D34" s="1390"/>
      <c r="E34" s="347" t="s">
        <v>357</v>
      </c>
      <c r="F34" s="1389" t="s">
        <v>1124</v>
      </c>
      <c r="G34" s="1390"/>
    </row>
    <row r="35" spans="1:7" ht="12.75" customHeight="1">
      <c r="A35" s="178" t="s">
        <v>1208</v>
      </c>
      <c r="B35" s="179" t="s">
        <v>1209</v>
      </c>
      <c r="C35" s="1483" t="s">
        <v>1210</v>
      </c>
      <c r="D35" s="1484"/>
      <c r="E35" s="264" t="s">
        <v>1211</v>
      </c>
      <c r="F35" s="1483" t="s">
        <v>1212</v>
      </c>
      <c r="G35" s="1484"/>
    </row>
    <row r="36" spans="1:7" ht="12.75" customHeight="1">
      <c r="A36" s="299" t="s">
        <v>1372</v>
      </c>
      <c r="B36" s="300">
        <v>1377844</v>
      </c>
      <c r="C36" s="1486">
        <f t="shared" ref="C36:C42" si="5">ROUND(B36/$B$44*100,2)</f>
        <v>52.25</v>
      </c>
      <c r="D36" s="1420"/>
      <c r="E36" s="300">
        <v>1621468</v>
      </c>
      <c r="F36" s="1486">
        <f>ROUND(E36/$E$44*100,2)</f>
        <v>49.28</v>
      </c>
      <c r="G36" s="1420"/>
    </row>
    <row r="37" spans="1:7" ht="12.75" customHeight="1">
      <c r="A37" s="301" t="s">
        <v>1373</v>
      </c>
      <c r="B37" s="302">
        <v>1252292</v>
      </c>
      <c r="C37" s="1486">
        <f t="shared" si="5"/>
        <v>47.49</v>
      </c>
      <c r="D37" s="1420"/>
      <c r="E37" s="41">
        <v>1636171</v>
      </c>
      <c r="F37" s="1486">
        <f>ROUND(E37/$E$44*100,2)</f>
        <v>49.72</v>
      </c>
      <c r="G37" s="1420"/>
    </row>
    <row r="38" spans="1:7" ht="12.75" customHeight="1">
      <c r="A38" s="301" t="s">
        <v>1374</v>
      </c>
      <c r="B38" s="302">
        <v>5118</v>
      </c>
      <c r="C38" s="1486">
        <f t="shared" si="5"/>
        <v>0.19</v>
      </c>
      <c r="D38" s="1420"/>
      <c r="E38" s="41">
        <v>8388</v>
      </c>
      <c r="F38" s="1486">
        <f>ROUND(E38/$E$44*100,2)</f>
        <v>0.25</v>
      </c>
      <c r="G38" s="1420"/>
    </row>
    <row r="39" spans="1:7" ht="12.75" customHeight="1">
      <c r="A39" s="301" t="s">
        <v>1375</v>
      </c>
      <c r="B39" s="302">
        <v>183</v>
      </c>
      <c r="C39" s="1486">
        <f t="shared" si="5"/>
        <v>0.01</v>
      </c>
      <c r="D39" s="1420"/>
      <c r="E39" s="41">
        <v>283</v>
      </c>
      <c r="F39" s="1486">
        <f>ROUND(E39/$E$44*100,2)</f>
        <v>0.01</v>
      </c>
      <c r="G39" s="1420"/>
    </row>
    <row r="40" spans="1:7" ht="12.75" customHeight="1">
      <c r="A40" s="301" t="s">
        <v>1376</v>
      </c>
      <c r="B40" s="302">
        <v>64</v>
      </c>
      <c r="C40" s="1486">
        <f t="shared" si="5"/>
        <v>0</v>
      </c>
      <c r="D40" s="1420"/>
      <c r="E40" s="41">
        <v>164</v>
      </c>
      <c r="F40" s="1486">
        <f>ROUND(E40/$E$44*100,2)+0.01</f>
        <v>0.01</v>
      </c>
      <c r="G40" s="1420"/>
    </row>
    <row r="41" spans="1:7" ht="12.75" customHeight="1">
      <c r="A41" s="301" t="s">
        <v>1377</v>
      </c>
      <c r="B41" s="302">
        <v>224</v>
      </c>
      <c r="C41" s="1486">
        <f t="shared" si="5"/>
        <v>0.01</v>
      </c>
      <c r="D41" s="1420"/>
      <c r="E41" s="41">
        <v>293</v>
      </c>
      <c r="F41" s="1486">
        <f>ROUND(E41/$E$44*100,2)</f>
        <v>0.01</v>
      </c>
      <c r="G41" s="1420"/>
    </row>
    <row r="42" spans="1:7" ht="12.75" customHeight="1">
      <c r="A42" s="301" t="s">
        <v>1526</v>
      </c>
      <c r="B42" s="302">
        <v>1307</v>
      </c>
      <c r="C42" s="1486">
        <f t="shared" si="5"/>
        <v>0.05</v>
      </c>
      <c r="D42" s="1420"/>
      <c r="E42" s="41">
        <v>22350</v>
      </c>
      <c r="F42" s="1486">
        <f>ROUND(E42/$E$44*100,2)</f>
        <v>0.68</v>
      </c>
      <c r="G42" s="1420"/>
    </row>
    <row r="43" spans="1:7" ht="12.75" customHeight="1">
      <c r="A43" s="301" t="s">
        <v>1527</v>
      </c>
      <c r="B43" s="548" t="s">
        <v>365</v>
      </c>
      <c r="C43" s="1487" t="s">
        <v>365</v>
      </c>
      <c r="D43" s="1488"/>
      <c r="E43" s="41">
        <v>1351</v>
      </c>
      <c r="F43" s="1486">
        <f>ROUND(E43/$E$44*100,2)</f>
        <v>0.04</v>
      </c>
      <c r="G43" s="1420"/>
    </row>
    <row r="44" spans="1:7" ht="12.75" customHeight="1">
      <c r="A44" s="303" t="s">
        <v>364</v>
      </c>
      <c r="B44" s="277">
        <f>SUM(B36:B43)</f>
        <v>2637032</v>
      </c>
      <c r="C44" s="1489">
        <f>SUM(C36:D43)</f>
        <v>100.00000000000001</v>
      </c>
      <c r="D44" s="1490"/>
      <c r="E44" s="345">
        <f>SUM(E36:E43)</f>
        <v>3290468</v>
      </c>
      <c r="F44" s="1489">
        <f>SUM(F36:G43)</f>
        <v>100.00000000000003</v>
      </c>
      <c r="G44" s="1490"/>
    </row>
    <row r="45" spans="1:7" ht="12.75" customHeight="1">
      <c r="A45" s="916" t="s">
        <v>1635</v>
      </c>
      <c r="D45" s="148"/>
      <c r="E45" s="148"/>
      <c r="F45" s="50"/>
      <c r="G45" s="900" t="s">
        <v>1263</v>
      </c>
    </row>
    <row r="46" spans="1:7">
      <c r="C46" s="6"/>
      <c r="F46" s="50"/>
      <c r="G46" s="7"/>
    </row>
    <row r="47" spans="1:7">
      <c r="A47" s="50"/>
      <c r="G47" s="7"/>
    </row>
    <row r="48" spans="1:7">
      <c r="A48" s="50"/>
      <c r="G48" s="7"/>
    </row>
    <row r="49" spans="1:7">
      <c r="A49" s="50"/>
      <c r="G49" s="7"/>
    </row>
    <row r="50" spans="1:7">
      <c r="A50" s="50"/>
      <c r="G50" s="7"/>
    </row>
    <row r="51" spans="1:7">
      <c r="A51" s="50"/>
      <c r="G51" s="7"/>
    </row>
    <row r="52" spans="1:7">
      <c r="A52" s="50"/>
      <c r="G52" s="7"/>
    </row>
    <row r="53" spans="1:7">
      <c r="A53" s="50"/>
      <c r="G53" s="7"/>
    </row>
    <row r="54" spans="1:7">
      <c r="A54" s="50"/>
      <c r="G54" s="7"/>
    </row>
    <row r="55" spans="1:7">
      <c r="A55" s="50"/>
      <c r="G55" s="7"/>
    </row>
    <row r="56" spans="1:7">
      <c r="A56" s="50"/>
      <c r="G56" s="7"/>
    </row>
    <row r="57" spans="1:7">
      <c r="A57" s="50"/>
      <c r="G57" s="7"/>
    </row>
    <row r="58" spans="1:7">
      <c r="A58" s="50"/>
      <c r="G58" s="7"/>
    </row>
    <row r="59" spans="1:7">
      <c r="A59" s="7"/>
      <c r="G59" s="7"/>
    </row>
    <row r="60" spans="1:7">
      <c r="A60" s="7"/>
      <c r="G60" s="7"/>
    </row>
    <row r="61" spans="1:7">
      <c r="A61" s="7"/>
      <c r="G61" s="50"/>
    </row>
    <row r="62" spans="1:7">
      <c r="A62" s="7"/>
      <c r="G62" s="50"/>
    </row>
  </sheetData>
  <mergeCells count="33">
    <mergeCell ref="C44:D44"/>
    <mergeCell ref="E33:G33"/>
    <mergeCell ref="B33:D33"/>
    <mergeCell ref="F42:G42"/>
    <mergeCell ref="F43:G43"/>
    <mergeCell ref="F44:G44"/>
    <mergeCell ref="C35:D35"/>
    <mergeCell ref="C39:D39"/>
    <mergeCell ref="C36:D36"/>
    <mergeCell ref="C37:D37"/>
    <mergeCell ref="C43:D43"/>
    <mergeCell ref="F36:G36"/>
    <mergeCell ref="C40:D40"/>
    <mergeCell ref="C41:D41"/>
    <mergeCell ref="F38:G38"/>
    <mergeCell ref="F39:G39"/>
    <mergeCell ref="F40:G40"/>
    <mergeCell ref="F41:G41"/>
    <mergeCell ref="C38:D38"/>
    <mergeCell ref="F34:G34"/>
    <mergeCell ref="F35:G35"/>
    <mergeCell ref="A32:G32"/>
    <mergeCell ref="C42:D42"/>
    <mergeCell ref="F37:G37"/>
    <mergeCell ref="C34:D34"/>
    <mergeCell ref="A33:A34"/>
    <mergeCell ref="E29:G29"/>
    <mergeCell ref="A1:G1"/>
    <mergeCell ref="A31:G31"/>
    <mergeCell ref="A2:G2"/>
    <mergeCell ref="A4:A5"/>
    <mergeCell ref="B4:D4"/>
    <mergeCell ref="E4:G4"/>
  </mergeCells>
  <phoneticPr fontId="0" type="noConversion"/>
  <printOptions horizontalCentered="1"/>
  <pageMargins left="0.1" right="0.1" top="0.31" bottom="0.1" header="0.22" footer="0.1"/>
  <pageSetup paperSize="9" orientation="landscape" blackAndWhite="1" horizontalDpi="4294967295" verticalDpi="144" r:id="rId1"/>
  <headerFooter alignWithMargins="0"/>
</worksheet>
</file>

<file path=xl/worksheets/sheet19.xml><?xml version="1.0" encoding="utf-8"?>
<worksheet xmlns="http://schemas.openxmlformats.org/spreadsheetml/2006/main" xmlns:r="http://schemas.openxmlformats.org/officeDocument/2006/relationships">
  <sheetPr codeName="Sheet15"/>
  <dimension ref="A1:AD27"/>
  <sheetViews>
    <sheetView topLeftCell="A3" workbookViewId="0">
      <selection activeCell="M5" sqref="M5"/>
    </sheetView>
  </sheetViews>
  <sheetFormatPr defaultRowHeight="12.75"/>
  <cols>
    <col min="1" max="1" width="22.140625" customWidth="1"/>
    <col min="2" max="7" width="9.7109375" customWidth="1"/>
    <col min="8" max="13" width="8.7109375" customWidth="1"/>
    <col min="14" max="14" width="3.28515625" customWidth="1"/>
    <col min="15" max="15" width="22.42578125" customWidth="1"/>
    <col min="16" max="21" width="6.7109375" customWidth="1"/>
    <col min="22" max="27" width="7.7109375" customWidth="1"/>
    <col min="28" max="30" width="8.7109375" customWidth="1"/>
  </cols>
  <sheetData>
    <row r="1" spans="1:30" ht="15" customHeight="1">
      <c r="A1" s="1496" t="s">
        <v>1350</v>
      </c>
      <c r="B1" s="1496"/>
      <c r="C1" s="1496"/>
      <c r="D1" s="1496"/>
      <c r="E1" s="1496"/>
      <c r="F1" s="1496"/>
      <c r="G1" s="1496"/>
      <c r="H1" s="1496"/>
      <c r="I1" s="1496"/>
      <c r="J1" s="1496"/>
      <c r="K1" s="1496"/>
      <c r="L1" s="1496"/>
      <c r="M1" s="1496"/>
    </row>
    <row r="2" spans="1:30" ht="17.25" customHeight="1">
      <c r="A2" s="1497" t="s">
        <v>1608</v>
      </c>
      <c r="B2" s="1497"/>
      <c r="C2" s="1497"/>
      <c r="D2" s="1497"/>
      <c r="E2" s="1497"/>
      <c r="F2" s="1497"/>
      <c r="G2" s="1497"/>
      <c r="H2" s="1497"/>
      <c r="I2" s="1497"/>
      <c r="J2" s="1497"/>
      <c r="K2" s="1497"/>
      <c r="L2" s="1497"/>
      <c r="M2" s="1497"/>
      <c r="O2" s="1496" t="s">
        <v>837</v>
      </c>
      <c r="P2" s="1496"/>
      <c r="Q2" s="1496"/>
      <c r="R2" s="1496"/>
      <c r="S2" s="1496"/>
      <c r="T2" s="1496"/>
      <c r="U2" s="1496"/>
      <c r="V2" s="1496"/>
      <c r="W2" s="1496"/>
      <c r="X2" s="1496"/>
      <c r="Y2" s="1496"/>
      <c r="Z2" s="1496"/>
      <c r="AA2" s="1496"/>
      <c r="AB2" s="1496"/>
      <c r="AC2" s="1496"/>
      <c r="AD2" s="1496"/>
    </row>
    <row r="3" spans="1:30" ht="14.25" customHeight="1">
      <c r="A3" s="617"/>
      <c r="B3" s="617"/>
      <c r="C3" s="617"/>
      <c r="D3" s="617"/>
      <c r="E3" s="617"/>
      <c r="F3" s="617"/>
      <c r="G3" s="617"/>
      <c r="H3" s="617"/>
      <c r="I3" s="617"/>
      <c r="J3" s="617"/>
      <c r="K3" s="617"/>
      <c r="L3" s="617"/>
      <c r="M3" s="79" t="s">
        <v>1253</v>
      </c>
      <c r="O3" s="616"/>
      <c r="P3" s="617"/>
      <c r="Q3" s="617"/>
      <c r="R3" s="617"/>
      <c r="AD3" s="79" t="s">
        <v>1253</v>
      </c>
    </row>
    <row r="4" spans="1:30" s="618" customFormat="1" ht="18" customHeight="1">
      <c r="A4" s="1498" t="s">
        <v>854</v>
      </c>
      <c r="B4" s="1492" t="s">
        <v>1372</v>
      </c>
      <c r="C4" s="1491"/>
      <c r="D4" s="1493"/>
      <c r="E4" s="1492" t="s">
        <v>1373</v>
      </c>
      <c r="F4" s="1491"/>
      <c r="G4" s="1493"/>
      <c r="H4" s="1491" t="s">
        <v>1374</v>
      </c>
      <c r="I4" s="1491"/>
      <c r="J4" s="1491"/>
      <c r="K4" s="1492" t="s">
        <v>1375</v>
      </c>
      <c r="L4" s="1491"/>
      <c r="M4" s="1493"/>
      <c r="O4" s="1494" t="s">
        <v>854</v>
      </c>
      <c r="P4" s="1491" t="s">
        <v>1376</v>
      </c>
      <c r="Q4" s="1491"/>
      <c r="R4" s="1493"/>
      <c r="S4" s="1492" t="s">
        <v>1377</v>
      </c>
      <c r="T4" s="1491"/>
      <c r="U4" s="1493"/>
      <c r="V4" s="1491" t="s">
        <v>1526</v>
      </c>
      <c r="W4" s="1491"/>
      <c r="X4" s="1491"/>
      <c r="Y4" s="1492" t="s">
        <v>1527</v>
      </c>
      <c r="Z4" s="1491"/>
      <c r="AA4" s="1493"/>
      <c r="AB4" s="1491" t="s">
        <v>364</v>
      </c>
      <c r="AC4" s="1491"/>
      <c r="AD4" s="1493"/>
    </row>
    <row r="5" spans="1:30" s="618" customFormat="1" ht="18" customHeight="1">
      <c r="A5" s="1499"/>
      <c r="B5" s="740" t="s">
        <v>1265</v>
      </c>
      <c r="C5" s="738" t="s">
        <v>1266</v>
      </c>
      <c r="D5" s="739" t="s">
        <v>1233</v>
      </c>
      <c r="E5" s="740" t="s">
        <v>1265</v>
      </c>
      <c r="F5" s="738" t="s">
        <v>1266</v>
      </c>
      <c r="G5" s="739" t="s">
        <v>1233</v>
      </c>
      <c r="H5" s="738" t="s">
        <v>1265</v>
      </c>
      <c r="I5" s="738" t="s">
        <v>1266</v>
      </c>
      <c r="J5" s="738" t="s">
        <v>1233</v>
      </c>
      <c r="K5" s="740" t="s">
        <v>1265</v>
      </c>
      <c r="L5" s="738" t="s">
        <v>1266</v>
      </c>
      <c r="M5" s="739" t="s">
        <v>1233</v>
      </c>
      <c r="O5" s="1495"/>
      <c r="P5" s="738" t="s">
        <v>1265</v>
      </c>
      <c r="Q5" s="738" t="s">
        <v>1266</v>
      </c>
      <c r="R5" s="739" t="s">
        <v>1233</v>
      </c>
      <c r="S5" s="740" t="s">
        <v>1265</v>
      </c>
      <c r="T5" s="738" t="s">
        <v>1266</v>
      </c>
      <c r="U5" s="739" t="s">
        <v>1233</v>
      </c>
      <c r="V5" s="738" t="s">
        <v>1265</v>
      </c>
      <c r="W5" s="738" t="s">
        <v>1266</v>
      </c>
      <c r="X5" s="738" t="s">
        <v>1233</v>
      </c>
      <c r="Y5" s="740" t="s">
        <v>1265</v>
      </c>
      <c r="Z5" s="738" t="s">
        <v>1266</v>
      </c>
      <c r="AA5" s="739" t="s">
        <v>1233</v>
      </c>
      <c r="AB5" s="738" t="s">
        <v>1265</v>
      </c>
      <c r="AC5" s="738" t="s">
        <v>1266</v>
      </c>
      <c r="AD5" s="739" t="s">
        <v>1233</v>
      </c>
    </row>
    <row r="6" spans="1:30" s="618" customFormat="1" ht="18" customHeight="1">
      <c r="A6" s="1023" t="s">
        <v>1208</v>
      </c>
      <c r="B6" s="1023" t="s">
        <v>1209</v>
      </c>
      <c r="C6" s="1021" t="s">
        <v>1210</v>
      </c>
      <c r="D6" s="1022" t="s">
        <v>1211</v>
      </c>
      <c r="E6" s="1023" t="s">
        <v>1212</v>
      </c>
      <c r="F6" s="1021" t="s">
        <v>1213</v>
      </c>
      <c r="G6" s="1022" t="s">
        <v>1214</v>
      </c>
      <c r="H6" s="1021" t="s">
        <v>1244</v>
      </c>
      <c r="I6" s="1021" t="s">
        <v>1245</v>
      </c>
      <c r="J6" s="1021" t="s">
        <v>1246</v>
      </c>
      <c r="K6" s="1023" t="s">
        <v>1247</v>
      </c>
      <c r="L6" s="1021" t="s">
        <v>1271</v>
      </c>
      <c r="M6" s="1022" t="s">
        <v>1272</v>
      </c>
      <c r="N6" s="619"/>
      <c r="O6" s="1024" t="s">
        <v>1208</v>
      </c>
      <c r="P6" s="1021" t="s">
        <v>1273</v>
      </c>
      <c r="Q6" s="1021" t="s">
        <v>1274</v>
      </c>
      <c r="R6" s="1022" t="s">
        <v>1275</v>
      </c>
      <c r="S6" s="1023" t="s">
        <v>1276</v>
      </c>
      <c r="T6" s="1021" t="s">
        <v>1278</v>
      </c>
      <c r="U6" s="1022" t="s">
        <v>1277</v>
      </c>
      <c r="V6" s="1021" t="s">
        <v>1666</v>
      </c>
      <c r="W6" s="1021" t="s">
        <v>1667</v>
      </c>
      <c r="X6" s="1021" t="s">
        <v>1668</v>
      </c>
      <c r="Y6" s="1023" t="s">
        <v>814</v>
      </c>
      <c r="Z6" s="1021" t="s">
        <v>815</v>
      </c>
      <c r="AA6" s="1022" t="s">
        <v>816</v>
      </c>
      <c r="AB6" s="1021" t="s">
        <v>817</v>
      </c>
      <c r="AC6" s="1021" t="s">
        <v>818</v>
      </c>
      <c r="AD6" s="1022" t="s">
        <v>819</v>
      </c>
    </row>
    <row r="7" spans="1:30" ht="18" customHeight="1">
      <c r="A7" s="1027" t="s">
        <v>1155</v>
      </c>
      <c r="B7" s="741">
        <f t="shared" ref="B7:M7" si="0">SUM(B8:B13)</f>
        <v>172119</v>
      </c>
      <c r="C7" s="742">
        <f t="shared" si="0"/>
        <v>163018</v>
      </c>
      <c r="D7" s="743">
        <f t="shared" si="0"/>
        <v>335137</v>
      </c>
      <c r="E7" s="741">
        <f t="shared" si="0"/>
        <v>379450</v>
      </c>
      <c r="F7" s="742">
        <f t="shared" si="0"/>
        <v>360312</v>
      </c>
      <c r="G7" s="743">
        <f t="shared" si="0"/>
        <v>739762</v>
      </c>
      <c r="H7" s="742">
        <f t="shared" si="0"/>
        <v>150</v>
      </c>
      <c r="I7" s="742">
        <f t="shared" si="0"/>
        <v>169</v>
      </c>
      <c r="J7" s="742">
        <f t="shared" si="0"/>
        <v>319</v>
      </c>
      <c r="K7" s="741">
        <f t="shared" si="0"/>
        <v>2</v>
      </c>
      <c r="L7" s="742">
        <f t="shared" si="0"/>
        <v>2</v>
      </c>
      <c r="M7" s="743">
        <f t="shared" si="0"/>
        <v>4</v>
      </c>
      <c r="N7" s="144"/>
      <c r="O7" s="1026" t="s">
        <v>1155</v>
      </c>
      <c r="P7" s="750">
        <f t="shared" ref="P7:AD7" si="1">SUM(P8:P13)</f>
        <v>17</v>
      </c>
      <c r="Q7" s="750">
        <f t="shared" si="1"/>
        <v>9</v>
      </c>
      <c r="R7" s="751">
        <f t="shared" si="1"/>
        <v>26</v>
      </c>
      <c r="S7" s="752">
        <f t="shared" si="1"/>
        <v>28</v>
      </c>
      <c r="T7" s="750">
        <f t="shared" si="1"/>
        <v>19</v>
      </c>
      <c r="U7" s="751">
        <f t="shared" si="1"/>
        <v>47</v>
      </c>
      <c r="V7" s="750">
        <f t="shared" si="1"/>
        <v>1180</v>
      </c>
      <c r="W7" s="750">
        <f t="shared" si="1"/>
        <v>1097</v>
      </c>
      <c r="X7" s="750">
        <f t="shared" si="1"/>
        <v>2277</v>
      </c>
      <c r="Y7" s="752">
        <f t="shared" si="1"/>
        <v>283</v>
      </c>
      <c r="Z7" s="750">
        <f t="shared" si="1"/>
        <v>246</v>
      </c>
      <c r="AA7" s="751">
        <f t="shared" si="1"/>
        <v>529</v>
      </c>
      <c r="AB7" s="750">
        <f t="shared" si="1"/>
        <v>553229</v>
      </c>
      <c r="AC7" s="750">
        <f t="shared" si="1"/>
        <v>524872</v>
      </c>
      <c r="AD7" s="751">
        <f t="shared" si="1"/>
        <v>1078101</v>
      </c>
    </row>
    <row r="8" spans="1:30" ht="18" customHeight="1">
      <c r="A8" s="620" t="s">
        <v>1051</v>
      </c>
      <c r="B8" s="1015">
        <v>35142</v>
      </c>
      <c r="C8" s="1016">
        <v>33234</v>
      </c>
      <c r="D8" s="1017">
        <f t="shared" ref="D8:D13" si="2">SUM(B8,C8)</f>
        <v>68376</v>
      </c>
      <c r="E8" s="1015">
        <v>47896</v>
      </c>
      <c r="F8" s="1016">
        <v>45989</v>
      </c>
      <c r="G8" s="1017">
        <f t="shared" ref="G8:G13" si="3">SUM(E8,F8)</f>
        <v>93885</v>
      </c>
      <c r="H8" s="1016">
        <v>46</v>
      </c>
      <c r="I8" s="1016">
        <v>46</v>
      </c>
      <c r="J8" s="1016">
        <f t="shared" ref="J8:J13" si="4">SUM(H8,I8)</f>
        <v>92</v>
      </c>
      <c r="K8" s="1018" t="s">
        <v>1509</v>
      </c>
      <c r="L8" s="1019" t="s">
        <v>1509</v>
      </c>
      <c r="M8" s="1020" t="s">
        <v>1509</v>
      </c>
      <c r="N8" s="144"/>
      <c r="O8" s="181" t="s">
        <v>1051</v>
      </c>
      <c r="P8" s="735">
        <v>5</v>
      </c>
      <c r="Q8" s="735">
        <v>2</v>
      </c>
      <c r="R8" s="105">
        <f t="shared" ref="R8:R13" si="5">SUM(P8,Q8)</f>
        <v>7</v>
      </c>
      <c r="S8" s="736">
        <v>5</v>
      </c>
      <c r="T8" s="735">
        <v>5</v>
      </c>
      <c r="U8" s="105">
        <f>SUM(S8,T8)</f>
        <v>10</v>
      </c>
      <c r="V8" s="1019" t="s">
        <v>1509</v>
      </c>
      <c r="W8" s="1019" t="s">
        <v>1509</v>
      </c>
      <c r="X8" s="1019" t="s">
        <v>1509</v>
      </c>
      <c r="Y8" s="736">
        <v>19</v>
      </c>
      <c r="Z8" s="735">
        <v>17</v>
      </c>
      <c r="AA8" s="105">
        <f t="shared" ref="AA8:AA13" si="6">SUM(Y8,Z8)</f>
        <v>36</v>
      </c>
      <c r="AB8" s="735">
        <f t="shared" ref="AB8:AC13" si="7">SUM(B8,E8,H8,K8,P8,S8,V8,Y8)</f>
        <v>83113</v>
      </c>
      <c r="AC8" s="735">
        <f t="shared" si="7"/>
        <v>79293</v>
      </c>
      <c r="AD8" s="105">
        <f t="shared" ref="AD8:AD13" si="8">SUM(AB8:AC8)</f>
        <v>162406</v>
      </c>
    </row>
    <row r="9" spans="1:30" ht="18" customHeight="1">
      <c r="A9" s="620" t="s">
        <v>495</v>
      </c>
      <c r="B9" s="1015">
        <v>27831</v>
      </c>
      <c r="C9" s="1016">
        <v>26119</v>
      </c>
      <c r="D9" s="1017">
        <f t="shared" si="2"/>
        <v>53950</v>
      </c>
      <c r="E9" s="1015">
        <v>74092</v>
      </c>
      <c r="F9" s="1016">
        <v>69711</v>
      </c>
      <c r="G9" s="1017">
        <f t="shared" si="3"/>
        <v>143803</v>
      </c>
      <c r="H9" s="1016">
        <v>41</v>
      </c>
      <c r="I9" s="1016">
        <v>45</v>
      </c>
      <c r="J9" s="1016">
        <f t="shared" si="4"/>
        <v>86</v>
      </c>
      <c r="K9" s="1018" t="s">
        <v>1509</v>
      </c>
      <c r="L9" s="1019" t="s">
        <v>1509</v>
      </c>
      <c r="M9" s="1020" t="s">
        <v>1509</v>
      </c>
      <c r="N9" s="144"/>
      <c r="O9" s="181" t="s">
        <v>495</v>
      </c>
      <c r="P9" s="735">
        <v>2</v>
      </c>
      <c r="Q9" s="735">
        <v>3</v>
      </c>
      <c r="R9" s="105">
        <f t="shared" si="5"/>
        <v>5</v>
      </c>
      <c r="S9" s="736">
        <v>1</v>
      </c>
      <c r="T9" s="1019" t="s">
        <v>1509</v>
      </c>
      <c r="U9" s="105">
        <f>SUM(S9,T9)</f>
        <v>1</v>
      </c>
      <c r="V9" s="735">
        <v>85</v>
      </c>
      <c r="W9" s="735">
        <v>79</v>
      </c>
      <c r="X9" s="735">
        <f>SUM(V9,W9)</f>
        <v>164</v>
      </c>
      <c r="Y9" s="736">
        <v>14</v>
      </c>
      <c r="Z9" s="735">
        <v>16</v>
      </c>
      <c r="AA9" s="105">
        <f t="shared" si="6"/>
        <v>30</v>
      </c>
      <c r="AB9" s="735">
        <f t="shared" si="7"/>
        <v>102066</v>
      </c>
      <c r="AC9" s="735">
        <f t="shared" si="7"/>
        <v>95973</v>
      </c>
      <c r="AD9" s="105">
        <f t="shared" si="8"/>
        <v>198039</v>
      </c>
    </row>
    <row r="10" spans="1:30" ht="18" customHeight="1">
      <c r="A10" s="620" t="s">
        <v>531</v>
      </c>
      <c r="B10" s="1015">
        <v>26517</v>
      </c>
      <c r="C10" s="1016">
        <v>25314</v>
      </c>
      <c r="D10" s="1017">
        <f t="shared" si="2"/>
        <v>51831</v>
      </c>
      <c r="E10" s="1015">
        <v>62495</v>
      </c>
      <c r="F10" s="1016">
        <v>59560</v>
      </c>
      <c r="G10" s="1017">
        <f t="shared" si="3"/>
        <v>122055</v>
      </c>
      <c r="H10" s="1016">
        <v>11</v>
      </c>
      <c r="I10" s="1016">
        <v>9</v>
      </c>
      <c r="J10" s="1016">
        <f t="shared" si="4"/>
        <v>20</v>
      </c>
      <c r="K10" s="1018" t="s">
        <v>1509</v>
      </c>
      <c r="L10" s="1019" t="s">
        <v>1509</v>
      </c>
      <c r="M10" s="1020" t="s">
        <v>1509</v>
      </c>
      <c r="N10" s="144"/>
      <c r="O10" s="181" t="s">
        <v>531</v>
      </c>
      <c r="P10" s="735">
        <v>5</v>
      </c>
      <c r="Q10" s="735">
        <v>1</v>
      </c>
      <c r="R10" s="105">
        <f t="shared" si="5"/>
        <v>6</v>
      </c>
      <c r="S10" s="736">
        <v>19</v>
      </c>
      <c r="T10" s="735">
        <v>13</v>
      </c>
      <c r="U10" s="105">
        <f>SUM(S10,T10)</f>
        <v>32</v>
      </c>
      <c r="V10" s="735">
        <v>111</v>
      </c>
      <c r="W10" s="735">
        <v>105</v>
      </c>
      <c r="X10" s="735">
        <f>SUM(V10,W10)</f>
        <v>216</v>
      </c>
      <c r="Y10" s="736">
        <v>24</v>
      </c>
      <c r="Z10" s="735">
        <v>20</v>
      </c>
      <c r="AA10" s="105">
        <f t="shared" si="6"/>
        <v>44</v>
      </c>
      <c r="AB10" s="735">
        <f t="shared" si="7"/>
        <v>89182</v>
      </c>
      <c r="AC10" s="735">
        <f t="shared" si="7"/>
        <v>85022</v>
      </c>
      <c r="AD10" s="105">
        <f t="shared" si="8"/>
        <v>174204</v>
      </c>
    </row>
    <row r="11" spans="1:30" ht="18" customHeight="1">
      <c r="A11" s="620" t="s">
        <v>532</v>
      </c>
      <c r="B11" s="1015">
        <v>24653</v>
      </c>
      <c r="C11" s="1016">
        <v>23973</v>
      </c>
      <c r="D11" s="1017">
        <f t="shared" si="2"/>
        <v>48626</v>
      </c>
      <c r="E11" s="1015">
        <v>58604</v>
      </c>
      <c r="F11" s="1016">
        <v>56178</v>
      </c>
      <c r="G11" s="1017">
        <f t="shared" si="3"/>
        <v>114782</v>
      </c>
      <c r="H11" s="1016">
        <v>39</v>
      </c>
      <c r="I11" s="1016">
        <v>59</v>
      </c>
      <c r="J11" s="1016">
        <f t="shared" si="4"/>
        <v>98</v>
      </c>
      <c r="K11" s="1015">
        <v>1</v>
      </c>
      <c r="L11" s="1019" t="s">
        <v>1509</v>
      </c>
      <c r="M11" s="1017">
        <f>SUM(K11,L11)</f>
        <v>1</v>
      </c>
      <c r="N11" s="144"/>
      <c r="O11" s="181" t="s">
        <v>532</v>
      </c>
      <c r="P11" s="1018" t="s">
        <v>1509</v>
      </c>
      <c r="Q11" s="1019" t="s">
        <v>1509</v>
      </c>
      <c r="R11" s="1019" t="s">
        <v>1509</v>
      </c>
      <c r="S11" s="1018" t="s">
        <v>1509</v>
      </c>
      <c r="T11" s="1019" t="s">
        <v>1509</v>
      </c>
      <c r="U11" s="1020" t="s">
        <v>1509</v>
      </c>
      <c r="V11" s="735">
        <v>805</v>
      </c>
      <c r="W11" s="735">
        <v>745</v>
      </c>
      <c r="X11" s="735">
        <f>SUM(V11,W11)</f>
        <v>1550</v>
      </c>
      <c r="Y11" s="736">
        <v>73</v>
      </c>
      <c r="Z11" s="735">
        <v>62</v>
      </c>
      <c r="AA11" s="105">
        <f t="shared" si="6"/>
        <v>135</v>
      </c>
      <c r="AB11" s="735">
        <f t="shared" si="7"/>
        <v>84175</v>
      </c>
      <c r="AC11" s="735">
        <f t="shared" si="7"/>
        <v>81017</v>
      </c>
      <c r="AD11" s="105">
        <f t="shared" si="8"/>
        <v>165192</v>
      </c>
    </row>
    <row r="12" spans="1:30" ht="18" customHeight="1">
      <c r="A12" s="620" t="s">
        <v>533</v>
      </c>
      <c r="B12" s="1015">
        <v>38741</v>
      </c>
      <c r="C12" s="1016">
        <v>36159</v>
      </c>
      <c r="D12" s="1017">
        <f t="shared" si="2"/>
        <v>74900</v>
      </c>
      <c r="E12" s="1015">
        <v>73354</v>
      </c>
      <c r="F12" s="1016">
        <v>68541</v>
      </c>
      <c r="G12" s="1017">
        <f t="shared" si="3"/>
        <v>141895</v>
      </c>
      <c r="H12" s="1016">
        <v>12</v>
      </c>
      <c r="I12" s="1016">
        <v>8</v>
      </c>
      <c r="J12" s="1016">
        <f t="shared" si="4"/>
        <v>20</v>
      </c>
      <c r="K12" s="1015">
        <v>1</v>
      </c>
      <c r="L12" s="1016">
        <v>1</v>
      </c>
      <c r="M12" s="1017">
        <f>SUM(K12,L12)</f>
        <v>2</v>
      </c>
      <c r="N12" s="144"/>
      <c r="O12" s="181" t="s">
        <v>533</v>
      </c>
      <c r="P12" s="735">
        <v>3</v>
      </c>
      <c r="Q12" s="735">
        <v>1</v>
      </c>
      <c r="R12" s="105">
        <f t="shared" si="5"/>
        <v>4</v>
      </c>
      <c r="S12" s="736">
        <v>3</v>
      </c>
      <c r="T12" s="735">
        <v>1</v>
      </c>
      <c r="U12" s="105">
        <f>SUM(S12,T12)</f>
        <v>4</v>
      </c>
      <c r="V12" s="735">
        <v>179</v>
      </c>
      <c r="W12" s="735">
        <v>167</v>
      </c>
      <c r="X12" s="735">
        <f>SUM(V12,W12)</f>
        <v>346</v>
      </c>
      <c r="Y12" s="736">
        <v>103</v>
      </c>
      <c r="Z12" s="735">
        <v>82</v>
      </c>
      <c r="AA12" s="105">
        <f t="shared" si="6"/>
        <v>185</v>
      </c>
      <c r="AB12" s="735">
        <f t="shared" si="7"/>
        <v>112396</v>
      </c>
      <c r="AC12" s="735">
        <f t="shared" si="7"/>
        <v>104960</v>
      </c>
      <c r="AD12" s="105">
        <f t="shared" si="8"/>
        <v>217356</v>
      </c>
    </row>
    <row r="13" spans="1:30" ht="18" customHeight="1">
      <c r="A13" s="620" t="s">
        <v>573</v>
      </c>
      <c r="B13" s="1015">
        <v>19235</v>
      </c>
      <c r="C13" s="1016">
        <v>18219</v>
      </c>
      <c r="D13" s="1017">
        <f t="shared" si="2"/>
        <v>37454</v>
      </c>
      <c r="E13" s="1015">
        <v>63009</v>
      </c>
      <c r="F13" s="1016">
        <v>60333</v>
      </c>
      <c r="G13" s="1017">
        <f t="shared" si="3"/>
        <v>123342</v>
      </c>
      <c r="H13" s="1016">
        <v>1</v>
      </c>
      <c r="I13" s="1016">
        <v>2</v>
      </c>
      <c r="J13" s="1016">
        <f t="shared" si="4"/>
        <v>3</v>
      </c>
      <c r="K13" s="1018" t="s">
        <v>1509</v>
      </c>
      <c r="L13" s="1016">
        <v>1</v>
      </c>
      <c r="M13" s="1017">
        <f>SUM(K13,L13)</f>
        <v>1</v>
      </c>
      <c r="N13" s="144"/>
      <c r="O13" s="181" t="s">
        <v>573</v>
      </c>
      <c r="P13" s="735">
        <v>2</v>
      </c>
      <c r="Q13" s="735">
        <v>2</v>
      </c>
      <c r="R13" s="105">
        <f t="shared" si="5"/>
        <v>4</v>
      </c>
      <c r="S13" s="1018" t="s">
        <v>1509</v>
      </c>
      <c r="T13" s="1019" t="s">
        <v>1509</v>
      </c>
      <c r="U13" s="1020" t="s">
        <v>1509</v>
      </c>
      <c r="V13" s="1019" t="s">
        <v>1509</v>
      </c>
      <c r="W13" s="735">
        <v>1</v>
      </c>
      <c r="X13" s="735">
        <f>SUM(V13,W13)</f>
        <v>1</v>
      </c>
      <c r="Y13" s="736">
        <v>50</v>
      </c>
      <c r="Z13" s="735">
        <v>49</v>
      </c>
      <c r="AA13" s="105">
        <f t="shared" si="6"/>
        <v>99</v>
      </c>
      <c r="AB13" s="735">
        <f t="shared" si="7"/>
        <v>82297</v>
      </c>
      <c r="AC13" s="735">
        <f t="shared" si="7"/>
        <v>78607</v>
      </c>
      <c r="AD13" s="105">
        <f t="shared" si="8"/>
        <v>160904</v>
      </c>
    </row>
    <row r="14" spans="1:30" ht="18" customHeight="1">
      <c r="A14" s="1025" t="s">
        <v>1154</v>
      </c>
      <c r="B14" s="744">
        <f t="shared" ref="B14:M14" si="9">SUM(B15:B25)</f>
        <v>661904</v>
      </c>
      <c r="C14" s="745">
        <f t="shared" si="9"/>
        <v>624427</v>
      </c>
      <c r="D14" s="746">
        <f t="shared" si="9"/>
        <v>1286331</v>
      </c>
      <c r="E14" s="744">
        <f t="shared" si="9"/>
        <v>459652</v>
      </c>
      <c r="F14" s="745">
        <f t="shared" si="9"/>
        <v>436757</v>
      </c>
      <c r="G14" s="746">
        <f t="shared" si="9"/>
        <v>896409</v>
      </c>
      <c r="H14" s="745">
        <f t="shared" si="9"/>
        <v>3937</v>
      </c>
      <c r="I14" s="745">
        <f t="shared" si="9"/>
        <v>4132</v>
      </c>
      <c r="J14" s="745">
        <f t="shared" si="9"/>
        <v>8069</v>
      </c>
      <c r="K14" s="744">
        <f t="shared" si="9"/>
        <v>205</v>
      </c>
      <c r="L14" s="745">
        <f t="shared" si="9"/>
        <v>74</v>
      </c>
      <c r="M14" s="746">
        <f t="shared" si="9"/>
        <v>279</v>
      </c>
      <c r="N14" s="144"/>
      <c r="O14" s="588" t="s">
        <v>1154</v>
      </c>
      <c r="P14" s="753">
        <f t="shared" ref="P14:AD14" si="10">SUM(P15:P25)</f>
        <v>69</v>
      </c>
      <c r="Q14" s="753">
        <f t="shared" si="10"/>
        <v>69</v>
      </c>
      <c r="R14" s="754">
        <f t="shared" si="10"/>
        <v>138</v>
      </c>
      <c r="S14" s="755">
        <f t="shared" si="10"/>
        <v>135</v>
      </c>
      <c r="T14" s="753">
        <f t="shared" si="10"/>
        <v>111</v>
      </c>
      <c r="U14" s="754">
        <f t="shared" si="10"/>
        <v>246</v>
      </c>
      <c r="V14" s="753">
        <f t="shared" si="10"/>
        <v>9841</v>
      </c>
      <c r="W14" s="753">
        <f t="shared" si="10"/>
        <v>10232</v>
      </c>
      <c r="X14" s="753">
        <f t="shared" si="10"/>
        <v>20073</v>
      </c>
      <c r="Y14" s="755">
        <f t="shared" si="10"/>
        <v>434</v>
      </c>
      <c r="Z14" s="753">
        <f t="shared" si="10"/>
        <v>388</v>
      </c>
      <c r="AA14" s="754">
        <f t="shared" si="10"/>
        <v>822</v>
      </c>
      <c r="AB14" s="753">
        <f t="shared" si="10"/>
        <v>1136177</v>
      </c>
      <c r="AC14" s="753">
        <f t="shared" si="10"/>
        <v>1076190</v>
      </c>
      <c r="AD14" s="754">
        <f t="shared" si="10"/>
        <v>2212367</v>
      </c>
    </row>
    <row r="15" spans="1:30" ht="18" customHeight="1">
      <c r="A15" s="620" t="s">
        <v>576</v>
      </c>
      <c r="B15" s="1015">
        <v>113689</v>
      </c>
      <c r="C15" s="1016">
        <v>108921</v>
      </c>
      <c r="D15" s="1017">
        <f t="shared" ref="D15:D25" si="11">SUM(B15,C15)</f>
        <v>222610</v>
      </c>
      <c r="E15" s="1015">
        <v>33509</v>
      </c>
      <c r="F15" s="1016">
        <v>32141</v>
      </c>
      <c r="G15" s="1017">
        <f t="shared" ref="G15:G25" si="12">SUM(E15,F15)</f>
        <v>65650</v>
      </c>
      <c r="H15" s="1016">
        <v>1375</v>
      </c>
      <c r="I15" s="1016">
        <v>1508</v>
      </c>
      <c r="J15" s="1016">
        <f t="shared" ref="J15:J25" si="13">SUM(H15,I15)</f>
        <v>2883</v>
      </c>
      <c r="K15" s="1015">
        <v>23</v>
      </c>
      <c r="L15" s="1016">
        <v>13</v>
      </c>
      <c r="M15" s="1017">
        <f t="shared" ref="M15:M25" si="14">SUM(K15,L15)</f>
        <v>36</v>
      </c>
      <c r="N15" s="144"/>
      <c r="O15" s="181" t="s">
        <v>576</v>
      </c>
      <c r="P15" s="735">
        <v>6</v>
      </c>
      <c r="Q15" s="735">
        <v>7</v>
      </c>
      <c r="R15" s="105">
        <f t="shared" ref="R15:R25" si="15">SUM(P15,Q15)</f>
        <v>13</v>
      </c>
      <c r="S15" s="736">
        <v>2</v>
      </c>
      <c r="T15" s="1019" t="s">
        <v>1509</v>
      </c>
      <c r="U15" s="105">
        <f t="shared" ref="U15:U25" si="16">SUM(S15,T15)</f>
        <v>2</v>
      </c>
      <c r="V15" s="735">
        <v>1601</v>
      </c>
      <c r="W15" s="735">
        <v>1729</v>
      </c>
      <c r="X15" s="735">
        <f t="shared" ref="X15:X25" si="17">SUM(V15,W15)</f>
        <v>3330</v>
      </c>
      <c r="Y15" s="736">
        <v>98</v>
      </c>
      <c r="Z15" s="735">
        <v>93</v>
      </c>
      <c r="AA15" s="105">
        <f t="shared" ref="AA15:AA24" si="18">SUM(Y15,Z15)</f>
        <v>191</v>
      </c>
      <c r="AB15" s="735">
        <f t="shared" ref="AB15:AB25" si="19">SUM(B15,E15,H15,K15,P15,S15,V15,Y15)</f>
        <v>150303</v>
      </c>
      <c r="AC15" s="735">
        <f t="shared" ref="AC15:AC25" si="20">SUM(C15,F15,I15,L15,Q15,T15,W15,Z15)</f>
        <v>144412</v>
      </c>
      <c r="AD15" s="105">
        <f t="shared" ref="AD15:AD25" si="21">SUM(AB15:AC15)</f>
        <v>294715</v>
      </c>
    </row>
    <row r="16" spans="1:30" ht="18" customHeight="1">
      <c r="A16" s="620" t="s">
        <v>1510</v>
      </c>
      <c r="B16" s="1015">
        <v>57631</v>
      </c>
      <c r="C16" s="1016">
        <v>54452</v>
      </c>
      <c r="D16" s="1017">
        <f t="shared" si="11"/>
        <v>112083</v>
      </c>
      <c r="E16" s="1015">
        <v>5738</v>
      </c>
      <c r="F16" s="1016">
        <v>5549</v>
      </c>
      <c r="G16" s="1017">
        <f t="shared" si="12"/>
        <v>11287</v>
      </c>
      <c r="H16" s="1016">
        <v>455</v>
      </c>
      <c r="I16" s="1016">
        <v>512</v>
      </c>
      <c r="J16" s="1016">
        <f t="shared" si="13"/>
        <v>967</v>
      </c>
      <c r="K16" s="1018" t="s">
        <v>1509</v>
      </c>
      <c r="L16" s="1019" t="s">
        <v>1509</v>
      </c>
      <c r="M16" s="1020" t="s">
        <v>1509</v>
      </c>
      <c r="N16" s="144"/>
      <c r="O16" s="181" t="s">
        <v>1510</v>
      </c>
      <c r="P16" s="735">
        <v>1</v>
      </c>
      <c r="Q16" s="735">
        <v>1</v>
      </c>
      <c r="R16" s="105">
        <f t="shared" si="15"/>
        <v>2</v>
      </c>
      <c r="S16" s="1018" t="s">
        <v>1509</v>
      </c>
      <c r="T16" s="1019" t="s">
        <v>1509</v>
      </c>
      <c r="U16" s="1020" t="s">
        <v>1509</v>
      </c>
      <c r="V16" s="735">
        <v>1407</v>
      </c>
      <c r="W16" s="735">
        <v>1460</v>
      </c>
      <c r="X16" s="735">
        <f t="shared" si="17"/>
        <v>2867</v>
      </c>
      <c r="Y16" s="736">
        <v>26</v>
      </c>
      <c r="Z16" s="735">
        <v>20</v>
      </c>
      <c r="AA16" s="105">
        <f t="shared" si="18"/>
        <v>46</v>
      </c>
      <c r="AB16" s="735">
        <f t="shared" si="19"/>
        <v>65258</v>
      </c>
      <c r="AC16" s="735">
        <f t="shared" si="20"/>
        <v>61994</v>
      </c>
      <c r="AD16" s="105">
        <f t="shared" si="21"/>
        <v>127252</v>
      </c>
    </row>
    <row r="17" spans="1:30" ht="18" customHeight="1">
      <c r="A17" s="620" t="s">
        <v>577</v>
      </c>
      <c r="B17" s="1015">
        <v>86661</v>
      </c>
      <c r="C17" s="1016">
        <v>84219</v>
      </c>
      <c r="D17" s="1017">
        <f t="shared" si="11"/>
        <v>170880</v>
      </c>
      <c r="E17" s="1015">
        <v>1198</v>
      </c>
      <c r="F17" s="1016">
        <v>1107</v>
      </c>
      <c r="G17" s="1017">
        <f t="shared" si="12"/>
        <v>2305</v>
      </c>
      <c r="H17" s="1016">
        <v>1314</v>
      </c>
      <c r="I17" s="1016">
        <v>1416</v>
      </c>
      <c r="J17" s="1016">
        <f t="shared" si="13"/>
        <v>2730</v>
      </c>
      <c r="K17" s="1015">
        <v>21</v>
      </c>
      <c r="L17" s="1016">
        <v>16</v>
      </c>
      <c r="M17" s="1017">
        <f t="shared" si="14"/>
        <v>37</v>
      </c>
      <c r="N17" s="144"/>
      <c r="O17" s="181" t="s">
        <v>577</v>
      </c>
      <c r="P17" s="735">
        <v>7</v>
      </c>
      <c r="Q17" s="735">
        <v>6</v>
      </c>
      <c r="R17" s="105">
        <f t="shared" si="15"/>
        <v>13</v>
      </c>
      <c r="S17" s="736">
        <v>3</v>
      </c>
      <c r="T17" s="735">
        <v>1</v>
      </c>
      <c r="U17" s="105">
        <f t="shared" si="16"/>
        <v>4</v>
      </c>
      <c r="V17" s="735">
        <v>5715</v>
      </c>
      <c r="W17" s="735">
        <v>5915</v>
      </c>
      <c r="X17" s="735">
        <f t="shared" si="17"/>
        <v>11630</v>
      </c>
      <c r="Y17" s="736">
        <v>26</v>
      </c>
      <c r="Z17" s="735">
        <v>25</v>
      </c>
      <c r="AA17" s="105">
        <f t="shared" si="18"/>
        <v>51</v>
      </c>
      <c r="AB17" s="735">
        <f t="shared" si="19"/>
        <v>94945</v>
      </c>
      <c r="AC17" s="735">
        <f t="shared" si="20"/>
        <v>92705</v>
      </c>
      <c r="AD17" s="105">
        <f t="shared" si="21"/>
        <v>187650</v>
      </c>
    </row>
    <row r="18" spans="1:30" ht="18" customHeight="1">
      <c r="A18" s="620" t="s">
        <v>578</v>
      </c>
      <c r="B18" s="1015">
        <v>48314</v>
      </c>
      <c r="C18" s="1016">
        <v>45207</v>
      </c>
      <c r="D18" s="1017">
        <f t="shared" si="11"/>
        <v>93521</v>
      </c>
      <c r="E18" s="1015">
        <v>17646</v>
      </c>
      <c r="F18" s="1016">
        <v>16959</v>
      </c>
      <c r="G18" s="1017">
        <f t="shared" si="12"/>
        <v>34605</v>
      </c>
      <c r="H18" s="1016">
        <v>437</v>
      </c>
      <c r="I18" s="1016">
        <v>364</v>
      </c>
      <c r="J18" s="1016">
        <f t="shared" si="13"/>
        <v>801</v>
      </c>
      <c r="K18" s="1015">
        <v>72</v>
      </c>
      <c r="L18" s="1016">
        <v>13</v>
      </c>
      <c r="M18" s="1017">
        <f t="shared" si="14"/>
        <v>85</v>
      </c>
      <c r="N18" s="144"/>
      <c r="O18" s="181" t="s">
        <v>578</v>
      </c>
      <c r="P18" s="735">
        <v>4</v>
      </c>
      <c r="Q18" s="735">
        <v>2</v>
      </c>
      <c r="R18" s="105">
        <f t="shared" si="15"/>
        <v>6</v>
      </c>
      <c r="S18" s="736">
        <v>1</v>
      </c>
      <c r="T18" s="1019" t="s">
        <v>1509</v>
      </c>
      <c r="U18" s="105">
        <f t="shared" si="16"/>
        <v>1</v>
      </c>
      <c r="V18" s="735">
        <v>1082</v>
      </c>
      <c r="W18" s="735">
        <v>1103</v>
      </c>
      <c r="X18" s="735">
        <f t="shared" si="17"/>
        <v>2185</v>
      </c>
      <c r="Y18" s="736">
        <v>31</v>
      </c>
      <c r="Z18" s="735">
        <v>20</v>
      </c>
      <c r="AA18" s="105">
        <f t="shared" si="18"/>
        <v>51</v>
      </c>
      <c r="AB18" s="735">
        <f t="shared" si="19"/>
        <v>67587</v>
      </c>
      <c r="AC18" s="735">
        <f t="shared" si="20"/>
        <v>63668</v>
      </c>
      <c r="AD18" s="105">
        <f t="shared" si="21"/>
        <v>131255</v>
      </c>
    </row>
    <row r="19" spans="1:30" ht="18" customHeight="1">
      <c r="A19" s="620" t="s">
        <v>490</v>
      </c>
      <c r="B19" s="1015">
        <v>59166</v>
      </c>
      <c r="C19" s="1016">
        <v>54941</v>
      </c>
      <c r="D19" s="1017">
        <f t="shared" si="11"/>
        <v>114107</v>
      </c>
      <c r="E19" s="1015">
        <v>57246</v>
      </c>
      <c r="F19" s="1016">
        <v>54783</v>
      </c>
      <c r="G19" s="1017">
        <f t="shared" si="12"/>
        <v>112029</v>
      </c>
      <c r="H19" s="1016">
        <v>19</v>
      </c>
      <c r="I19" s="1016">
        <v>33</v>
      </c>
      <c r="J19" s="1016">
        <f t="shared" si="13"/>
        <v>52</v>
      </c>
      <c r="K19" s="1015">
        <v>1</v>
      </c>
      <c r="L19" s="1019" t="s">
        <v>1509</v>
      </c>
      <c r="M19" s="1017">
        <f t="shared" si="14"/>
        <v>1</v>
      </c>
      <c r="N19" s="144"/>
      <c r="O19" s="181" t="s">
        <v>490</v>
      </c>
      <c r="P19" s="735">
        <v>5</v>
      </c>
      <c r="Q19" s="735">
        <v>6</v>
      </c>
      <c r="R19" s="105">
        <f t="shared" si="15"/>
        <v>11</v>
      </c>
      <c r="S19" s="736">
        <v>1</v>
      </c>
      <c r="T19" s="735">
        <v>3</v>
      </c>
      <c r="U19" s="105">
        <f t="shared" si="16"/>
        <v>4</v>
      </c>
      <c r="V19" s="735">
        <v>1</v>
      </c>
      <c r="W19" s="1019" t="s">
        <v>1509</v>
      </c>
      <c r="X19" s="735">
        <f t="shared" si="17"/>
        <v>1</v>
      </c>
      <c r="Y19" s="736">
        <v>18</v>
      </c>
      <c r="Z19" s="735">
        <v>13</v>
      </c>
      <c r="AA19" s="105">
        <f t="shared" si="18"/>
        <v>31</v>
      </c>
      <c r="AB19" s="735">
        <f t="shared" si="19"/>
        <v>116457</v>
      </c>
      <c r="AC19" s="735">
        <f t="shared" si="20"/>
        <v>109779</v>
      </c>
      <c r="AD19" s="105">
        <f t="shared" si="21"/>
        <v>226236</v>
      </c>
    </row>
    <row r="20" spans="1:30" ht="18" customHeight="1">
      <c r="A20" s="620" t="s">
        <v>580</v>
      </c>
      <c r="B20" s="1015">
        <v>63700</v>
      </c>
      <c r="C20" s="1016">
        <v>58957</v>
      </c>
      <c r="D20" s="1017">
        <f t="shared" si="11"/>
        <v>122657</v>
      </c>
      <c r="E20" s="1015">
        <v>46663</v>
      </c>
      <c r="F20" s="1016">
        <v>44721</v>
      </c>
      <c r="G20" s="1017">
        <f t="shared" si="12"/>
        <v>91384</v>
      </c>
      <c r="H20" s="1016">
        <v>3</v>
      </c>
      <c r="I20" s="1016">
        <v>2</v>
      </c>
      <c r="J20" s="1016">
        <f t="shared" si="13"/>
        <v>5</v>
      </c>
      <c r="K20" s="1015">
        <v>5</v>
      </c>
      <c r="L20" s="1016">
        <v>3</v>
      </c>
      <c r="M20" s="1017">
        <f t="shared" si="14"/>
        <v>8</v>
      </c>
      <c r="N20" s="144"/>
      <c r="O20" s="181" t="s">
        <v>580</v>
      </c>
      <c r="P20" s="735">
        <v>1</v>
      </c>
      <c r="Q20" s="1019" t="s">
        <v>1509</v>
      </c>
      <c r="R20" s="105">
        <f t="shared" si="15"/>
        <v>1</v>
      </c>
      <c r="S20" s="736">
        <v>2</v>
      </c>
      <c r="T20" s="735">
        <v>4</v>
      </c>
      <c r="U20" s="105">
        <f t="shared" si="16"/>
        <v>6</v>
      </c>
      <c r="V20" s="735">
        <v>1</v>
      </c>
      <c r="W20" s="735">
        <v>1</v>
      </c>
      <c r="X20" s="735">
        <f t="shared" si="17"/>
        <v>2</v>
      </c>
      <c r="Y20" s="736">
        <v>35</v>
      </c>
      <c r="Z20" s="735">
        <v>29</v>
      </c>
      <c r="AA20" s="105">
        <f t="shared" si="18"/>
        <v>64</v>
      </c>
      <c r="AB20" s="735">
        <f t="shared" si="19"/>
        <v>110410</v>
      </c>
      <c r="AC20" s="735">
        <f t="shared" si="20"/>
        <v>103717</v>
      </c>
      <c r="AD20" s="105">
        <f t="shared" si="21"/>
        <v>214127</v>
      </c>
    </row>
    <row r="21" spans="1:30" ht="18" customHeight="1">
      <c r="A21" s="620" t="s">
        <v>585</v>
      </c>
      <c r="B21" s="1015">
        <v>18720</v>
      </c>
      <c r="C21" s="1016">
        <v>17176</v>
      </c>
      <c r="D21" s="1017">
        <f t="shared" si="11"/>
        <v>35896</v>
      </c>
      <c r="E21" s="1015">
        <v>141231</v>
      </c>
      <c r="F21" s="1016">
        <v>133594</v>
      </c>
      <c r="G21" s="1017">
        <f t="shared" si="12"/>
        <v>274825</v>
      </c>
      <c r="H21" s="1016">
        <v>18</v>
      </c>
      <c r="I21" s="1016">
        <v>18</v>
      </c>
      <c r="J21" s="1016">
        <f t="shared" si="13"/>
        <v>36</v>
      </c>
      <c r="K21" s="1015">
        <v>1</v>
      </c>
      <c r="L21" s="1019" t="s">
        <v>1509</v>
      </c>
      <c r="M21" s="1017">
        <f t="shared" si="14"/>
        <v>1</v>
      </c>
      <c r="N21" s="144"/>
      <c r="O21" s="181" t="s">
        <v>585</v>
      </c>
      <c r="P21" s="735">
        <v>5</v>
      </c>
      <c r="Q21" s="735">
        <v>5</v>
      </c>
      <c r="R21" s="105">
        <f t="shared" si="15"/>
        <v>10</v>
      </c>
      <c r="S21" s="736">
        <v>51</v>
      </c>
      <c r="T21" s="735">
        <v>38</v>
      </c>
      <c r="U21" s="105">
        <f t="shared" si="16"/>
        <v>89</v>
      </c>
      <c r="V21" s="735">
        <v>1</v>
      </c>
      <c r="W21" s="735">
        <v>1</v>
      </c>
      <c r="X21" s="735">
        <f t="shared" si="17"/>
        <v>2</v>
      </c>
      <c r="Y21" s="736">
        <v>37</v>
      </c>
      <c r="Z21" s="735">
        <v>39</v>
      </c>
      <c r="AA21" s="105">
        <f t="shared" si="18"/>
        <v>76</v>
      </c>
      <c r="AB21" s="735">
        <f t="shared" si="19"/>
        <v>160064</v>
      </c>
      <c r="AC21" s="735">
        <f t="shared" si="20"/>
        <v>150871</v>
      </c>
      <c r="AD21" s="105">
        <f t="shared" si="21"/>
        <v>310935</v>
      </c>
    </row>
    <row r="22" spans="1:30" ht="18" customHeight="1">
      <c r="A22" s="620" t="s">
        <v>586</v>
      </c>
      <c r="B22" s="1015">
        <v>35529</v>
      </c>
      <c r="C22" s="1016">
        <v>33019</v>
      </c>
      <c r="D22" s="1017">
        <f t="shared" si="11"/>
        <v>68548</v>
      </c>
      <c r="E22" s="1015">
        <v>73345</v>
      </c>
      <c r="F22" s="1016">
        <v>69427</v>
      </c>
      <c r="G22" s="1017">
        <f t="shared" si="12"/>
        <v>142772</v>
      </c>
      <c r="H22" s="1016">
        <v>4</v>
      </c>
      <c r="I22" s="1019" t="s">
        <v>1509</v>
      </c>
      <c r="J22" s="1016">
        <f t="shared" si="13"/>
        <v>4</v>
      </c>
      <c r="K22" s="1015">
        <v>5</v>
      </c>
      <c r="L22" s="1016">
        <v>2</v>
      </c>
      <c r="M22" s="1017">
        <f t="shared" si="14"/>
        <v>7</v>
      </c>
      <c r="N22" s="144"/>
      <c r="O22" s="181" t="s">
        <v>586</v>
      </c>
      <c r="P22" s="735">
        <v>5</v>
      </c>
      <c r="Q22" s="735">
        <v>2</v>
      </c>
      <c r="R22" s="105">
        <f t="shared" si="15"/>
        <v>7</v>
      </c>
      <c r="S22" s="736">
        <v>4</v>
      </c>
      <c r="T22" s="735">
        <v>3</v>
      </c>
      <c r="U22" s="105">
        <f t="shared" si="16"/>
        <v>7</v>
      </c>
      <c r="V22" s="735">
        <v>1</v>
      </c>
      <c r="W22" s="735">
        <v>2</v>
      </c>
      <c r="X22" s="735">
        <f t="shared" si="17"/>
        <v>3</v>
      </c>
      <c r="Y22" s="736">
        <v>28</v>
      </c>
      <c r="Z22" s="735">
        <v>30</v>
      </c>
      <c r="AA22" s="105">
        <f t="shared" si="18"/>
        <v>58</v>
      </c>
      <c r="AB22" s="735">
        <f t="shared" si="19"/>
        <v>108921</v>
      </c>
      <c r="AC22" s="735">
        <f t="shared" si="20"/>
        <v>102485</v>
      </c>
      <c r="AD22" s="105">
        <f t="shared" si="21"/>
        <v>211406</v>
      </c>
    </row>
    <row r="23" spans="1:30" ht="18" customHeight="1">
      <c r="A23" s="620" t="s">
        <v>587</v>
      </c>
      <c r="B23" s="1015">
        <v>76940</v>
      </c>
      <c r="C23" s="1016">
        <v>71418</v>
      </c>
      <c r="D23" s="1017">
        <f t="shared" si="11"/>
        <v>148358</v>
      </c>
      <c r="E23" s="1015">
        <v>69721</v>
      </c>
      <c r="F23" s="1016">
        <v>65933</v>
      </c>
      <c r="G23" s="1017">
        <f t="shared" si="12"/>
        <v>135654</v>
      </c>
      <c r="H23" s="1016">
        <v>95</v>
      </c>
      <c r="I23" s="1016">
        <v>70</v>
      </c>
      <c r="J23" s="1016">
        <f t="shared" si="13"/>
        <v>165</v>
      </c>
      <c r="K23" s="1015">
        <v>34</v>
      </c>
      <c r="L23" s="1016">
        <v>3</v>
      </c>
      <c r="M23" s="1017">
        <f t="shared" si="14"/>
        <v>37</v>
      </c>
      <c r="N23" s="144"/>
      <c r="O23" s="181" t="s">
        <v>587</v>
      </c>
      <c r="P23" s="735">
        <v>3</v>
      </c>
      <c r="Q23" s="735">
        <v>5</v>
      </c>
      <c r="R23" s="105">
        <f t="shared" si="15"/>
        <v>8</v>
      </c>
      <c r="S23" s="1018" t="s">
        <v>1509</v>
      </c>
      <c r="T23" s="1019" t="s">
        <v>1509</v>
      </c>
      <c r="U23" s="1020" t="s">
        <v>1509</v>
      </c>
      <c r="V23" s="1019" t="s">
        <v>1509</v>
      </c>
      <c r="W23" s="735">
        <v>2</v>
      </c>
      <c r="X23" s="735">
        <f t="shared" si="17"/>
        <v>2</v>
      </c>
      <c r="Y23" s="736">
        <v>83</v>
      </c>
      <c r="Z23" s="735">
        <v>69</v>
      </c>
      <c r="AA23" s="105">
        <f t="shared" si="18"/>
        <v>152</v>
      </c>
      <c r="AB23" s="735">
        <f t="shared" si="19"/>
        <v>146876</v>
      </c>
      <c r="AC23" s="735">
        <f t="shared" si="20"/>
        <v>137500</v>
      </c>
      <c r="AD23" s="105">
        <f t="shared" si="21"/>
        <v>284376</v>
      </c>
    </row>
    <row r="24" spans="1:30" ht="18" customHeight="1">
      <c r="A24" s="620" t="s">
        <v>1511</v>
      </c>
      <c r="B24" s="1015">
        <v>28373</v>
      </c>
      <c r="C24" s="1016">
        <v>26556</v>
      </c>
      <c r="D24" s="1017">
        <f t="shared" si="11"/>
        <v>54929</v>
      </c>
      <c r="E24" s="1015">
        <v>4092</v>
      </c>
      <c r="F24" s="1016">
        <v>3862</v>
      </c>
      <c r="G24" s="1017">
        <f t="shared" si="12"/>
        <v>7954</v>
      </c>
      <c r="H24" s="1016">
        <v>7</v>
      </c>
      <c r="I24" s="1016">
        <v>4</v>
      </c>
      <c r="J24" s="1016">
        <f t="shared" si="13"/>
        <v>11</v>
      </c>
      <c r="K24" s="1015">
        <v>21</v>
      </c>
      <c r="L24" s="1016">
        <v>7</v>
      </c>
      <c r="M24" s="1017">
        <f t="shared" si="14"/>
        <v>28</v>
      </c>
      <c r="N24" s="144"/>
      <c r="O24" s="181" t="s">
        <v>1511</v>
      </c>
      <c r="P24" s="735">
        <v>4</v>
      </c>
      <c r="Q24" s="735">
        <v>4</v>
      </c>
      <c r="R24" s="105">
        <f t="shared" si="15"/>
        <v>8</v>
      </c>
      <c r="S24" s="736">
        <v>3</v>
      </c>
      <c r="T24" s="735">
        <v>4</v>
      </c>
      <c r="U24" s="105">
        <f t="shared" si="16"/>
        <v>7</v>
      </c>
      <c r="V24" s="735">
        <v>4</v>
      </c>
      <c r="W24" s="735">
        <v>2</v>
      </c>
      <c r="X24" s="735">
        <f t="shared" si="17"/>
        <v>6</v>
      </c>
      <c r="Y24" s="736">
        <v>7</v>
      </c>
      <c r="Z24" s="735">
        <v>9</v>
      </c>
      <c r="AA24" s="105">
        <f t="shared" si="18"/>
        <v>16</v>
      </c>
      <c r="AB24" s="735">
        <f t="shared" si="19"/>
        <v>32511</v>
      </c>
      <c r="AC24" s="735">
        <f t="shared" si="20"/>
        <v>30448</v>
      </c>
      <c r="AD24" s="105">
        <f t="shared" si="21"/>
        <v>62959</v>
      </c>
    </row>
    <row r="25" spans="1:30" ht="18" customHeight="1">
      <c r="A25" s="620" t="s">
        <v>579</v>
      </c>
      <c r="B25" s="1015">
        <v>73181</v>
      </c>
      <c r="C25" s="1016">
        <v>69561</v>
      </c>
      <c r="D25" s="1017">
        <f t="shared" si="11"/>
        <v>142742</v>
      </c>
      <c r="E25" s="1015">
        <v>9263</v>
      </c>
      <c r="F25" s="1016">
        <v>8681</v>
      </c>
      <c r="G25" s="1017">
        <f t="shared" si="12"/>
        <v>17944</v>
      </c>
      <c r="H25" s="1016">
        <v>210</v>
      </c>
      <c r="I25" s="1016">
        <v>205</v>
      </c>
      <c r="J25" s="1016">
        <f t="shared" si="13"/>
        <v>415</v>
      </c>
      <c r="K25" s="1015">
        <v>22</v>
      </c>
      <c r="L25" s="1016">
        <v>17</v>
      </c>
      <c r="M25" s="1017">
        <f t="shared" si="14"/>
        <v>39</v>
      </c>
      <c r="N25" s="144"/>
      <c r="O25" s="181" t="s">
        <v>579</v>
      </c>
      <c r="P25" s="735">
        <v>28</v>
      </c>
      <c r="Q25" s="735">
        <v>31</v>
      </c>
      <c r="R25" s="105">
        <f t="shared" si="15"/>
        <v>59</v>
      </c>
      <c r="S25" s="736">
        <v>68</v>
      </c>
      <c r="T25" s="735">
        <v>58</v>
      </c>
      <c r="U25" s="105">
        <f t="shared" si="16"/>
        <v>126</v>
      </c>
      <c r="V25" s="735">
        <v>28</v>
      </c>
      <c r="W25" s="735">
        <v>17</v>
      </c>
      <c r="X25" s="735">
        <f t="shared" si="17"/>
        <v>45</v>
      </c>
      <c r="Y25" s="736">
        <v>45</v>
      </c>
      <c r="Z25" s="735">
        <v>41</v>
      </c>
      <c r="AA25" s="105">
        <f>SUM(Y25:Z25)</f>
        <v>86</v>
      </c>
      <c r="AB25" s="735">
        <f t="shared" si="19"/>
        <v>82845</v>
      </c>
      <c r="AC25" s="735">
        <f t="shared" si="20"/>
        <v>78611</v>
      </c>
      <c r="AD25" s="105">
        <f t="shared" si="21"/>
        <v>161456</v>
      </c>
    </row>
    <row r="26" spans="1:30" s="618" customFormat="1" ht="18" customHeight="1">
      <c r="A26" s="622" t="s">
        <v>921</v>
      </c>
      <c r="B26" s="747">
        <f t="shared" ref="B26:M26" si="22">SUM(B7,B14)</f>
        <v>834023</v>
      </c>
      <c r="C26" s="748">
        <f t="shared" si="22"/>
        <v>787445</v>
      </c>
      <c r="D26" s="749">
        <f t="shared" si="22"/>
        <v>1621468</v>
      </c>
      <c r="E26" s="747">
        <f t="shared" si="22"/>
        <v>839102</v>
      </c>
      <c r="F26" s="748">
        <f t="shared" si="22"/>
        <v>797069</v>
      </c>
      <c r="G26" s="749">
        <f t="shared" si="22"/>
        <v>1636171</v>
      </c>
      <c r="H26" s="748">
        <f t="shared" si="22"/>
        <v>4087</v>
      </c>
      <c r="I26" s="748">
        <f t="shared" si="22"/>
        <v>4301</v>
      </c>
      <c r="J26" s="748">
        <f t="shared" si="22"/>
        <v>8388</v>
      </c>
      <c r="K26" s="747">
        <f t="shared" si="22"/>
        <v>207</v>
      </c>
      <c r="L26" s="748">
        <f t="shared" si="22"/>
        <v>76</v>
      </c>
      <c r="M26" s="749">
        <f t="shared" si="22"/>
        <v>283</v>
      </c>
      <c r="N26" s="623"/>
      <c r="O26" s="624" t="s">
        <v>921</v>
      </c>
      <c r="P26" s="756">
        <f t="shared" ref="P26:AD26" si="23">SUM(P7,P14)</f>
        <v>86</v>
      </c>
      <c r="Q26" s="756">
        <f t="shared" si="23"/>
        <v>78</v>
      </c>
      <c r="R26" s="757">
        <f t="shared" si="23"/>
        <v>164</v>
      </c>
      <c r="S26" s="758">
        <f t="shared" si="23"/>
        <v>163</v>
      </c>
      <c r="T26" s="756">
        <f t="shared" si="23"/>
        <v>130</v>
      </c>
      <c r="U26" s="757">
        <f t="shared" si="23"/>
        <v>293</v>
      </c>
      <c r="V26" s="756">
        <f t="shared" si="23"/>
        <v>11021</v>
      </c>
      <c r="W26" s="756">
        <f t="shared" si="23"/>
        <v>11329</v>
      </c>
      <c r="X26" s="756">
        <f t="shared" si="23"/>
        <v>22350</v>
      </c>
      <c r="Y26" s="758">
        <f t="shared" si="23"/>
        <v>717</v>
      </c>
      <c r="Z26" s="756">
        <f t="shared" si="23"/>
        <v>634</v>
      </c>
      <c r="AA26" s="757">
        <f t="shared" si="23"/>
        <v>1351</v>
      </c>
      <c r="AB26" s="756">
        <f t="shared" si="23"/>
        <v>1689406</v>
      </c>
      <c r="AC26" s="756">
        <f t="shared" si="23"/>
        <v>1601062</v>
      </c>
      <c r="AD26" s="757">
        <f t="shared" si="23"/>
        <v>3290468</v>
      </c>
    </row>
    <row r="27" spans="1:30" ht="17.25" customHeight="1">
      <c r="A27" s="17"/>
      <c r="F27" s="7"/>
      <c r="G27" s="625"/>
      <c r="H27" s="625"/>
      <c r="I27" s="625"/>
      <c r="J27" s="625"/>
      <c r="M27" s="966" t="s">
        <v>216</v>
      </c>
      <c r="AD27" s="900" t="s">
        <v>1528</v>
      </c>
    </row>
  </sheetData>
  <mergeCells count="14">
    <mergeCell ref="O2:AD2"/>
    <mergeCell ref="A1:M1"/>
    <mergeCell ref="A2:M2"/>
    <mergeCell ref="A4:A5"/>
    <mergeCell ref="B4:D4"/>
    <mergeCell ref="E4:G4"/>
    <mergeCell ref="H4:J4"/>
    <mergeCell ref="V4:X4"/>
    <mergeCell ref="Y4:AA4"/>
    <mergeCell ref="AB4:AD4"/>
    <mergeCell ref="K4:M4"/>
    <mergeCell ref="P4:R4"/>
    <mergeCell ref="O4:O5"/>
    <mergeCell ref="S4:U4"/>
  </mergeCells>
  <phoneticPr fontId="0" type="noConversion"/>
  <printOptions horizontalCentered="1"/>
  <pageMargins left="0.2" right="0.2" top="0.81" bottom="0.5" header="0.5" footer="0.5"/>
  <pageSetup paperSize="9" orientation="landscape" blackAndWhite="1" horizontalDpi="4294967295" r:id="rId1"/>
  <headerFooter alignWithMargins="0"/>
  <colBreaks count="1" manualBreakCount="1">
    <brk id="13" max="1048575" man="1"/>
  </colBreaks>
</worksheet>
</file>

<file path=xl/worksheets/sheet2.xml><?xml version="1.0" encoding="utf-8"?>
<worksheet xmlns="http://schemas.openxmlformats.org/spreadsheetml/2006/main" xmlns:r="http://schemas.openxmlformats.org/officeDocument/2006/relationships">
  <sheetPr codeName="Sheet4"/>
  <dimension ref="A3:J38"/>
  <sheetViews>
    <sheetView showGridLines="0" workbookViewId="0">
      <selection activeCell="M5" sqref="M5"/>
    </sheetView>
  </sheetViews>
  <sheetFormatPr defaultRowHeight="12.75"/>
  <sheetData>
    <row r="3" spans="1:10" ht="35.25">
      <c r="A3" s="1321" t="s">
        <v>1530</v>
      </c>
      <c r="B3" s="1321"/>
      <c r="C3" s="1321"/>
      <c r="D3" s="1321"/>
      <c r="E3" s="1321"/>
      <c r="F3" s="1321"/>
      <c r="G3" s="1321"/>
      <c r="H3" s="1321"/>
      <c r="I3" s="1321"/>
      <c r="J3" s="334"/>
    </row>
    <row r="4" spans="1:10" ht="15.75">
      <c r="J4" s="335"/>
    </row>
    <row r="8" spans="1:10" ht="45">
      <c r="A8" s="1323" t="str">
        <f>District!A1</f>
        <v>Malda</v>
      </c>
      <c r="B8" s="1323"/>
      <c r="C8" s="1323"/>
      <c r="D8" s="1323"/>
      <c r="E8" s="1323"/>
      <c r="F8" s="1323"/>
      <c r="G8" s="1323"/>
      <c r="H8" s="1323"/>
      <c r="I8" s="1323"/>
    </row>
    <row r="13" spans="1:10" ht="35.25">
      <c r="A13" s="1322">
        <f>District!B6</f>
        <v>2014</v>
      </c>
      <c r="B13" s="1322"/>
      <c r="C13" s="1322"/>
      <c r="D13" s="1322"/>
      <c r="E13" s="1322"/>
      <c r="F13" s="1322"/>
      <c r="G13" s="1322"/>
      <c r="H13" s="1322"/>
      <c r="I13" s="1322"/>
    </row>
    <row r="36" spans="1:9" ht="20.25">
      <c r="A36" s="1317" t="s">
        <v>995</v>
      </c>
      <c r="B36" s="1317"/>
      <c r="C36" s="1317"/>
      <c r="D36" s="1317"/>
      <c r="E36" s="1317"/>
      <c r="F36" s="1317"/>
      <c r="G36" s="1317"/>
      <c r="H36" s="1317"/>
      <c r="I36" s="1317"/>
    </row>
    <row r="37" spans="1:9" ht="20.25" customHeight="1">
      <c r="A37" s="1320" t="s">
        <v>949</v>
      </c>
      <c r="B37" s="1320"/>
      <c r="C37" s="1320"/>
      <c r="D37" s="1320"/>
      <c r="E37" s="1320"/>
      <c r="F37" s="1320"/>
      <c r="G37" s="1320"/>
      <c r="H37" s="1320"/>
      <c r="I37" s="1320"/>
    </row>
    <row r="38" spans="1:9" ht="23.25">
      <c r="A38" s="1318" t="s">
        <v>996</v>
      </c>
      <c r="B38" s="1318"/>
      <c r="C38" s="1318"/>
      <c r="D38" s="1318"/>
      <c r="E38" s="1318"/>
      <c r="F38" s="1318"/>
      <c r="G38" s="1318"/>
      <c r="H38" s="1318"/>
      <c r="I38" s="1318"/>
    </row>
  </sheetData>
  <mergeCells count="6">
    <mergeCell ref="A37:I37"/>
    <mergeCell ref="A38:I38"/>
    <mergeCell ref="A3:I3"/>
    <mergeCell ref="A13:I13"/>
    <mergeCell ref="A8:I8"/>
    <mergeCell ref="A36:I36"/>
  </mergeCells>
  <phoneticPr fontId="0" type="noConversion"/>
  <printOptions horizontalCentered="1"/>
  <pageMargins left="0.1" right="0.1" top="1" bottom="1" header="0.5" footer="0.5"/>
  <pageSetup paperSize="9" orientation="portrait" horizontalDpi="4294967295" r:id="rId1"/>
  <headerFooter alignWithMargins="0"/>
</worksheet>
</file>

<file path=xl/worksheets/sheet20.xml><?xml version="1.0" encoding="utf-8"?>
<worksheet xmlns="http://schemas.openxmlformats.org/spreadsheetml/2006/main" xmlns:r="http://schemas.openxmlformats.org/officeDocument/2006/relationships">
  <sheetPr codeName="Sheet20"/>
  <dimension ref="A1:K25"/>
  <sheetViews>
    <sheetView workbookViewId="0">
      <selection activeCell="M5" sqref="M5"/>
    </sheetView>
  </sheetViews>
  <sheetFormatPr defaultRowHeight="12.75"/>
  <cols>
    <col min="1" max="1" width="21.5703125" customWidth="1"/>
    <col min="2" max="10" width="11.7109375" customWidth="1"/>
  </cols>
  <sheetData>
    <row r="1" spans="1:10" ht="14.25" customHeight="1">
      <c r="A1" s="1363" t="s">
        <v>1351</v>
      </c>
      <c r="B1" s="1363"/>
      <c r="C1" s="1363"/>
      <c r="D1" s="1363"/>
      <c r="E1" s="1363"/>
      <c r="F1" s="1363"/>
      <c r="G1" s="1363"/>
      <c r="H1" s="1363"/>
      <c r="I1" s="1363"/>
      <c r="J1" s="1363"/>
    </row>
    <row r="2" spans="1:10" ht="22.5" customHeight="1">
      <c r="A2" s="1477" t="str">
        <f>CONCATENATE("Disabled Persons by type of disability and by sex in the district of ",District!$A$1,", 2011")</f>
        <v>Disabled Persons by type of disability and by sex in the district of Malda, 2011</v>
      </c>
      <c r="B2" s="1477"/>
      <c r="C2" s="1477"/>
      <c r="D2" s="1477"/>
      <c r="E2" s="1477"/>
      <c r="F2" s="1477"/>
      <c r="G2" s="1477"/>
      <c r="H2" s="1477"/>
      <c r="I2" s="1477"/>
      <c r="J2" s="1477"/>
    </row>
    <row r="3" spans="1:10" ht="15.75" customHeight="1">
      <c r="B3" s="7"/>
      <c r="C3" s="7"/>
      <c r="D3" s="7"/>
      <c r="E3" s="7"/>
      <c r="F3" s="7"/>
      <c r="G3" s="7"/>
      <c r="H3" s="7"/>
      <c r="I3" s="7"/>
      <c r="J3" s="170" t="s">
        <v>1253</v>
      </c>
    </row>
    <row r="4" spans="1:10" ht="22.5" customHeight="1">
      <c r="A4" s="1346" t="s">
        <v>1529</v>
      </c>
      <c r="B4" s="1356" t="s">
        <v>1268</v>
      </c>
      <c r="C4" s="1357"/>
      <c r="D4" s="1358"/>
      <c r="E4" s="1356" t="s">
        <v>1267</v>
      </c>
      <c r="F4" s="1357"/>
      <c r="G4" s="1358"/>
      <c r="H4" s="1357" t="s">
        <v>1233</v>
      </c>
      <c r="I4" s="1357"/>
      <c r="J4" s="1358"/>
    </row>
    <row r="5" spans="1:10" ht="22.5" customHeight="1">
      <c r="A5" s="1347"/>
      <c r="B5" s="263" t="s">
        <v>1265</v>
      </c>
      <c r="C5" s="296" t="s">
        <v>1266</v>
      </c>
      <c r="D5" s="298" t="s">
        <v>1233</v>
      </c>
      <c r="E5" s="263" t="s">
        <v>1265</v>
      </c>
      <c r="F5" s="296" t="s">
        <v>1266</v>
      </c>
      <c r="G5" s="298" t="s">
        <v>1233</v>
      </c>
      <c r="H5" s="296" t="s">
        <v>1265</v>
      </c>
      <c r="I5" s="296" t="s">
        <v>1266</v>
      </c>
      <c r="J5" s="298" t="s">
        <v>1233</v>
      </c>
    </row>
    <row r="6" spans="1:10" ht="17.25" customHeight="1">
      <c r="A6" s="327" t="s">
        <v>1208</v>
      </c>
      <c r="B6" s="331" t="s">
        <v>1209</v>
      </c>
      <c r="C6" s="328" t="s">
        <v>1210</v>
      </c>
      <c r="D6" s="329" t="s">
        <v>1211</v>
      </c>
      <c r="E6" s="331" t="s">
        <v>1212</v>
      </c>
      <c r="F6" s="328" t="s">
        <v>1213</v>
      </c>
      <c r="G6" s="329" t="s">
        <v>1214</v>
      </c>
      <c r="H6" s="328" t="s">
        <v>1244</v>
      </c>
      <c r="I6" s="328" t="s">
        <v>1245</v>
      </c>
      <c r="J6" s="329" t="s">
        <v>1246</v>
      </c>
    </row>
    <row r="7" spans="1:10" ht="36" customHeight="1">
      <c r="A7" s="180" t="s">
        <v>1337</v>
      </c>
      <c r="B7" s="1229">
        <v>8908</v>
      </c>
      <c r="C7" s="1228">
        <v>8006</v>
      </c>
      <c r="D7" s="98">
        <f t="shared" ref="D7:D14" si="0">SUM(B7:C7)</f>
        <v>16914</v>
      </c>
      <c r="E7" s="1229">
        <v>1591</v>
      </c>
      <c r="F7" s="1228">
        <v>1500</v>
      </c>
      <c r="G7" s="98">
        <f t="shared" ref="G7:G14" si="1">SUM(E7:F7)</f>
        <v>3091</v>
      </c>
      <c r="H7" s="41">
        <f t="shared" ref="H7:I14" si="2">SUM(B7,E7)</f>
        <v>10499</v>
      </c>
      <c r="I7" s="41">
        <f t="shared" si="2"/>
        <v>9506</v>
      </c>
      <c r="J7" s="98">
        <f t="shared" ref="J7:J14" si="3">SUM(H7:I7)</f>
        <v>20005</v>
      </c>
    </row>
    <row r="8" spans="1:10" ht="36" customHeight="1">
      <c r="A8" s="181" t="s">
        <v>1338</v>
      </c>
      <c r="B8" s="1229">
        <v>2691</v>
      </c>
      <c r="C8" s="1228">
        <v>2144</v>
      </c>
      <c r="D8" s="98">
        <f t="shared" si="0"/>
        <v>4835</v>
      </c>
      <c r="E8" s="1229">
        <v>464</v>
      </c>
      <c r="F8" s="1228">
        <v>379</v>
      </c>
      <c r="G8" s="98">
        <f t="shared" si="1"/>
        <v>843</v>
      </c>
      <c r="H8" s="41">
        <f t="shared" si="2"/>
        <v>3155</v>
      </c>
      <c r="I8" s="41">
        <f t="shared" si="2"/>
        <v>2523</v>
      </c>
      <c r="J8" s="98">
        <f t="shared" si="3"/>
        <v>5678</v>
      </c>
    </row>
    <row r="9" spans="1:10" ht="36" customHeight="1">
      <c r="A9" s="181" t="s">
        <v>1339</v>
      </c>
      <c r="B9" s="1229">
        <v>5977</v>
      </c>
      <c r="C9" s="1228">
        <v>5454</v>
      </c>
      <c r="D9" s="98">
        <f t="shared" si="0"/>
        <v>11431</v>
      </c>
      <c r="E9" s="1229">
        <v>1286</v>
      </c>
      <c r="F9" s="1228">
        <v>914</v>
      </c>
      <c r="G9" s="98">
        <f t="shared" si="1"/>
        <v>2200</v>
      </c>
      <c r="H9" s="41">
        <f t="shared" si="2"/>
        <v>7263</v>
      </c>
      <c r="I9" s="41">
        <f t="shared" si="2"/>
        <v>6368</v>
      </c>
      <c r="J9" s="98">
        <f t="shared" si="3"/>
        <v>13631</v>
      </c>
    </row>
    <row r="10" spans="1:10" ht="36" customHeight="1">
      <c r="A10" s="181" t="s">
        <v>1340</v>
      </c>
      <c r="B10" s="1229">
        <v>7128</v>
      </c>
      <c r="C10" s="1228">
        <v>4160</v>
      </c>
      <c r="D10" s="98">
        <f t="shared" si="0"/>
        <v>11288</v>
      </c>
      <c r="E10" s="1229">
        <v>967</v>
      </c>
      <c r="F10" s="1228">
        <v>565</v>
      </c>
      <c r="G10" s="98">
        <f t="shared" si="1"/>
        <v>1532</v>
      </c>
      <c r="H10" s="41">
        <f t="shared" si="2"/>
        <v>8095</v>
      </c>
      <c r="I10" s="41">
        <f t="shared" si="2"/>
        <v>4725</v>
      </c>
      <c r="J10" s="98">
        <f t="shared" si="3"/>
        <v>12820</v>
      </c>
    </row>
    <row r="11" spans="1:10" ht="36" customHeight="1">
      <c r="A11" s="181" t="s">
        <v>895</v>
      </c>
      <c r="B11" s="1229">
        <v>1290</v>
      </c>
      <c r="C11" s="1228">
        <v>1101</v>
      </c>
      <c r="D11" s="98">
        <f t="shared" si="0"/>
        <v>2391</v>
      </c>
      <c r="E11" s="1229">
        <v>241</v>
      </c>
      <c r="F11" s="1228">
        <v>174</v>
      </c>
      <c r="G11" s="98">
        <f t="shared" si="1"/>
        <v>415</v>
      </c>
      <c r="H11" s="41">
        <f t="shared" si="2"/>
        <v>1531</v>
      </c>
      <c r="I11" s="41">
        <f t="shared" si="2"/>
        <v>1275</v>
      </c>
      <c r="J11" s="98">
        <f t="shared" si="3"/>
        <v>2806</v>
      </c>
    </row>
    <row r="12" spans="1:10" ht="36" customHeight="1">
      <c r="A12" s="181" t="s">
        <v>896</v>
      </c>
      <c r="B12" s="1229">
        <v>2660</v>
      </c>
      <c r="C12" s="1228">
        <v>2340</v>
      </c>
      <c r="D12" s="98">
        <f t="shared" si="0"/>
        <v>5000</v>
      </c>
      <c r="E12" s="1229">
        <v>462</v>
      </c>
      <c r="F12" s="1228">
        <v>358</v>
      </c>
      <c r="G12" s="98">
        <f t="shared" si="1"/>
        <v>820</v>
      </c>
      <c r="H12" s="41">
        <f t="shared" si="2"/>
        <v>3122</v>
      </c>
      <c r="I12" s="41">
        <f t="shared" si="2"/>
        <v>2698</v>
      </c>
      <c r="J12" s="98">
        <f t="shared" si="3"/>
        <v>5820</v>
      </c>
    </row>
    <row r="13" spans="1:10" ht="36" customHeight="1">
      <c r="A13" s="181" t="s">
        <v>897</v>
      </c>
      <c r="B13" s="1229">
        <v>7666</v>
      </c>
      <c r="C13" s="1228">
        <v>5812</v>
      </c>
      <c r="D13" s="98">
        <f t="shared" si="0"/>
        <v>13478</v>
      </c>
      <c r="E13" s="1229">
        <v>1167</v>
      </c>
      <c r="F13" s="1228">
        <v>883</v>
      </c>
      <c r="G13" s="98">
        <f t="shared" si="1"/>
        <v>2050</v>
      </c>
      <c r="H13" s="41">
        <f t="shared" si="2"/>
        <v>8833</v>
      </c>
      <c r="I13" s="41">
        <f t="shared" si="2"/>
        <v>6695</v>
      </c>
      <c r="J13" s="98">
        <f t="shared" si="3"/>
        <v>15528</v>
      </c>
    </row>
    <row r="14" spans="1:10" ht="36" customHeight="1">
      <c r="A14" s="357" t="s">
        <v>898</v>
      </c>
      <c r="B14" s="1232">
        <v>3803</v>
      </c>
      <c r="C14" s="1233">
        <v>3240</v>
      </c>
      <c r="D14" s="94">
        <f t="shared" si="0"/>
        <v>7043</v>
      </c>
      <c r="E14" s="1232">
        <v>472</v>
      </c>
      <c r="F14" s="1233">
        <v>355</v>
      </c>
      <c r="G14" s="94">
        <f t="shared" si="1"/>
        <v>827</v>
      </c>
      <c r="H14" s="29">
        <f t="shared" si="2"/>
        <v>4275</v>
      </c>
      <c r="I14" s="29">
        <f t="shared" si="2"/>
        <v>3595</v>
      </c>
      <c r="J14" s="94">
        <f t="shared" si="3"/>
        <v>7870</v>
      </c>
    </row>
    <row r="15" spans="1:10" ht="36" customHeight="1">
      <c r="A15" s="1231" t="s">
        <v>1516</v>
      </c>
      <c r="B15" s="1230">
        <f t="shared" ref="B15:J15" si="4">SUM(B7:B14)</f>
        <v>40123</v>
      </c>
      <c r="C15" s="318">
        <f t="shared" si="4"/>
        <v>32257</v>
      </c>
      <c r="D15" s="490">
        <f t="shared" si="4"/>
        <v>72380</v>
      </c>
      <c r="E15" s="1230">
        <f t="shared" si="4"/>
        <v>6650</v>
      </c>
      <c r="F15" s="318">
        <f t="shared" si="4"/>
        <v>5128</v>
      </c>
      <c r="G15" s="490">
        <f t="shared" si="4"/>
        <v>11778</v>
      </c>
      <c r="H15" s="318">
        <f t="shared" si="4"/>
        <v>46773</v>
      </c>
      <c r="I15" s="318">
        <f t="shared" si="4"/>
        <v>37385</v>
      </c>
      <c r="J15" s="490">
        <f t="shared" si="4"/>
        <v>84158</v>
      </c>
    </row>
    <row r="16" spans="1:10">
      <c r="A16" s="17"/>
      <c r="G16" s="1479" t="s">
        <v>868</v>
      </c>
      <c r="H16" s="1479"/>
      <c r="I16" s="1479"/>
      <c r="J16" s="1479"/>
    </row>
    <row r="17" spans="1:11">
      <c r="A17" s="17"/>
    </row>
    <row r="25" spans="1:11">
      <c r="K25" s="1"/>
    </row>
  </sheetData>
  <mergeCells count="7">
    <mergeCell ref="A1:J1"/>
    <mergeCell ref="H4:J4"/>
    <mergeCell ref="G16:J16"/>
    <mergeCell ref="A2:J2"/>
    <mergeCell ref="A4:A5"/>
    <mergeCell ref="B4:D4"/>
    <mergeCell ref="E4:G4"/>
  </mergeCells>
  <phoneticPr fontId="0" type="noConversion"/>
  <printOptions horizontalCentered="1"/>
  <pageMargins left="0.1" right="0.1" top="0.87" bottom="0.1" header="0.63" footer="0.1"/>
  <pageSetup paperSize="9" orientation="landscape" blackAndWhite="1" horizontalDpi="4294967295" verticalDpi="144" r:id="rId1"/>
  <headerFooter alignWithMargins="0"/>
</worksheet>
</file>

<file path=xl/worksheets/sheet21.xml><?xml version="1.0" encoding="utf-8"?>
<worksheet xmlns="http://schemas.openxmlformats.org/spreadsheetml/2006/main" xmlns:r="http://schemas.openxmlformats.org/officeDocument/2006/relationships">
  <sheetPr codeName="Sheet23"/>
  <dimension ref="A1:L39"/>
  <sheetViews>
    <sheetView workbookViewId="0">
      <selection activeCell="M5" sqref="M5"/>
    </sheetView>
  </sheetViews>
  <sheetFormatPr defaultRowHeight="12.75"/>
  <cols>
    <col min="1" max="1" width="22" style="51" customWidth="1"/>
    <col min="2" max="2" width="9.5703125" style="51" customWidth="1"/>
    <col min="3" max="3" width="8.5703125" style="51" customWidth="1"/>
    <col min="4" max="4" width="12.7109375" style="51" customWidth="1"/>
    <col min="5" max="5" width="8.7109375" style="51" customWidth="1"/>
    <col min="6" max="6" width="17" style="51" customWidth="1"/>
    <col min="7" max="7" width="6.5703125" style="51" customWidth="1"/>
    <col min="8" max="8" width="12.5703125" style="51" customWidth="1"/>
    <col min="9" max="9" width="12" style="51" customWidth="1"/>
    <col min="10" max="10" width="8" style="51" customWidth="1"/>
    <col min="11" max="11" width="8.85546875" style="51" customWidth="1"/>
    <col min="12" max="12" width="9" style="51" customWidth="1"/>
    <col min="13" max="16384" width="9.140625" style="51"/>
  </cols>
  <sheetData>
    <row r="1" spans="1:12" ht="12" customHeight="1">
      <c r="A1" s="1507" t="s">
        <v>1352</v>
      </c>
      <c r="B1" s="1507"/>
      <c r="C1" s="1507"/>
      <c r="D1" s="1507"/>
      <c r="E1" s="1507"/>
      <c r="F1" s="1507"/>
      <c r="G1" s="1507"/>
      <c r="H1" s="1507"/>
      <c r="I1" s="1507"/>
      <c r="J1" s="1507"/>
      <c r="K1" s="1507"/>
      <c r="L1" s="1507"/>
    </row>
    <row r="2" spans="1:12" ht="15.95" customHeight="1">
      <c r="A2" s="1508" t="str">
        <f>CONCATENATE("Medical Facilities available in the district of ",District!$A$1)</f>
        <v>Medical Facilities available in the district of Malda</v>
      </c>
      <c r="B2" s="1508"/>
      <c r="C2" s="1508"/>
      <c r="D2" s="1508"/>
      <c r="E2" s="1508"/>
      <c r="F2" s="1508"/>
      <c r="G2" s="1508"/>
      <c r="H2" s="1508"/>
      <c r="I2" s="1508"/>
      <c r="J2" s="1508"/>
      <c r="K2" s="1508"/>
      <c r="L2" s="1508"/>
    </row>
    <row r="3" spans="1:12" ht="15" customHeight="1">
      <c r="A3"/>
      <c r="B3" s="7"/>
      <c r="C3" s="7"/>
      <c r="D3" s="7"/>
      <c r="E3" s="7"/>
      <c r="F3" s="7"/>
      <c r="G3" s="7"/>
      <c r="H3" s="7"/>
      <c r="I3" s="7"/>
      <c r="J3" s="7"/>
      <c r="K3" s="7"/>
      <c r="L3" s="636" t="s">
        <v>1253</v>
      </c>
    </row>
    <row r="4" spans="1:12" ht="14.25" customHeight="1">
      <c r="A4" s="1504" t="s">
        <v>1089</v>
      </c>
      <c r="B4" s="1509" t="s">
        <v>534</v>
      </c>
      <c r="C4" s="1510"/>
      <c r="D4" s="1510"/>
      <c r="E4" s="1510"/>
      <c r="F4" s="1510"/>
      <c r="G4" s="1510"/>
      <c r="H4" s="1510"/>
      <c r="I4" s="1510"/>
      <c r="J4" s="1510"/>
      <c r="K4" s="1500" t="s">
        <v>1292</v>
      </c>
      <c r="L4" s="1500" t="s">
        <v>204</v>
      </c>
    </row>
    <row r="5" spans="1:12" ht="14.25" customHeight="1">
      <c r="A5" s="1505"/>
      <c r="B5" s="1515" t="s">
        <v>15</v>
      </c>
      <c r="C5" s="1516"/>
      <c r="D5" s="1516"/>
      <c r="E5" s="1516"/>
      <c r="F5" s="1503" t="s">
        <v>1636</v>
      </c>
      <c r="G5" s="1503" t="s">
        <v>535</v>
      </c>
      <c r="H5" s="1503" t="s">
        <v>1009</v>
      </c>
      <c r="I5" s="1503" t="s">
        <v>648</v>
      </c>
      <c r="J5" s="1514" t="s">
        <v>1233</v>
      </c>
      <c r="K5" s="1501"/>
      <c r="L5" s="1501"/>
    </row>
    <row r="6" spans="1:12" ht="37.5" customHeight="1">
      <c r="A6" s="1506"/>
      <c r="B6" s="514" t="s">
        <v>366</v>
      </c>
      <c r="C6" s="909" t="s">
        <v>536</v>
      </c>
      <c r="D6" s="909" t="s">
        <v>203</v>
      </c>
      <c r="E6" s="909" t="s">
        <v>537</v>
      </c>
      <c r="F6" s="1503"/>
      <c r="G6" s="1503"/>
      <c r="H6" s="1503"/>
      <c r="I6" s="1503"/>
      <c r="J6" s="1514"/>
      <c r="K6" s="1502"/>
      <c r="L6" s="1502"/>
    </row>
    <row r="7" spans="1:12" ht="15" customHeight="1">
      <c r="A7" s="637" t="s">
        <v>1208</v>
      </c>
      <c r="B7" s="637" t="s">
        <v>1209</v>
      </c>
      <c r="C7" s="637" t="s">
        <v>1210</v>
      </c>
      <c r="D7" s="637" t="s">
        <v>1211</v>
      </c>
      <c r="E7" s="638" t="s">
        <v>1212</v>
      </c>
      <c r="F7" s="637" t="s">
        <v>1213</v>
      </c>
      <c r="G7" s="637" t="s">
        <v>1214</v>
      </c>
      <c r="H7" s="637" t="s">
        <v>1244</v>
      </c>
      <c r="I7" s="637" t="s">
        <v>1245</v>
      </c>
      <c r="J7" s="637" t="s">
        <v>1246</v>
      </c>
      <c r="K7" s="637" t="s">
        <v>1247</v>
      </c>
      <c r="L7" s="637" t="s">
        <v>1271</v>
      </c>
    </row>
    <row r="8" spans="1:12" ht="12.75" customHeight="1">
      <c r="A8" s="251">
        <v>2010</v>
      </c>
      <c r="B8" s="642">
        <v>3</v>
      </c>
      <c r="C8" s="642">
        <v>6</v>
      </c>
      <c r="D8" s="643">
        <v>10</v>
      </c>
      <c r="E8" s="642">
        <v>35</v>
      </c>
      <c r="F8" s="644">
        <v>1</v>
      </c>
      <c r="G8" s="642" t="s">
        <v>1509</v>
      </c>
      <c r="H8" s="642">
        <v>1</v>
      </c>
      <c r="I8" s="642">
        <v>20</v>
      </c>
      <c r="J8" s="642">
        <v>76</v>
      </c>
      <c r="K8" s="642">
        <v>2032</v>
      </c>
      <c r="L8" s="642">
        <v>187</v>
      </c>
    </row>
    <row r="9" spans="1:12" ht="12.75" customHeight="1">
      <c r="A9" s="180">
        <v>2011</v>
      </c>
      <c r="B9" s="1078">
        <v>3</v>
      </c>
      <c r="C9" s="1078">
        <v>6</v>
      </c>
      <c r="D9" s="888">
        <v>10</v>
      </c>
      <c r="E9" s="1078">
        <v>35</v>
      </c>
      <c r="F9" s="1087">
        <v>1</v>
      </c>
      <c r="G9" s="1088" t="s">
        <v>1509</v>
      </c>
      <c r="H9" s="1078">
        <v>1</v>
      </c>
      <c r="I9" s="1078">
        <v>20</v>
      </c>
      <c r="J9" s="132">
        <v>76</v>
      </c>
      <c r="K9" s="1078">
        <v>2072</v>
      </c>
      <c r="L9" s="1078">
        <v>269</v>
      </c>
    </row>
    <row r="10" spans="1:12" ht="12.75" customHeight="1">
      <c r="A10" s="180">
        <v>2012</v>
      </c>
      <c r="B10" s="290">
        <v>3</v>
      </c>
      <c r="C10" s="374">
        <v>6</v>
      </c>
      <c r="D10" s="374">
        <v>10</v>
      </c>
      <c r="E10" s="374">
        <v>35</v>
      </c>
      <c r="F10" s="374">
        <v>1</v>
      </c>
      <c r="G10" s="376" t="s">
        <v>1509</v>
      </c>
      <c r="H10" s="374">
        <v>1</v>
      </c>
      <c r="I10" s="374">
        <v>24</v>
      </c>
      <c r="J10" s="132">
        <v>80</v>
      </c>
      <c r="K10" s="374">
        <v>2112</v>
      </c>
      <c r="L10" s="132">
        <v>404</v>
      </c>
    </row>
    <row r="11" spans="1:12" ht="12.75" customHeight="1">
      <c r="A11" s="180">
        <v>2013</v>
      </c>
      <c r="B11" s="132">
        <v>3</v>
      </c>
      <c r="C11" s="132">
        <v>6</v>
      </c>
      <c r="D11" s="374">
        <v>10</v>
      </c>
      <c r="E11" s="132">
        <v>35</v>
      </c>
      <c r="F11" s="362">
        <v>1</v>
      </c>
      <c r="G11" s="375" t="s">
        <v>1509</v>
      </c>
      <c r="H11" s="132">
        <v>1</v>
      </c>
      <c r="I11" s="132">
        <v>24</v>
      </c>
      <c r="J11" s="132">
        <v>80</v>
      </c>
      <c r="K11" s="132">
        <v>2125</v>
      </c>
      <c r="L11" s="132">
        <v>412</v>
      </c>
    </row>
    <row r="12" spans="1:12" ht="12.75" customHeight="1">
      <c r="A12" s="759">
        <v>2014</v>
      </c>
      <c r="B12" s="142">
        <f>IF(SUM(B14,B21)=0,"-",SUM(B14,B21))</f>
        <v>2</v>
      </c>
      <c r="C12" s="133">
        <f t="shared" ref="C12:L12" si="0">IF(SUM(C14,C21)=0,"-",SUM(C14,C21))</f>
        <v>12</v>
      </c>
      <c r="D12" s="133">
        <f t="shared" si="0"/>
        <v>4</v>
      </c>
      <c r="E12" s="133">
        <f t="shared" si="0"/>
        <v>34</v>
      </c>
      <c r="F12" s="133">
        <f t="shared" si="0"/>
        <v>2</v>
      </c>
      <c r="G12" s="133">
        <f t="shared" si="0"/>
        <v>1</v>
      </c>
      <c r="H12" s="133">
        <f t="shared" si="0"/>
        <v>7</v>
      </c>
      <c r="I12" s="133">
        <f t="shared" si="0"/>
        <v>29</v>
      </c>
      <c r="J12" s="133">
        <f t="shared" si="0"/>
        <v>91</v>
      </c>
      <c r="K12" s="133">
        <f t="shared" si="0"/>
        <v>2652</v>
      </c>
      <c r="L12" s="133">
        <f t="shared" si="0"/>
        <v>374</v>
      </c>
    </row>
    <row r="13" spans="1:12" ht="27" customHeight="1">
      <c r="A13" s="680" t="s">
        <v>854</v>
      </c>
      <c r="B13" s="1511" t="str">
        <f>"Year :  "   &amp;     A12</f>
        <v>Year :  2014</v>
      </c>
      <c r="C13" s="1512"/>
      <c r="D13" s="1512"/>
      <c r="E13" s="1512"/>
      <c r="F13" s="1512"/>
      <c r="G13" s="1512"/>
      <c r="H13" s="1512"/>
      <c r="I13" s="1512"/>
      <c r="J13" s="1512"/>
      <c r="K13" s="1512"/>
      <c r="L13" s="1513"/>
    </row>
    <row r="14" spans="1:12" ht="13.5" customHeight="1">
      <c r="A14" s="409" t="s">
        <v>1155</v>
      </c>
      <c r="B14" s="645">
        <f t="shared" ref="B14:L14" si="1">IF(SUM(B15:B20)=0,"-",SUM(B15:B20))</f>
        <v>1</v>
      </c>
      <c r="C14" s="645">
        <f t="shared" si="1"/>
        <v>3</v>
      </c>
      <c r="D14" s="645">
        <f t="shared" si="1"/>
        <v>3</v>
      </c>
      <c r="E14" s="645">
        <f t="shared" si="1"/>
        <v>13</v>
      </c>
      <c r="F14" s="645" t="str">
        <f t="shared" si="1"/>
        <v>-</v>
      </c>
      <c r="G14" s="645" t="str">
        <f t="shared" si="1"/>
        <v>-</v>
      </c>
      <c r="H14" s="645" t="str">
        <f t="shared" si="1"/>
        <v>-</v>
      </c>
      <c r="I14" s="645">
        <f t="shared" si="1"/>
        <v>1</v>
      </c>
      <c r="J14" s="645">
        <f t="shared" si="1"/>
        <v>21</v>
      </c>
      <c r="K14" s="645">
        <f t="shared" si="1"/>
        <v>411</v>
      </c>
      <c r="L14" s="646">
        <f t="shared" si="1"/>
        <v>53</v>
      </c>
    </row>
    <row r="15" spans="1:12" ht="13.5" customHeight="1">
      <c r="A15" s="181" t="s">
        <v>1051</v>
      </c>
      <c r="B15" s="405" t="s">
        <v>1509</v>
      </c>
      <c r="C15" s="405">
        <v>1</v>
      </c>
      <c r="D15" s="405" t="s">
        <v>1509</v>
      </c>
      <c r="E15" s="405">
        <v>3</v>
      </c>
      <c r="F15" s="405" t="s">
        <v>1509</v>
      </c>
      <c r="G15" s="132" t="s">
        <v>1509</v>
      </c>
      <c r="H15" s="405" t="s">
        <v>1509</v>
      </c>
      <c r="I15" s="405" t="s">
        <v>1509</v>
      </c>
      <c r="J15" s="132">
        <f t="shared" ref="J15:J20" si="2">SUM(B15:I15)</f>
        <v>4</v>
      </c>
      <c r="K15" s="405">
        <v>70</v>
      </c>
      <c r="L15" s="406">
        <v>8</v>
      </c>
    </row>
    <row r="16" spans="1:12" ht="13.5" customHeight="1">
      <c r="A16" s="181" t="s">
        <v>495</v>
      </c>
      <c r="B16" s="405" t="s">
        <v>1509</v>
      </c>
      <c r="C16" s="405" t="s">
        <v>1509</v>
      </c>
      <c r="D16" s="405">
        <v>1</v>
      </c>
      <c r="E16" s="405">
        <v>2</v>
      </c>
      <c r="F16" s="405" t="s">
        <v>1509</v>
      </c>
      <c r="G16" s="132" t="s">
        <v>1509</v>
      </c>
      <c r="H16" s="405" t="s">
        <v>1509</v>
      </c>
      <c r="I16" s="405" t="s">
        <v>1509</v>
      </c>
      <c r="J16" s="132">
        <f t="shared" si="2"/>
        <v>3</v>
      </c>
      <c r="K16" s="405">
        <v>50</v>
      </c>
      <c r="L16" s="406">
        <v>8</v>
      </c>
    </row>
    <row r="17" spans="1:12" ht="13.5" customHeight="1">
      <c r="A17" s="181" t="s">
        <v>531</v>
      </c>
      <c r="B17" s="405">
        <v>1</v>
      </c>
      <c r="C17" s="405" t="s">
        <v>1509</v>
      </c>
      <c r="D17" s="405" t="s">
        <v>1509</v>
      </c>
      <c r="E17" s="405">
        <v>2</v>
      </c>
      <c r="F17" s="405" t="s">
        <v>1509</v>
      </c>
      <c r="G17" s="132" t="s">
        <v>1509</v>
      </c>
      <c r="H17" s="405" t="s">
        <v>1509</v>
      </c>
      <c r="I17" s="405">
        <v>1</v>
      </c>
      <c r="J17" s="132">
        <f t="shared" si="2"/>
        <v>4</v>
      </c>
      <c r="K17" s="405">
        <v>131</v>
      </c>
      <c r="L17" s="406">
        <v>11</v>
      </c>
    </row>
    <row r="18" spans="1:12" ht="13.5" customHeight="1">
      <c r="A18" s="181" t="s">
        <v>532</v>
      </c>
      <c r="B18" s="405" t="s">
        <v>1509</v>
      </c>
      <c r="C18" s="405">
        <v>1</v>
      </c>
      <c r="D18" s="405" t="s">
        <v>1509</v>
      </c>
      <c r="E18" s="405">
        <v>2</v>
      </c>
      <c r="F18" s="405" t="s">
        <v>1509</v>
      </c>
      <c r="G18" s="132" t="s">
        <v>1509</v>
      </c>
      <c r="H18" s="405" t="s">
        <v>1509</v>
      </c>
      <c r="I18" s="405" t="s">
        <v>1509</v>
      </c>
      <c r="J18" s="132">
        <f t="shared" si="2"/>
        <v>3</v>
      </c>
      <c r="K18" s="405">
        <v>40</v>
      </c>
      <c r="L18" s="406">
        <v>7</v>
      </c>
    </row>
    <row r="19" spans="1:12" ht="12.75" customHeight="1">
      <c r="A19" s="181" t="s">
        <v>533</v>
      </c>
      <c r="B19" s="405" t="s">
        <v>1509</v>
      </c>
      <c r="C19" s="405">
        <v>1</v>
      </c>
      <c r="D19" s="405">
        <v>1</v>
      </c>
      <c r="E19" s="405">
        <v>2</v>
      </c>
      <c r="F19" s="405" t="s">
        <v>1509</v>
      </c>
      <c r="G19" s="132" t="s">
        <v>1509</v>
      </c>
      <c r="H19" s="405" t="s">
        <v>1509</v>
      </c>
      <c r="I19" s="405" t="s">
        <v>1509</v>
      </c>
      <c r="J19" s="132">
        <f t="shared" si="2"/>
        <v>4</v>
      </c>
      <c r="K19" s="1082">
        <v>80</v>
      </c>
      <c r="L19" s="406">
        <v>9</v>
      </c>
    </row>
    <row r="20" spans="1:12" ht="13.5" customHeight="1">
      <c r="A20" s="181" t="s">
        <v>573</v>
      </c>
      <c r="B20" s="405" t="s">
        <v>1509</v>
      </c>
      <c r="C20" s="405" t="s">
        <v>1509</v>
      </c>
      <c r="D20" s="405">
        <v>1</v>
      </c>
      <c r="E20" s="405">
        <v>2</v>
      </c>
      <c r="F20" s="405" t="s">
        <v>1509</v>
      </c>
      <c r="G20" s="132" t="s">
        <v>1509</v>
      </c>
      <c r="H20" s="405" t="s">
        <v>1509</v>
      </c>
      <c r="I20" s="405" t="s">
        <v>1509</v>
      </c>
      <c r="J20" s="132">
        <f t="shared" si="2"/>
        <v>3</v>
      </c>
      <c r="K20" s="405">
        <v>40</v>
      </c>
      <c r="L20" s="406">
        <v>10</v>
      </c>
    </row>
    <row r="21" spans="1:12" ht="13.5" customHeight="1">
      <c r="A21" s="397" t="s">
        <v>1154</v>
      </c>
      <c r="B21" s="397">
        <f t="shared" ref="B21:I21" si="3">IF(SUM(B22:B32)=0,"-",SUM(B22:B32))</f>
        <v>1</v>
      </c>
      <c r="C21" s="397">
        <f t="shared" si="3"/>
        <v>9</v>
      </c>
      <c r="D21" s="397">
        <f t="shared" si="3"/>
        <v>1</v>
      </c>
      <c r="E21" s="397">
        <f t="shared" si="3"/>
        <v>21</v>
      </c>
      <c r="F21" s="383">
        <f t="shared" si="3"/>
        <v>2</v>
      </c>
      <c r="G21" s="397">
        <f t="shared" si="3"/>
        <v>1</v>
      </c>
      <c r="H21" s="385">
        <f t="shared" si="3"/>
        <v>7</v>
      </c>
      <c r="I21" s="397">
        <f t="shared" si="3"/>
        <v>28</v>
      </c>
      <c r="J21" s="397">
        <f>IF(SUM(J22:J32)=0,"-",SUM(J22:J32))</f>
        <v>70</v>
      </c>
      <c r="K21" s="397">
        <f>IF(SUM(K22:K32)=0,"-",SUM(K22:K32))</f>
        <v>2241</v>
      </c>
      <c r="L21" s="385">
        <f>IF(SUM(L22:L32)=0,"-",SUM(L22:L32))</f>
        <v>321</v>
      </c>
    </row>
    <row r="22" spans="1:12" ht="13.5" customHeight="1">
      <c r="A22" s="181" t="s">
        <v>576</v>
      </c>
      <c r="B22" s="405" t="s">
        <v>1509</v>
      </c>
      <c r="C22" s="405">
        <v>2</v>
      </c>
      <c r="D22" s="405" t="s">
        <v>1509</v>
      </c>
      <c r="E22" s="405">
        <v>3</v>
      </c>
      <c r="F22" s="289" t="s">
        <v>1509</v>
      </c>
      <c r="G22" s="132" t="s">
        <v>1509</v>
      </c>
      <c r="H22" s="406" t="s">
        <v>1509</v>
      </c>
      <c r="I22" s="405" t="s">
        <v>1509</v>
      </c>
      <c r="J22" s="132">
        <f t="shared" ref="J22:J32" si="4">SUM(B22:I22)</f>
        <v>5</v>
      </c>
      <c r="K22" s="405">
        <v>70</v>
      </c>
      <c r="L22" s="406">
        <v>13</v>
      </c>
    </row>
    <row r="23" spans="1:12" ht="13.5" customHeight="1">
      <c r="A23" s="181" t="s">
        <v>1510</v>
      </c>
      <c r="B23" s="405" t="s">
        <v>1509</v>
      </c>
      <c r="C23" s="405">
        <v>1</v>
      </c>
      <c r="D23" s="588" t="s">
        <v>1509</v>
      </c>
      <c r="E23" s="405">
        <v>2</v>
      </c>
      <c r="F23" s="289" t="s">
        <v>1509</v>
      </c>
      <c r="G23" s="132" t="s">
        <v>1509</v>
      </c>
      <c r="H23" s="406" t="s">
        <v>1509</v>
      </c>
      <c r="I23" s="588" t="s">
        <v>1509</v>
      </c>
      <c r="J23" s="132">
        <f t="shared" si="4"/>
        <v>3</v>
      </c>
      <c r="K23" s="405">
        <v>40</v>
      </c>
      <c r="L23" s="406">
        <v>5</v>
      </c>
    </row>
    <row r="24" spans="1:12" ht="13.5" customHeight="1">
      <c r="A24" s="181" t="s">
        <v>577</v>
      </c>
      <c r="B24" s="405" t="s">
        <v>1509</v>
      </c>
      <c r="C24" s="405">
        <v>1</v>
      </c>
      <c r="D24" s="405" t="s">
        <v>1509</v>
      </c>
      <c r="E24" s="405">
        <v>2</v>
      </c>
      <c r="F24" s="289" t="s">
        <v>1509</v>
      </c>
      <c r="G24" s="132" t="s">
        <v>1509</v>
      </c>
      <c r="H24" s="406" t="s">
        <v>1509</v>
      </c>
      <c r="I24" s="405" t="s">
        <v>1509</v>
      </c>
      <c r="J24" s="132">
        <f t="shared" si="4"/>
        <v>3</v>
      </c>
      <c r="K24" s="405">
        <v>50</v>
      </c>
      <c r="L24" s="406">
        <v>7</v>
      </c>
    </row>
    <row r="25" spans="1:12" ht="13.5" customHeight="1">
      <c r="A25" s="181" t="s">
        <v>578</v>
      </c>
      <c r="B25" s="405" t="s">
        <v>1509</v>
      </c>
      <c r="C25" s="405">
        <v>1</v>
      </c>
      <c r="D25" s="405" t="s">
        <v>1509</v>
      </c>
      <c r="E25" s="405">
        <v>2</v>
      </c>
      <c r="F25" s="289" t="s">
        <v>1509</v>
      </c>
      <c r="G25" s="132" t="s">
        <v>1509</v>
      </c>
      <c r="H25" s="406">
        <v>3</v>
      </c>
      <c r="I25" s="405">
        <v>1</v>
      </c>
      <c r="J25" s="132">
        <f t="shared" si="4"/>
        <v>7</v>
      </c>
      <c r="K25" s="405">
        <v>105</v>
      </c>
      <c r="L25" s="406">
        <v>7</v>
      </c>
    </row>
    <row r="26" spans="1:12" ht="13.5" customHeight="1">
      <c r="A26" s="181" t="s">
        <v>490</v>
      </c>
      <c r="B26" s="405" t="s">
        <v>1509</v>
      </c>
      <c r="C26" s="405" t="s">
        <v>1509</v>
      </c>
      <c r="D26" s="405">
        <v>1</v>
      </c>
      <c r="E26" s="405">
        <v>2</v>
      </c>
      <c r="F26" s="289" t="s">
        <v>1509</v>
      </c>
      <c r="G26" s="132" t="s">
        <v>1509</v>
      </c>
      <c r="H26" s="406" t="s">
        <v>1509</v>
      </c>
      <c r="I26" s="405">
        <v>2</v>
      </c>
      <c r="J26" s="132">
        <f t="shared" si="4"/>
        <v>5</v>
      </c>
      <c r="K26" s="405">
        <v>170</v>
      </c>
      <c r="L26" s="406">
        <v>13</v>
      </c>
    </row>
    <row r="27" spans="1:12" ht="13.5" customHeight="1">
      <c r="A27" s="181" t="s">
        <v>580</v>
      </c>
      <c r="B27" s="405" t="s">
        <v>1509</v>
      </c>
      <c r="C27" s="405">
        <v>1</v>
      </c>
      <c r="D27" s="405" t="s">
        <v>1509</v>
      </c>
      <c r="E27" s="405">
        <v>3</v>
      </c>
      <c r="F27" s="289" t="s">
        <v>1509</v>
      </c>
      <c r="G27" s="132" t="s">
        <v>1509</v>
      </c>
      <c r="H27" s="406" t="s">
        <v>1509</v>
      </c>
      <c r="I27" s="405">
        <v>1</v>
      </c>
      <c r="J27" s="132">
        <f t="shared" si="4"/>
        <v>5</v>
      </c>
      <c r="K27" s="405">
        <v>53</v>
      </c>
      <c r="L27" s="406">
        <v>9</v>
      </c>
    </row>
    <row r="28" spans="1:12" ht="13.5" customHeight="1">
      <c r="A28" s="181" t="s">
        <v>585</v>
      </c>
      <c r="B28" s="405" t="s">
        <v>1509</v>
      </c>
      <c r="C28" s="405">
        <v>1</v>
      </c>
      <c r="D28" s="405" t="s">
        <v>1509</v>
      </c>
      <c r="E28" s="405">
        <v>3</v>
      </c>
      <c r="F28" s="289" t="s">
        <v>1509</v>
      </c>
      <c r="G28" s="132" t="s">
        <v>1509</v>
      </c>
      <c r="H28" s="406" t="s">
        <v>1509</v>
      </c>
      <c r="I28" s="887">
        <v>2</v>
      </c>
      <c r="J28" s="132">
        <f t="shared" si="4"/>
        <v>6</v>
      </c>
      <c r="K28" s="405">
        <v>90</v>
      </c>
      <c r="L28" s="406">
        <v>11</v>
      </c>
    </row>
    <row r="29" spans="1:12" ht="13.5" customHeight="1">
      <c r="A29" s="181" t="s">
        <v>586</v>
      </c>
      <c r="B29" s="405" t="s">
        <v>1509</v>
      </c>
      <c r="C29" s="405">
        <v>1</v>
      </c>
      <c r="D29" s="405" t="s">
        <v>1509</v>
      </c>
      <c r="E29" s="405">
        <v>2</v>
      </c>
      <c r="F29" s="289" t="s">
        <v>1509</v>
      </c>
      <c r="G29" s="132" t="s">
        <v>1509</v>
      </c>
      <c r="H29" s="406" t="s">
        <v>1509</v>
      </c>
      <c r="I29" s="405" t="s">
        <v>1509</v>
      </c>
      <c r="J29" s="132">
        <f t="shared" si="4"/>
        <v>3</v>
      </c>
      <c r="K29" s="405">
        <v>40</v>
      </c>
      <c r="L29" s="406">
        <v>9</v>
      </c>
    </row>
    <row r="30" spans="1:12" ht="13.5" customHeight="1">
      <c r="A30" s="181" t="s">
        <v>587</v>
      </c>
      <c r="B30" s="405" t="s">
        <v>1509</v>
      </c>
      <c r="C30" s="405">
        <v>1</v>
      </c>
      <c r="D30" s="405" t="s">
        <v>1509</v>
      </c>
      <c r="E30" s="405">
        <v>2</v>
      </c>
      <c r="F30" s="289" t="s">
        <v>1509</v>
      </c>
      <c r="G30" s="132" t="s">
        <v>1509</v>
      </c>
      <c r="H30" s="406">
        <v>3</v>
      </c>
      <c r="I30" s="405" t="s">
        <v>1509</v>
      </c>
      <c r="J30" s="132">
        <f t="shared" si="4"/>
        <v>6</v>
      </c>
      <c r="K30" s="405">
        <v>80</v>
      </c>
      <c r="L30" s="406">
        <v>6</v>
      </c>
    </row>
    <row r="31" spans="1:12" ht="13.5" customHeight="1">
      <c r="A31" s="181" t="s">
        <v>1511</v>
      </c>
      <c r="B31" s="405" t="s">
        <v>1509</v>
      </c>
      <c r="C31" s="405" t="s">
        <v>1509</v>
      </c>
      <c r="D31" s="405" t="s">
        <v>1509</v>
      </c>
      <c r="E31" s="405" t="s">
        <v>1509</v>
      </c>
      <c r="F31" s="289" t="s">
        <v>1509</v>
      </c>
      <c r="G31" s="132" t="s">
        <v>1509</v>
      </c>
      <c r="H31" s="406" t="s">
        <v>1509</v>
      </c>
      <c r="I31" s="405">
        <v>1</v>
      </c>
      <c r="J31" s="132">
        <f t="shared" si="4"/>
        <v>1</v>
      </c>
      <c r="K31" s="405">
        <v>10</v>
      </c>
      <c r="L31" s="406">
        <v>1</v>
      </c>
    </row>
    <row r="32" spans="1:12" ht="13.5" customHeight="1">
      <c r="A32" s="357" t="s">
        <v>579</v>
      </c>
      <c r="B32" s="460">
        <v>1</v>
      </c>
      <c r="C32" s="460" t="s">
        <v>1509</v>
      </c>
      <c r="D32" s="641" t="s">
        <v>1509</v>
      </c>
      <c r="E32" s="641" t="s">
        <v>1509</v>
      </c>
      <c r="F32" s="460">
        <v>2</v>
      </c>
      <c r="G32" s="133">
        <v>1</v>
      </c>
      <c r="H32" s="460">
        <v>1</v>
      </c>
      <c r="I32" s="460">
        <v>21</v>
      </c>
      <c r="J32" s="133">
        <f t="shared" si="4"/>
        <v>26</v>
      </c>
      <c r="K32" s="460">
        <v>1533</v>
      </c>
      <c r="L32" s="461">
        <v>240</v>
      </c>
    </row>
    <row r="33" spans="1:11" ht="13.5" customHeight="1">
      <c r="A33" s="920"/>
      <c r="B33" s="639"/>
      <c r="C33" s="639"/>
      <c r="D33" s="639"/>
      <c r="H33" s="967" t="s">
        <v>947</v>
      </c>
      <c r="I33" s="920" t="s">
        <v>16</v>
      </c>
      <c r="J33" s="777"/>
      <c r="K33" s="777"/>
    </row>
    <row r="34" spans="1:11" ht="13.5">
      <c r="A34" s="639"/>
      <c r="B34" s="639"/>
      <c r="C34" s="639"/>
      <c r="D34" s="639"/>
      <c r="G34" s="640"/>
      <c r="H34" s="967" t="s">
        <v>948</v>
      </c>
      <c r="I34" s="968" t="s">
        <v>6</v>
      </c>
      <c r="J34" s="796"/>
      <c r="K34" s="796"/>
    </row>
    <row r="35" spans="1:11" ht="13.5">
      <c r="A35" s="639"/>
      <c r="B35" s="639"/>
      <c r="C35" s="639"/>
      <c r="D35" s="639"/>
      <c r="G35" s="640"/>
      <c r="H35" s="920"/>
      <c r="I35" s="968" t="s">
        <v>649</v>
      </c>
      <c r="J35" s="796"/>
      <c r="K35" s="796"/>
    </row>
    <row r="36" spans="1:11" ht="13.5">
      <c r="A36" s="639"/>
      <c r="B36" s="639"/>
      <c r="C36" s="639"/>
      <c r="D36" s="639"/>
      <c r="G36" s="640"/>
      <c r="H36" s="967" t="s">
        <v>955</v>
      </c>
      <c r="I36" s="968" t="s">
        <v>7</v>
      </c>
      <c r="J36" s="796"/>
      <c r="K36" s="796"/>
    </row>
    <row r="37" spans="1:11">
      <c r="H37" s="967" t="s">
        <v>951</v>
      </c>
      <c r="I37" s="870" t="s">
        <v>8</v>
      </c>
      <c r="J37" s="797"/>
      <c r="K37" s="797"/>
    </row>
    <row r="39" spans="1:11">
      <c r="A39" s="67"/>
      <c r="B39" s="67"/>
      <c r="C39" s="67"/>
      <c r="D39" s="67"/>
      <c r="E39" s="67"/>
      <c r="F39" s="67"/>
      <c r="G39" s="67"/>
    </row>
  </sheetData>
  <mergeCells count="13">
    <mergeCell ref="B13:L13"/>
    <mergeCell ref="H5:H6"/>
    <mergeCell ref="I5:I6"/>
    <mergeCell ref="J5:J6"/>
    <mergeCell ref="B5:E5"/>
    <mergeCell ref="K4:K6"/>
    <mergeCell ref="L4:L6"/>
    <mergeCell ref="F5:F6"/>
    <mergeCell ref="G5:G6"/>
    <mergeCell ref="A4:A6"/>
    <mergeCell ref="A1:L1"/>
    <mergeCell ref="A2:L2"/>
    <mergeCell ref="B4:J4"/>
  </mergeCells>
  <phoneticPr fontId="0" type="noConversion"/>
  <conditionalFormatting sqref="A1:XFD1048576">
    <cfRule type="cellIs" dxfId="20" priority="1" stopIfTrue="1" operator="equal">
      <formula>".."</formula>
    </cfRule>
  </conditionalFormatting>
  <printOptions horizontalCentered="1"/>
  <pageMargins left="0.1" right="0.1" top="0.56000000000000005" bottom="0.1" header="0.51" footer="0.1"/>
  <pageSetup paperSize="9" orientation="landscape" blackAndWhite="1" horizontalDpi="4294967295" verticalDpi="144" r:id="rId1"/>
  <headerFooter alignWithMargins="0"/>
</worksheet>
</file>

<file path=xl/worksheets/sheet22.xml><?xml version="1.0" encoding="utf-8"?>
<worksheet xmlns="http://schemas.openxmlformats.org/spreadsheetml/2006/main" xmlns:r="http://schemas.openxmlformats.org/officeDocument/2006/relationships">
  <sheetPr codeName="Sheet19"/>
  <dimension ref="A1:J37"/>
  <sheetViews>
    <sheetView topLeftCell="A28" workbookViewId="0">
      <selection activeCell="D49" sqref="D49"/>
    </sheetView>
  </sheetViews>
  <sheetFormatPr defaultRowHeight="12.75"/>
  <cols>
    <col min="1" max="1" width="21" customWidth="1"/>
    <col min="2" max="2" width="8.140625" customWidth="1"/>
    <col min="3" max="3" width="7.7109375" customWidth="1"/>
    <col min="4" max="4" width="7.140625" customWidth="1"/>
    <col min="5" max="5" width="6.28515625" customWidth="1"/>
    <col min="6" max="6" width="10.28515625" customWidth="1"/>
    <col min="7" max="7" width="10.5703125" customWidth="1"/>
    <col min="8" max="8" width="7.85546875" customWidth="1"/>
    <col min="9" max="9" width="13.5703125" customWidth="1"/>
  </cols>
  <sheetData>
    <row r="1" spans="1:10" ht="14.25" customHeight="1">
      <c r="A1" s="1517" t="s">
        <v>1353</v>
      </c>
      <c r="B1" s="1517"/>
      <c r="C1" s="1517"/>
      <c r="D1" s="1517"/>
      <c r="E1" s="1517"/>
      <c r="F1" s="1517"/>
      <c r="G1" s="1517"/>
      <c r="H1" s="1517"/>
      <c r="I1" s="1517"/>
    </row>
    <row r="2" spans="1:10" s="51" customFormat="1" ht="17.25" customHeight="1">
      <c r="A2" s="1521" t="str">
        <f>CONCATENATE(" Family Welfare Centres in the district of ",District!$A$1)</f>
        <v xml:space="preserve"> Family Welfare Centres in the district of Malda</v>
      </c>
      <c r="B2" s="1521"/>
      <c r="C2" s="1521"/>
      <c r="D2" s="1521"/>
      <c r="E2" s="1521"/>
      <c r="F2" s="1521"/>
      <c r="G2" s="1521"/>
      <c r="H2" s="1521"/>
      <c r="I2" s="1521"/>
    </row>
    <row r="3" spans="1:10" s="51" customFormat="1" ht="14.25" customHeight="1">
      <c r="C3" s="401"/>
      <c r="D3" s="401"/>
      <c r="E3" s="401"/>
      <c r="F3" s="401"/>
      <c r="G3" s="401"/>
      <c r="H3" s="401"/>
      <c r="I3" s="1130" t="s">
        <v>1253</v>
      </c>
    </row>
    <row r="4" spans="1:10" s="51" customFormat="1" ht="27" customHeight="1">
      <c r="A4" s="1522" t="s">
        <v>1089</v>
      </c>
      <c r="B4" s="1522" t="s">
        <v>719</v>
      </c>
      <c r="C4" s="1524" t="s">
        <v>500</v>
      </c>
      <c r="D4" s="1525"/>
      <c r="E4" s="1526"/>
      <c r="F4" s="1530" t="s">
        <v>367</v>
      </c>
      <c r="G4" s="1525"/>
      <c r="H4" s="1525"/>
      <c r="I4" s="1526"/>
    </row>
    <row r="5" spans="1:10" s="51" customFormat="1" ht="51" customHeight="1">
      <c r="A5" s="1523"/>
      <c r="B5" s="1523"/>
      <c r="C5" s="459" t="s">
        <v>756</v>
      </c>
      <c r="D5" s="306" t="s">
        <v>1547</v>
      </c>
      <c r="E5" s="307" t="s">
        <v>1233</v>
      </c>
      <c r="F5" s="459" t="s">
        <v>1548</v>
      </c>
      <c r="G5" s="306" t="s">
        <v>1549</v>
      </c>
      <c r="H5" s="459" t="s">
        <v>1550</v>
      </c>
      <c r="I5" s="1295" t="s">
        <v>17</v>
      </c>
    </row>
    <row r="6" spans="1:10" s="51" customFormat="1" ht="14.25" customHeight="1">
      <c r="A6" s="308" t="s">
        <v>1208</v>
      </c>
      <c r="B6" s="310" t="s">
        <v>1209</v>
      </c>
      <c r="C6" s="308" t="s">
        <v>1210</v>
      </c>
      <c r="D6" s="309" t="s">
        <v>1211</v>
      </c>
      <c r="E6" s="310" t="s">
        <v>1212</v>
      </c>
      <c r="F6" s="308" t="s">
        <v>1213</v>
      </c>
      <c r="G6" s="310" t="s">
        <v>1214</v>
      </c>
      <c r="H6" s="308" t="s">
        <v>1244</v>
      </c>
      <c r="I6" s="308" t="s">
        <v>1245</v>
      </c>
    </row>
    <row r="7" spans="1:10" s="51" customFormat="1" ht="21.95" customHeight="1">
      <c r="A7" s="760" t="s">
        <v>1577</v>
      </c>
      <c r="B7" s="405">
        <v>511</v>
      </c>
      <c r="C7" s="410" t="s">
        <v>242</v>
      </c>
      <c r="D7" s="405">
        <v>1</v>
      </c>
      <c r="E7" s="406" t="s">
        <v>243</v>
      </c>
      <c r="F7" s="410">
        <v>423</v>
      </c>
      <c r="G7" s="405">
        <v>11210</v>
      </c>
      <c r="H7" s="410">
        <v>3490</v>
      </c>
      <c r="I7" s="405">
        <v>38983</v>
      </c>
    </row>
    <row r="8" spans="1:10" s="51" customFormat="1" ht="21.95" customHeight="1">
      <c r="A8" s="181" t="s">
        <v>1576</v>
      </c>
      <c r="B8" s="405">
        <v>511</v>
      </c>
      <c r="C8" s="410" t="s">
        <v>242</v>
      </c>
      <c r="D8" s="405">
        <v>1</v>
      </c>
      <c r="E8" s="406" t="s">
        <v>243</v>
      </c>
      <c r="F8" s="410">
        <v>134</v>
      </c>
      <c r="G8" s="405">
        <v>8058</v>
      </c>
      <c r="H8" s="410">
        <v>2565</v>
      </c>
      <c r="I8" s="405">
        <v>34914</v>
      </c>
    </row>
    <row r="9" spans="1:10" s="51" customFormat="1" ht="21.95" customHeight="1">
      <c r="A9" s="181" t="s">
        <v>267</v>
      </c>
      <c r="B9" s="406">
        <v>511</v>
      </c>
      <c r="C9" s="410" t="s">
        <v>242</v>
      </c>
      <c r="D9" s="405">
        <v>1</v>
      </c>
      <c r="E9" s="406" t="s">
        <v>243</v>
      </c>
      <c r="F9" s="405">
        <v>111</v>
      </c>
      <c r="G9" s="405">
        <v>9386</v>
      </c>
      <c r="H9" s="405">
        <v>2832</v>
      </c>
      <c r="I9" s="405">
        <v>31173</v>
      </c>
    </row>
    <row r="10" spans="1:10" s="51" customFormat="1" ht="19.5" customHeight="1">
      <c r="A10" s="181" t="s">
        <v>1094</v>
      </c>
      <c r="B10" s="406">
        <v>511</v>
      </c>
      <c r="C10" s="410" t="s">
        <v>242</v>
      </c>
      <c r="D10" s="405">
        <v>1</v>
      </c>
      <c r="E10" s="406" t="s">
        <v>243</v>
      </c>
      <c r="F10" s="405">
        <v>68</v>
      </c>
      <c r="G10" s="405">
        <v>7240</v>
      </c>
      <c r="H10" s="405">
        <v>2262</v>
      </c>
      <c r="I10" s="405">
        <v>28788</v>
      </c>
    </row>
    <row r="11" spans="1:10" s="51" customFormat="1" ht="21.95" customHeight="1">
      <c r="A11" s="357" t="s">
        <v>1595</v>
      </c>
      <c r="B11" s="119">
        <f>SUM(B13,B20)</f>
        <v>511</v>
      </c>
      <c r="C11" s="119">
        <f>SUM(C13,C20)</f>
        <v>51</v>
      </c>
      <c r="D11" s="119">
        <f>IF(SUM(D13,D20)=0,"-",SUM(D13,D20))</f>
        <v>1</v>
      </c>
      <c r="E11" s="119">
        <f>SUM(E13,E20)</f>
        <v>52</v>
      </c>
      <c r="F11" s="714">
        <f>SUM(F13,F20)</f>
        <v>29</v>
      </c>
      <c r="G11" s="714">
        <f>SUM(G13,G20)</f>
        <v>5831</v>
      </c>
      <c r="H11" s="714">
        <f>SUM(H13,H20)</f>
        <v>1653</v>
      </c>
      <c r="I11" s="1287">
        <f>SUM(I13,I20)</f>
        <v>28246</v>
      </c>
      <c r="J11"/>
    </row>
    <row r="12" spans="1:10" s="51" customFormat="1" ht="30" customHeight="1">
      <c r="A12" s="565" t="s">
        <v>854</v>
      </c>
      <c r="B12" s="1527" t="str">
        <f>"Year : " &amp; A11</f>
        <v>Year : 2013-14</v>
      </c>
      <c r="C12" s="1528"/>
      <c r="D12" s="1528"/>
      <c r="E12" s="1528"/>
      <c r="F12" s="1528"/>
      <c r="G12" s="1528"/>
      <c r="H12" s="1528"/>
      <c r="I12" s="1529"/>
      <c r="J12"/>
    </row>
    <row r="13" spans="1:10" s="51" customFormat="1" ht="21.95" customHeight="1">
      <c r="A13" s="409" t="s">
        <v>1155</v>
      </c>
      <c r="B13" s="409">
        <f>SUM(B14:B19)</f>
        <v>171</v>
      </c>
      <c r="C13" s="462">
        <f>SUM(C14:C19)</f>
        <v>20</v>
      </c>
      <c r="D13" s="409" t="str">
        <f t="shared" ref="D13:I13" si="0">IF(SUM(D14:D19)=0,"-",SUM(D14:D19))</f>
        <v>-</v>
      </c>
      <c r="E13" s="403">
        <f t="shared" si="0"/>
        <v>20</v>
      </c>
      <c r="F13" s="462">
        <f t="shared" si="0"/>
        <v>29</v>
      </c>
      <c r="G13" s="409">
        <f t="shared" si="0"/>
        <v>916</v>
      </c>
      <c r="H13" s="409">
        <f t="shared" si="0"/>
        <v>780</v>
      </c>
      <c r="I13" s="403">
        <f t="shared" si="0"/>
        <v>9778</v>
      </c>
      <c r="J13"/>
    </row>
    <row r="14" spans="1:10" s="51" customFormat="1" ht="21.95" customHeight="1">
      <c r="A14" s="181" t="s">
        <v>1051</v>
      </c>
      <c r="B14" s="405">
        <v>25</v>
      </c>
      <c r="C14" s="410">
        <v>4</v>
      </c>
      <c r="D14" s="405" t="s">
        <v>1509</v>
      </c>
      <c r="E14" s="406">
        <f>SUM(C14,D14)</f>
        <v>4</v>
      </c>
      <c r="F14" s="410" t="s">
        <v>1509</v>
      </c>
      <c r="G14" s="405">
        <v>83</v>
      </c>
      <c r="H14" s="405">
        <v>133</v>
      </c>
      <c r="I14" s="770">
        <v>1573</v>
      </c>
      <c r="J14"/>
    </row>
    <row r="15" spans="1:10" s="51" customFormat="1" ht="21.95" customHeight="1">
      <c r="A15" s="181" t="s">
        <v>495</v>
      </c>
      <c r="B15" s="405">
        <v>33</v>
      </c>
      <c r="C15" s="410">
        <v>3</v>
      </c>
      <c r="D15" s="405" t="s">
        <v>1509</v>
      </c>
      <c r="E15" s="406">
        <f t="shared" ref="E15:E20" si="1">SUM(C15,D15)</f>
        <v>3</v>
      </c>
      <c r="F15" s="410">
        <v>3</v>
      </c>
      <c r="G15" s="405">
        <v>277</v>
      </c>
      <c r="H15" s="405">
        <v>77</v>
      </c>
      <c r="I15" s="770">
        <v>1347</v>
      </c>
      <c r="J15"/>
    </row>
    <row r="16" spans="1:10" s="51" customFormat="1" ht="21.95" customHeight="1">
      <c r="A16" s="181" t="s">
        <v>531</v>
      </c>
      <c r="B16" s="405">
        <v>27</v>
      </c>
      <c r="C16" s="410">
        <v>3</v>
      </c>
      <c r="D16" s="405" t="s">
        <v>1509</v>
      </c>
      <c r="E16" s="406">
        <f t="shared" si="1"/>
        <v>3</v>
      </c>
      <c r="F16" s="410">
        <v>1</v>
      </c>
      <c r="G16" s="405">
        <v>280</v>
      </c>
      <c r="H16" s="405">
        <v>164</v>
      </c>
      <c r="I16" s="770">
        <v>1284</v>
      </c>
      <c r="J16"/>
    </row>
    <row r="17" spans="1:10" s="51" customFormat="1" ht="21.95" customHeight="1">
      <c r="A17" s="181" t="s">
        <v>532</v>
      </c>
      <c r="B17" s="405">
        <v>25</v>
      </c>
      <c r="C17" s="410">
        <v>3</v>
      </c>
      <c r="D17" s="405" t="s">
        <v>1509</v>
      </c>
      <c r="E17" s="406">
        <f t="shared" si="1"/>
        <v>3</v>
      </c>
      <c r="F17" s="410">
        <v>25</v>
      </c>
      <c r="G17" s="405">
        <v>230</v>
      </c>
      <c r="H17" s="405">
        <v>189</v>
      </c>
      <c r="I17" s="770">
        <v>1325</v>
      </c>
      <c r="J17"/>
    </row>
    <row r="18" spans="1:10" s="51" customFormat="1" ht="21.95" customHeight="1">
      <c r="A18" s="181" t="s">
        <v>533</v>
      </c>
      <c r="B18" s="405">
        <v>36</v>
      </c>
      <c r="C18" s="410">
        <v>4</v>
      </c>
      <c r="D18" s="405" t="s">
        <v>1509</v>
      </c>
      <c r="E18" s="406">
        <f t="shared" si="1"/>
        <v>4</v>
      </c>
      <c r="F18" s="410" t="s">
        <v>1509</v>
      </c>
      <c r="G18" s="405">
        <v>46</v>
      </c>
      <c r="H18" s="405">
        <v>129</v>
      </c>
      <c r="I18" s="770">
        <v>2776</v>
      </c>
      <c r="J18"/>
    </row>
    <row r="19" spans="1:10" s="51" customFormat="1" ht="21.95" customHeight="1">
      <c r="A19" s="414" t="s">
        <v>573</v>
      </c>
      <c r="B19" s="405">
        <v>25</v>
      </c>
      <c r="C19" s="406">
        <v>3</v>
      </c>
      <c r="D19" s="405" t="s">
        <v>1509</v>
      </c>
      <c r="E19" s="406">
        <f t="shared" si="1"/>
        <v>3</v>
      </c>
      <c r="F19" s="410" t="s">
        <v>1509</v>
      </c>
      <c r="G19" s="405" t="s">
        <v>1509</v>
      </c>
      <c r="H19" s="405">
        <v>88</v>
      </c>
      <c r="I19" s="770">
        <v>1473</v>
      </c>
      <c r="J19"/>
    </row>
    <row r="20" spans="1:10" s="51" customFormat="1" ht="21.95" customHeight="1">
      <c r="A20" s="397" t="s">
        <v>1154</v>
      </c>
      <c r="B20" s="397">
        <f>SUM(B21:B32)</f>
        <v>340</v>
      </c>
      <c r="C20" s="397">
        <f>SUM(C21:C32)</f>
        <v>31</v>
      </c>
      <c r="D20" s="1241">
        <f>IF(SUM(D21:D32)=0,"-",SUM(D21:D32))</f>
        <v>1</v>
      </c>
      <c r="E20" s="845">
        <f t="shared" si="1"/>
        <v>32</v>
      </c>
      <c r="F20" s="385" t="str">
        <f>IF(SUM(F21:F32)=0,"-",SUM(F21:F32))</f>
        <v>-</v>
      </c>
      <c r="G20" s="397">
        <f>IF(SUM(G21:G32)=0,"-",SUM(G21:G32))</f>
        <v>4915</v>
      </c>
      <c r="H20" s="397">
        <f>IF(SUM(H21:H32)=0,"-",SUM(H21:H32))</f>
        <v>873</v>
      </c>
      <c r="I20" s="397">
        <f>IF(SUM(I21:I32)=0,"-",SUM(I21:I32))</f>
        <v>18468</v>
      </c>
      <c r="J20"/>
    </row>
    <row r="21" spans="1:10" s="51" customFormat="1" ht="21.95" customHeight="1">
      <c r="A21" s="181" t="s">
        <v>576</v>
      </c>
      <c r="B21" s="405">
        <v>60</v>
      </c>
      <c r="C21" s="410">
        <v>5</v>
      </c>
      <c r="D21" s="405" t="s">
        <v>1509</v>
      </c>
      <c r="E21" s="406">
        <f>SUM(C21,D21)</f>
        <v>5</v>
      </c>
      <c r="F21" s="410" t="s">
        <v>1509</v>
      </c>
      <c r="G21" s="405">
        <v>1584</v>
      </c>
      <c r="H21" s="405">
        <v>99</v>
      </c>
      <c r="I21" s="768">
        <v>1735</v>
      </c>
      <c r="J21"/>
    </row>
    <row r="22" spans="1:10" s="51" customFormat="1" ht="21.95" customHeight="1">
      <c r="A22" s="181" t="s">
        <v>1510</v>
      </c>
      <c r="B22" s="405">
        <v>27</v>
      </c>
      <c r="C22" s="410">
        <v>3</v>
      </c>
      <c r="D22" s="405" t="s">
        <v>1509</v>
      </c>
      <c r="E22" s="406">
        <f t="shared" ref="E22:E27" si="2">SUM(C22,D22)</f>
        <v>3</v>
      </c>
      <c r="F22" s="410" t="s">
        <v>1509</v>
      </c>
      <c r="G22" s="405">
        <v>234</v>
      </c>
      <c r="H22" s="405">
        <v>112</v>
      </c>
      <c r="I22" s="768">
        <v>1458</v>
      </c>
      <c r="J22"/>
    </row>
    <row r="23" spans="1:10" s="51" customFormat="1" ht="21.95" customHeight="1">
      <c r="A23" s="181" t="s">
        <v>577</v>
      </c>
      <c r="B23" s="405">
        <v>43</v>
      </c>
      <c r="C23" s="410">
        <v>3</v>
      </c>
      <c r="D23" s="405" t="s">
        <v>1509</v>
      </c>
      <c r="E23" s="406">
        <f t="shared" si="2"/>
        <v>3</v>
      </c>
      <c r="F23" s="405" t="s">
        <v>1509</v>
      </c>
      <c r="G23" s="405">
        <v>449</v>
      </c>
      <c r="H23" s="405">
        <v>94</v>
      </c>
      <c r="I23" s="768">
        <v>1896</v>
      </c>
      <c r="J23"/>
    </row>
    <row r="24" spans="1:10" s="51" customFormat="1" ht="21.95" customHeight="1">
      <c r="A24" s="181" t="s">
        <v>578</v>
      </c>
      <c r="B24" s="405">
        <v>25</v>
      </c>
      <c r="C24" s="410">
        <v>3</v>
      </c>
      <c r="D24" s="405" t="s">
        <v>1509</v>
      </c>
      <c r="E24" s="406">
        <f t="shared" si="2"/>
        <v>3</v>
      </c>
      <c r="F24" s="405" t="s">
        <v>1509</v>
      </c>
      <c r="G24" s="405">
        <v>474</v>
      </c>
      <c r="H24" s="405">
        <v>67</v>
      </c>
      <c r="I24" s="768">
        <v>1638</v>
      </c>
      <c r="J24"/>
    </row>
    <row r="25" spans="1:10" s="51" customFormat="1" ht="21.95" customHeight="1">
      <c r="A25" s="181" t="s">
        <v>490</v>
      </c>
      <c r="B25" s="405">
        <v>33</v>
      </c>
      <c r="C25" s="410">
        <v>3</v>
      </c>
      <c r="D25" s="405" t="s">
        <v>1509</v>
      </c>
      <c r="E25" s="406">
        <f t="shared" si="2"/>
        <v>3</v>
      </c>
      <c r="F25" s="405" t="s">
        <v>1509</v>
      </c>
      <c r="G25" s="405">
        <v>802</v>
      </c>
      <c r="H25" s="405">
        <v>81</v>
      </c>
      <c r="I25" s="112">
        <v>1198</v>
      </c>
      <c r="J25"/>
    </row>
    <row r="26" spans="1:10" s="51" customFormat="1" ht="21.95" customHeight="1">
      <c r="A26" s="181" t="s">
        <v>580</v>
      </c>
      <c r="B26" s="405">
        <v>35</v>
      </c>
      <c r="C26" s="410">
        <v>4</v>
      </c>
      <c r="D26" s="405" t="s">
        <v>1509</v>
      </c>
      <c r="E26" s="406">
        <f t="shared" si="2"/>
        <v>4</v>
      </c>
      <c r="F26" s="410" t="s">
        <v>1509</v>
      </c>
      <c r="G26" s="405" t="s">
        <v>1509</v>
      </c>
      <c r="H26" s="405">
        <v>168</v>
      </c>
      <c r="I26" s="768">
        <v>801</v>
      </c>
      <c r="J26"/>
    </row>
    <row r="27" spans="1:10" s="51" customFormat="1" ht="21.95" customHeight="1">
      <c r="A27" s="181" t="s">
        <v>585</v>
      </c>
      <c r="B27" s="405">
        <v>42</v>
      </c>
      <c r="C27" s="410">
        <v>4</v>
      </c>
      <c r="D27" s="405" t="s">
        <v>1509</v>
      </c>
      <c r="E27" s="406">
        <f t="shared" si="2"/>
        <v>4</v>
      </c>
      <c r="F27" s="410" t="s">
        <v>1509</v>
      </c>
      <c r="G27" s="405">
        <v>5</v>
      </c>
      <c r="H27" s="405">
        <v>79</v>
      </c>
      <c r="I27" s="768">
        <v>3088</v>
      </c>
      <c r="J27"/>
    </row>
    <row r="28" spans="1:10" s="51" customFormat="1" ht="21.95" customHeight="1">
      <c r="A28" s="181" t="s">
        <v>586</v>
      </c>
      <c r="B28" s="405">
        <v>34</v>
      </c>
      <c r="C28" s="410">
        <v>3</v>
      </c>
      <c r="D28" s="405" t="s">
        <v>1509</v>
      </c>
      <c r="E28" s="406">
        <f>SUM(C28,D28)</f>
        <v>3</v>
      </c>
      <c r="F28" s="405" t="s">
        <v>1509</v>
      </c>
      <c r="G28" s="405" t="s">
        <v>1509</v>
      </c>
      <c r="H28" s="405">
        <v>27</v>
      </c>
      <c r="I28" s="768">
        <v>2086</v>
      </c>
      <c r="J28"/>
    </row>
    <row r="29" spans="1:10" s="51" customFormat="1" ht="21.95" customHeight="1">
      <c r="A29" s="181" t="s">
        <v>587</v>
      </c>
      <c r="B29" s="405">
        <v>41</v>
      </c>
      <c r="C29" s="410">
        <v>3</v>
      </c>
      <c r="D29" s="405" t="s">
        <v>1509</v>
      </c>
      <c r="E29" s="406">
        <f>SUM(C29,D29)</f>
        <v>3</v>
      </c>
      <c r="F29" s="405" t="s">
        <v>1509</v>
      </c>
      <c r="G29" s="405">
        <v>437</v>
      </c>
      <c r="H29" s="405">
        <v>127</v>
      </c>
      <c r="I29" s="768">
        <v>2388</v>
      </c>
      <c r="J29"/>
    </row>
    <row r="30" spans="1:10" s="51" customFormat="1" ht="21.95" customHeight="1">
      <c r="A30" s="181" t="s">
        <v>1511</v>
      </c>
      <c r="B30" s="405" t="s">
        <v>1509</v>
      </c>
      <c r="C30" s="405" t="s">
        <v>1509</v>
      </c>
      <c r="D30" s="405" t="s">
        <v>1509</v>
      </c>
      <c r="E30" s="406" t="s">
        <v>1509</v>
      </c>
      <c r="F30" s="405" t="s">
        <v>1509</v>
      </c>
      <c r="G30" s="405" t="s">
        <v>1509</v>
      </c>
      <c r="H30" s="405" t="s">
        <v>1509</v>
      </c>
      <c r="I30" s="405" t="s">
        <v>1509</v>
      </c>
      <c r="J30"/>
    </row>
    <row r="31" spans="1:10" s="51" customFormat="1" ht="21.95" customHeight="1">
      <c r="A31" s="181" t="s">
        <v>579</v>
      </c>
      <c r="B31" s="405" t="s">
        <v>1509</v>
      </c>
      <c r="C31" s="410" t="s">
        <v>1509</v>
      </c>
      <c r="D31" s="405">
        <v>1</v>
      </c>
      <c r="E31" s="406">
        <f>SUM(C31,D31)</f>
        <v>1</v>
      </c>
      <c r="F31" s="410" t="s">
        <v>1509</v>
      </c>
      <c r="G31" s="405">
        <v>930</v>
      </c>
      <c r="H31" s="405">
        <v>19</v>
      </c>
      <c r="I31" s="768">
        <v>1719</v>
      </c>
      <c r="J31"/>
    </row>
    <row r="32" spans="1:10" s="51" customFormat="1" ht="21.95" customHeight="1">
      <c r="A32" s="357" t="s">
        <v>1384</v>
      </c>
      <c r="B32" s="460" t="s">
        <v>1509</v>
      </c>
      <c r="C32" s="140" t="s">
        <v>1509</v>
      </c>
      <c r="D32" s="460" t="s">
        <v>1509</v>
      </c>
      <c r="E32" s="460" t="s">
        <v>1509</v>
      </c>
      <c r="F32" s="140" t="s">
        <v>1509</v>
      </c>
      <c r="G32" s="460" t="s">
        <v>1509</v>
      </c>
      <c r="H32" s="460" t="s">
        <v>1509</v>
      </c>
      <c r="I32" s="769">
        <v>461</v>
      </c>
      <c r="J32"/>
    </row>
    <row r="33" spans="1:9" s="51" customFormat="1" ht="12.75" customHeight="1">
      <c r="A33" s="1531" t="s">
        <v>757</v>
      </c>
      <c r="B33" s="1532"/>
      <c r="C33" s="1532"/>
      <c r="F33" s="1310" t="s">
        <v>947</v>
      </c>
      <c r="G33" s="1311" t="s">
        <v>1654</v>
      </c>
      <c r="H33" s="1311"/>
      <c r="I33" s="1311"/>
    </row>
    <row r="34" spans="1:9" s="51" customFormat="1">
      <c r="A34" s="1533"/>
      <c r="B34" s="1533"/>
      <c r="C34" s="1533"/>
      <c r="F34" s="1312"/>
      <c r="G34" s="1312" t="s">
        <v>20</v>
      </c>
      <c r="H34" s="1312"/>
      <c r="I34" s="1312"/>
    </row>
    <row r="35" spans="1:9" s="51" customFormat="1">
      <c r="A35" s="920" t="s">
        <v>797</v>
      </c>
      <c r="B35" s="1309"/>
      <c r="C35" s="1309"/>
      <c r="E35" s="917"/>
      <c r="F35" s="1313" t="s">
        <v>948</v>
      </c>
      <c r="G35" s="1518" t="s">
        <v>19</v>
      </c>
      <c r="H35" s="1519"/>
      <c r="I35" s="1519"/>
    </row>
    <row r="36" spans="1:9">
      <c r="A36" s="920" t="s">
        <v>798</v>
      </c>
      <c r="F36" s="6"/>
      <c r="G36" s="1520"/>
      <c r="H36" s="1520"/>
      <c r="I36" s="1520"/>
    </row>
    <row r="37" spans="1:9">
      <c r="A37" s="920" t="s">
        <v>799</v>
      </c>
    </row>
  </sheetData>
  <mergeCells count="9">
    <mergeCell ref="A1:I1"/>
    <mergeCell ref="G35:I36"/>
    <mergeCell ref="A2:I2"/>
    <mergeCell ref="A4:A5"/>
    <mergeCell ref="C4:E4"/>
    <mergeCell ref="B4:B5"/>
    <mergeCell ref="B12:I12"/>
    <mergeCell ref="F4:I4"/>
    <mergeCell ref="A33:C34"/>
  </mergeCells>
  <phoneticPr fontId="0" type="noConversion"/>
  <conditionalFormatting sqref="E1:E32 E35:I36 G1:I3 E39:E65536 I6:I33 G5:H33 F41:I65536 F1:F33 A31:I31 J1:IV1048576 D1:D1048576 B1:C32 A1:A33 B36:C65536 A35:A65536">
    <cfRule type="cellIs" dxfId="19" priority="1" stopIfTrue="1" operator="equal">
      <formula>".."</formula>
    </cfRule>
  </conditionalFormatting>
  <printOptions horizontalCentered="1"/>
  <pageMargins left="0.15" right="0.1" top="0.94" bottom="0.1" header="0.5" footer="0.1"/>
  <pageSetup paperSize="9" orientation="portrait" blackAndWhite="1" horizontalDpi="4294967295" r:id="rId1"/>
  <headerFooter alignWithMargins="0"/>
</worksheet>
</file>

<file path=xl/worksheets/sheet23.xml><?xml version="1.0" encoding="utf-8"?>
<worksheet xmlns="http://schemas.openxmlformats.org/spreadsheetml/2006/main" xmlns:r="http://schemas.openxmlformats.org/officeDocument/2006/relationships">
  <sheetPr codeName="Sheet24"/>
  <dimension ref="A1:G68"/>
  <sheetViews>
    <sheetView topLeftCell="B1" workbookViewId="0">
      <selection activeCell="M5" sqref="M5"/>
    </sheetView>
  </sheetViews>
  <sheetFormatPr defaultRowHeight="12.4" customHeight="1"/>
  <cols>
    <col min="1" max="1" width="0.7109375" hidden="1" customWidth="1"/>
    <col min="2" max="2" width="22.7109375" customWidth="1"/>
    <col min="3" max="7" width="12.7109375" customWidth="1"/>
  </cols>
  <sheetData>
    <row r="1" spans="2:7" ht="15" customHeight="1">
      <c r="B1" s="1363" t="s">
        <v>1354</v>
      </c>
      <c r="C1" s="1363"/>
      <c r="D1" s="1363"/>
      <c r="E1" s="1363"/>
      <c r="F1" s="1363"/>
      <c r="G1" s="1363"/>
    </row>
    <row r="2" spans="2:7" ht="32.25" customHeight="1">
      <c r="B2" s="1534" t="str">
        <f>CONCATENATE("Achievement of Universal Immunization Programme
 in the district of ",District!$A$1)</f>
        <v>Achievement of Universal Immunization Programme
 in the district of Malda</v>
      </c>
      <c r="C2" s="1534"/>
      <c r="D2" s="1534"/>
      <c r="E2" s="1534"/>
      <c r="F2" s="1534"/>
      <c r="G2" s="1534"/>
    </row>
    <row r="3" spans="2:7" ht="12.95" customHeight="1">
      <c r="C3" s="7"/>
      <c r="D3" s="7"/>
      <c r="E3" s="7"/>
      <c r="F3" s="7"/>
      <c r="G3" s="170" t="s">
        <v>1253</v>
      </c>
    </row>
    <row r="4" spans="2:7" ht="18" customHeight="1">
      <c r="B4" s="343" t="s">
        <v>1089</v>
      </c>
      <c r="C4" s="240" t="s">
        <v>1554</v>
      </c>
      <c r="D4" s="240" t="s">
        <v>1555</v>
      </c>
      <c r="E4" s="240" t="s">
        <v>1556</v>
      </c>
      <c r="F4" s="240" t="s">
        <v>1557</v>
      </c>
      <c r="G4" s="216" t="s">
        <v>1558</v>
      </c>
    </row>
    <row r="5" spans="2:7" ht="18" customHeight="1">
      <c r="B5" s="151" t="s">
        <v>1208</v>
      </c>
      <c r="C5" s="151" t="s">
        <v>1209</v>
      </c>
      <c r="D5" s="151" t="s">
        <v>1210</v>
      </c>
      <c r="E5" s="151" t="s">
        <v>1211</v>
      </c>
      <c r="F5" s="151" t="s">
        <v>1212</v>
      </c>
      <c r="G5" s="153" t="s">
        <v>1213</v>
      </c>
    </row>
    <row r="6" spans="2:7" ht="21.95" customHeight="1">
      <c r="B6" s="1039" t="s">
        <v>1577</v>
      </c>
      <c r="C6" s="713">
        <v>90131</v>
      </c>
      <c r="D6" s="713">
        <v>93426</v>
      </c>
      <c r="E6" s="713">
        <v>89102</v>
      </c>
      <c r="F6" s="713">
        <v>98269</v>
      </c>
      <c r="G6" s="1040">
        <v>85683</v>
      </c>
    </row>
    <row r="7" spans="2:7" ht="21.95" customHeight="1">
      <c r="B7" s="281" t="s">
        <v>1576</v>
      </c>
      <c r="C7" s="713">
        <v>90788</v>
      </c>
      <c r="D7" s="713">
        <v>80882</v>
      </c>
      <c r="E7" s="713">
        <v>79611</v>
      </c>
      <c r="F7" s="713">
        <v>91596</v>
      </c>
      <c r="G7" s="1040">
        <v>77478</v>
      </c>
    </row>
    <row r="8" spans="2:7" ht="21.95" customHeight="1">
      <c r="B8" s="281" t="s">
        <v>267</v>
      </c>
      <c r="C8" s="713">
        <v>93384</v>
      </c>
      <c r="D8" s="713">
        <v>89443</v>
      </c>
      <c r="E8" s="713">
        <v>82053</v>
      </c>
      <c r="F8" s="713">
        <v>97097</v>
      </c>
      <c r="G8" s="713">
        <v>90516</v>
      </c>
    </row>
    <row r="9" spans="2:7" ht="21.95" customHeight="1">
      <c r="B9" s="281" t="s">
        <v>1094</v>
      </c>
      <c r="C9" s="713">
        <v>89619</v>
      </c>
      <c r="D9" s="713">
        <v>87258</v>
      </c>
      <c r="E9" s="713">
        <v>73953</v>
      </c>
      <c r="F9" s="713">
        <v>92674</v>
      </c>
      <c r="G9" s="713">
        <v>90034</v>
      </c>
    </row>
    <row r="10" spans="2:7" ht="21.95" customHeight="1">
      <c r="B10" s="283" t="s">
        <v>1595</v>
      </c>
      <c r="C10" s="713">
        <f>SUM(C12,C19)</f>
        <v>98509</v>
      </c>
      <c r="D10" s="713">
        <f>SUM(D12,D19)</f>
        <v>87588</v>
      </c>
      <c r="E10" s="713">
        <f>SUM(E12,E19)</f>
        <v>87822</v>
      </c>
      <c r="F10" s="713">
        <f>SUM(F12,F19)</f>
        <v>99870</v>
      </c>
      <c r="G10" s="713">
        <f>SUM(G12,G19)</f>
        <v>88287</v>
      </c>
    </row>
    <row r="11" spans="2:7" ht="30" customHeight="1">
      <c r="B11" s="343" t="s">
        <v>18</v>
      </c>
      <c r="C11" s="1535" t="str">
        <f xml:space="preserve"> "Year : "  &amp;  B10</f>
        <v>Year : 2013-14</v>
      </c>
      <c r="D11" s="1536"/>
      <c r="E11" s="1536"/>
      <c r="F11" s="1536"/>
      <c r="G11" s="1537"/>
    </row>
    <row r="12" spans="2:7" ht="23.1" customHeight="1">
      <c r="B12" s="411" t="s">
        <v>1155</v>
      </c>
      <c r="C12" s="409">
        <f>SUM(C13:C18)</f>
        <v>34584</v>
      </c>
      <c r="D12" s="409">
        <f>SUM(D13:D18)</f>
        <v>31769</v>
      </c>
      <c r="E12" s="409">
        <f>SUM(E13:E18)</f>
        <v>31738</v>
      </c>
      <c r="F12" s="409">
        <f>SUM(F13:F18)</f>
        <v>34132</v>
      </c>
      <c r="G12" s="385">
        <f>SUM(G13:G18)</f>
        <v>31464</v>
      </c>
    </row>
    <row r="13" spans="2:7" ht="23.1" customHeight="1">
      <c r="B13" s="412" t="s">
        <v>1051</v>
      </c>
      <c r="C13" s="112">
        <v>4909</v>
      </c>
      <c r="D13" s="112">
        <v>4422</v>
      </c>
      <c r="E13" s="112">
        <v>4574</v>
      </c>
      <c r="F13" s="112">
        <v>5117</v>
      </c>
      <c r="G13" s="114">
        <v>4358</v>
      </c>
    </row>
    <row r="14" spans="2:7" ht="23.1" customHeight="1">
      <c r="B14" s="181" t="s">
        <v>495</v>
      </c>
      <c r="C14" s="112">
        <v>7237</v>
      </c>
      <c r="D14" s="112">
        <v>6338</v>
      </c>
      <c r="E14" s="112">
        <v>6234</v>
      </c>
      <c r="F14" s="112">
        <v>6717</v>
      </c>
      <c r="G14" s="114">
        <v>6332</v>
      </c>
    </row>
    <row r="15" spans="2:7" ht="23.1" customHeight="1">
      <c r="B15" s="181" t="s">
        <v>531</v>
      </c>
      <c r="C15" s="112">
        <v>4206</v>
      </c>
      <c r="D15" s="112">
        <v>4241</v>
      </c>
      <c r="E15" s="112">
        <v>4234</v>
      </c>
      <c r="F15" s="112">
        <v>5322</v>
      </c>
      <c r="G15" s="114">
        <v>4172</v>
      </c>
    </row>
    <row r="16" spans="2:7" ht="23.1" customHeight="1">
      <c r="B16" s="181" t="s">
        <v>532</v>
      </c>
      <c r="C16" s="112">
        <v>5338</v>
      </c>
      <c r="D16" s="112">
        <v>4772</v>
      </c>
      <c r="E16" s="112">
        <v>4826</v>
      </c>
      <c r="F16" s="112">
        <v>4791</v>
      </c>
      <c r="G16" s="114">
        <v>4670</v>
      </c>
    </row>
    <row r="17" spans="2:7" ht="23.1" customHeight="1">
      <c r="B17" s="181" t="s">
        <v>533</v>
      </c>
      <c r="C17" s="112">
        <v>7929</v>
      </c>
      <c r="D17" s="112">
        <v>6897</v>
      </c>
      <c r="E17" s="112">
        <v>6948</v>
      </c>
      <c r="F17" s="112">
        <v>7170</v>
      </c>
      <c r="G17" s="114">
        <v>6847</v>
      </c>
    </row>
    <row r="18" spans="2:7" ht="23.1" customHeight="1">
      <c r="B18" s="181" t="s">
        <v>573</v>
      </c>
      <c r="C18" s="112">
        <v>4965</v>
      </c>
      <c r="D18" s="112">
        <v>5099</v>
      </c>
      <c r="E18" s="112">
        <v>4922</v>
      </c>
      <c r="F18" s="112">
        <v>5015</v>
      </c>
      <c r="G18" s="114">
        <v>5085</v>
      </c>
    </row>
    <row r="19" spans="2:7" ht="23.1" customHeight="1">
      <c r="B19" s="397" t="s">
        <v>1154</v>
      </c>
      <c r="C19" s="397">
        <f>SUM(C20:C30)</f>
        <v>63925</v>
      </c>
      <c r="D19" s="397">
        <f>SUM(D20:D30)</f>
        <v>55819</v>
      </c>
      <c r="E19" s="397">
        <f>SUM(E20:E30)</f>
        <v>56084</v>
      </c>
      <c r="F19" s="397">
        <f>SUM(F20:F30)</f>
        <v>65738</v>
      </c>
      <c r="G19" s="385">
        <f>SUM(G20:G30)</f>
        <v>56823</v>
      </c>
    </row>
    <row r="20" spans="2:7" ht="23.1" customHeight="1">
      <c r="B20" s="181" t="s">
        <v>576</v>
      </c>
      <c r="C20" s="112">
        <v>7050</v>
      </c>
      <c r="D20" s="112">
        <v>6474</v>
      </c>
      <c r="E20" s="678">
        <v>6642</v>
      </c>
      <c r="F20" s="112">
        <v>7024</v>
      </c>
      <c r="G20" s="114">
        <v>6694</v>
      </c>
    </row>
    <row r="21" spans="2:7" ht="23.1" customHeight="1">
      <c r="B21" s="181" t="s">
        <v>1510</v>
      </c>
      <c r="C21" s="112">
        <v>2642</v>
      </c>
      <c r="D21" s="112">
        <v>2464</v>
      </c>
      <c r="E21" s="112">
        <v>2515</v>
      </c>
      <c r="F21" s="678">
        <v>2335</v>
      </c>
      <c r="G21" s="98">
        <v>2317</v>
      </c>
    </row>
    <row r="22" spans="2:7" ht="23.1" customHeight="1">
      <c r="B22" s="181" t="s">
        <v>577</v>
      </c>
      <c r="C22" s="112">
        <v>4393</v>
      </c>
      <c r="D22" s="112">
        <v>3984</v>
      </c>
      <c r="E22" s="112">
        <v>4028</v>
      </c>
      <c r="F22" s="678">
        <v>4140</v>
      </c>
      <c r="G22" s="98">
        <v>3857</v>
      </c>
    </row>
    <row r="23" spans="2:7" ht="23.1" customHeight="1">
      <c r="B23" s="181" t="s">
        <v>578</v>
      </c>
      <c r="C23" s="112">
        <v>4747</v>
      </c>
      <c r="D23" s="112">
        <v>4274</v>
      </c>
      <c r="E23" s="112">
        <v>4398</v>
      </c>
      <c r="F23" s="678">
        <v>4161</v>
      </c>
      <c r="G23" s="98">
        <v>4224</v>
      </c>
    </row>
    <row r="24" spans="2:7" ht="23.1" customHeight="1">
      <c r="B24" s="181" t="s">
        <v>490</v>
      </c>
      <c r="C24" s="112">
        <v>6381</v>
      </c>
      <c r="D24" s="112">
        <v>5696</v>
      </c>
      <c r="E24" s="112">
        <v>5647</v>
      </c>
      <c r="F24" s="678">
        <v>6105</v>
      </c>
      <c r="G24" s="98">
        <v>5946</v>
      </c>
    </row>
    <row r="25" spans="2:7" ht="23.1" customHeight="1">
      <c r="B25" s="181" t="s">
        <v>580</v>
      </c>
      <c r="C25" s="112">
        <v>6874</v>
      </c>
      <c r="D25" s="112">
        <v>6106</v>
      </c>
      <c r="E25" s="112">
        <v>6129</v>
      </c>
      <c r="F25" s="678">
        <v>6676</v>
      </c>
      <c r="G25" s="98">
        <v>6077</v>
      </c>
    </row>
    <row r="26" spans="2:7" ht="23.1" customHeight="1">
      <c r="B26" s="181" t="s">
        <v>585</v>
      </c>
      <c r="C26" s="112">
        <v>11740</v>
      </c>
      <c r="D26" s="112">
        <v>9836</v>
      </c>
      <c r="E26" s="112">
        <v>9770</v>
      </c>
      <c r="F26" s="678">
        <v>10731</v>
      </c>
      <c r="G26" s="98">
        <v>10399</v>
      </c>
    </row>
    <row r="27" spans="2:7" ht="23.1" customHeight="1">
      <c r="B27" s="181" t="s">
        <v>586</v>
      </c>
      <c r="C27" s="112">
        <v>5949</v>
      </c>
      <c r="D27" s="112">
        <v>5504</v>
      </c>
      <c r="E27" s="112">
        <v>5608</v>
      </c>
      <c r="F27" s="678">
        <v>5794</v>
      </c>
      <c r="G27" s="98">
        <v>5366</v>
      </c>
    </row>
    <row r="28" spans="2:7" ht="23.1" customHeight="1">
      <c r="B28" s="181" t="s">
        <v>587</v>
      </c>
      <c r="C28" s="112">
        <v>10736</v>
      </c>
      <c r="D28" s="112">
        <v>8713</v>
      </c>
      <c r="E28" s="112">
        <v>8562</v>
      </c>
      <c r="F28" s="678">
        <v>11502</v>
      </c>
      <c r="G28" s="98">
        <v>8839</v>
      </c>
    </row>
    <row r="29" spans="2:7" ht="23.1" customHeight="1">
      <c r="B29" s="181" t="s">
        <v>1293</v>
      </c>
      <c r="C29" s="588" t="s">
        <v>1183</v>
      </c>
      <c r="D29" s="588" t="s">
        <v>1183</v>
      </c>
      <c r="E29" s="588" t="s">
        <v>1183</v>
      </c>
      <c r="F29" s="588" t="s">
        <v>1183</v>
      </c>
      <c r="G29" s="588" t="s">
        <v>1183</v>
      </c>
    </row>
    <row r="30" spans="2:7" ht="23.1" customHeight="1">
      <c r="B30" s="357" t="s">
        <v>579</v>
      </c>
      <c r="C30" s="119">
        <v>3413</v>
      </c>
      <c r="D30" s="119">
        <v>2768</v>
      </c>
      <c r="E30" s="460">
        <v>2785</v>
      </c>
      <c r="F30" s="714">
        <v>7270</v>
      </c>
      <c r="G30" s="120">
        <v>3104</v>
      </c>
    </row>
    <row r="31" spans="2:7" ht="12.75" customHeight="1">
      <c r="B31" s="919" t="s">
        <v>409</v>
      </c>
      <c r="C31" s="920"/>
      <c r="D31" s="920"/>
      <c r="E31" s="25"/>
      <c r="F31" s="257"/>
      <c r="G31" s="918" t="s">
        <v>913</v>
      </c>
    </row>
    <row r="32" spans="2:7" ht="12.75" customHeight="1">
      <c r="B32" s="921" t="s">
        <v>912</v>
      </c>
      <c r="C32" s="920"/>
      <c r="D32" s="25"/>
      <c r="E32" s="25"/>
      <c r="F32" s="25"/>
      <c r="G32" s="920"/>
    </row>
    <row r="33" spans="2:7" ht="12.75" customHeight="1">
      <c r="B33" s="922" t="s">
        <v>100</v>
      </c>
      <c r="C33" s="923"/>
      <c r="D33" s="920"/>
      <c r="E33" s="25"/>
      <c r="F33" s="25"/>
      <c r="G33" s="920"/>
    </row>
    <row r="34" spans="2:7" ht="12.75" customHeight="1">
      <c r="B34" s="25" t="s">
        <v>108</v>
      </c>
      <c r="C34" s="923"/>
      <c r="D34" s="920"/>
      <c r="E34" s="25"/>
      <c r="F34" s="920"/>
      <c r="G34" s="920"/>
    </row>
    <row r="67" spans="2:5" ht="12.4" customHeight="1">
      <c r="B67" s="51"/>
      <c r="C67" s="139"/>
    </row>
    <row r="68" spans="2:5" ht="12.4" customHeight="1">
      <c r="B68" s="51"/>
      <c r="C68" s="51"/>
      <c r="D68" s="51"/>
      <c r="E68" s="69"/>
    </row>
  </sheetData>
  <mergeCells count="3">
    <mergeCell ref="B2:G2"/>
    <mergeCell ref="C11:G11"/>
    <mergeCell ref="B1:G1"/>
  </mergeCells>
  <phoneticPr fontId="0" type="noConversion"/>
  <printOptions horizontalCentered="1"/>
  <pageMargins left="0.1" right="0.1" top="0.97" bottom="0.1" header="0.5" footer="0.1"/>
  <pageSetup paperSize="9" orientation="portrait" blackAndWhite="1" horizontalDpi="4294967295" verticalDpi="180" r:id="rId1"/>
  <headerFooter alignWithMargins="0"/>
</worksheet>
</file>

<file path=xl/worksheets/sheet24.xml><?xml version="1.0" encoding="utf-8"?>
<worksheet xmlns="http://schemas.openxmlformats.org/spreadsheetml/2006/main" xmlns:r="http://schemas.openxmlformats.org/officeDocument/2006/relationships">
  <sheetPr codeName="Sheet21"/>
  <dimension ref="A1:F33"/>
  <sheetViews>
    <sheetView topLeftCell="A19" workbookViewId="0">
      <selection activeCell="M5" sqref="M5"/>
    </sheetView>
  </sheetViews>
  <sheetFormatPr defaultRowHeight="12.75"/>
  <cols>
    <col min="1" max="1" width="20.5703125" customWidth="1"/>
    <col min="2" max="3" width="23" customWidth="1"/>
    <col min="4" max="4" width="25" customWidth="1"/>
  </cols>
  <sheetData>
    <row r="1" spans="1:4">
      <c r="A1" s="1517" t="s">
        <v>1355</v>
      </c>
      <c r="B1" s="1517"/>
      <c r="C1" s="1517"/>
      <c r="D1" s="1517"/>
    </row>
    <row r="2" spans="1:4" ht="35.25" customHeight="1">
      <c r="A2" s="1521" t="str">
        <f>CONCATENATE(" Patients treated in Hospitals, Health Centres and Sub-centres
 in the district of ",District!$A$1)</f>
        <v xml:space="preserve"> Patients treated in Hospitals, Health Centres and Sub-centres
 in the district of Malda</v>
      </c>
      <c r="B2" s="1521"/>
      <c r="C2" s="1521"/>
      <c r="D2" s="1521"/>
    </row>
    <row r="3" spans="1:4" ht="13.5" customHeight="1">
      <c r="B3" s="52"/>
      <c r="D3" s="184" t="s">
        <v>1253</v>
      </c>
    </row>
    <row r="4" spans="1:4" ht="21.75" customHeight="1">
      <c r="A4" s="413" t="s">
        <v>1089</v>
      </c>
      <c r="B4" s="306" t="s">
        <v>1559</v>
      </c>
      <c r="C4" s="408" t="s">
        <v>1560</v>
      </c>
      <c r="D4" s="402" t="s">
        <v>1233</v>
      </c>
    </row>
    <row r="5" spans="1:4" ht="17.25" customHeight="1">
      <c r="A5" s="308" t="s">
        <v>1208</v>
      </c>
      <c r="B5" s="308" t="s">
        <v>1209</v>
      </c>
      <c r="C5" s="308" t="s">
        <v>1210</v>
      </c>
      <c r="D5" s="309" t="s">
        <v>1211</v>
      </c>
    </row>
    <row r="6" spans="1:4" ht="21.95" customHeight="1">
      <c r="A6" s="281">
        <v>2010</v>
      </c>
      <c r="B6" s="116">
        <v>168232</v>
      </c>
      <c r="C6" s="116">
        <v>1821003</v>
      </c>
      <c r="D6" s="695">
        <v>1989235</v>
      </c>
    </row>
    <row r="7" spans="1:4" ht="21.95" customHeight="1">
      <c r="A7" s="281">
        <v>2011</v>
      </c>
      <c r="B7" s="116">
        <v>161855</v>
      </c>
      <c r="C7" s="116">
        <v>1804899</v>
      </c>
      <c r="D7" s="695">
        <v>1966754</v>
      </c>
    </row>
    <row r="8" spans="1:4" ht="21.95" customHeight="1">
      <c r="A8" s="281">
        <v>2012</v>
      </c>
      <c r="B8" s="116">
        <v>196821</v>
      </c>
      <c r="C8" s="116">
        <v>1986288</v>
      </c>
      <c r="D8" s="695">
        <v>2183109</v>
      </c>
    </row>
    <row r="9" spans="1:4" ht="21.95" customHeight="1">
      <c r="A9" s="281">
        <v>2013</v>
      </c>
      <c r="B9" s="116">
        <v>203341</v>
      </c>
      <c r="C9" s="116">
        <v>1783979</v>
      </c>
      <c r="D9" s="695">
        <v>1987320</v>
      </c>
    </row>
    <row r="10" spans="1:4" ht="21.95" customHeight="1">
      <c r="A10" s="761">
        <v>2014</v>
      </c>
      <c r="B10" s="610">
        <f>IF(SUM(B12,B19)=0,"-",SUM(B12,B19))</f>
        <v>114531</v>
      </c>
      <c r="C10" s="610">
        <f>IF(SUM(C12,C19)=0,"-",SUM(C12,C19))</f>
        <v>2737773</v>
      </c>
      <c r="D10" s="610">
        <f>IF(SUM(D12,D19)=0,"-",SUM(D12,D19))</f>
        <v>2852304</v>
      </c>
    </row>
    <row r="11" spans="1:4" ht="30" customHeight="1">
      <c r="A11" s="416" t="s">
        <v>854</v>
      </c>
      <c r="B11" s="1527" t="str">
        <f>"Year : " &amp; A10</f>
        <v>Year : 2014</v>
      </c>
      <c r="C11" s="1528"/>
      <c r="D11" s="1529"/>
    </row>
    <row r="12" spans="1:4" ht="24" customHeight="1">
      <c r="A12" s="210" t="s">
        <v>1155</v>
      </c>
      <c r="B12" s="397">
        <f>SUM(B13:B18)</f>
        <v>54733</v>
      </c>
      <c r="C12" s="384">
        <f>SUM(C13:C18)</f>
        <v>1082292</v>
      </c>
      <c r="D12" s="409">
        <f>SUM(D13:D18)</f>
        <v>1137025</v>
      </c>
    </row>
    <row r="13" spans="1:4" ht="24" customHeight="1">
      <c r="A13" s="417" t="s">
        <v>1051</v>
      </c>
      <c r="B13" s="112">
        <v>7445</v>
      </c>
      <c r="C13" s="112">
        <v>173094</v>
      </c>
      <c r="D13" s="132">
        <f t="shared" ref="D13:D18" si="0">SUM(B13:C13)</f>
        <v>180539</v>
      </c>
    </row>
    <row r="14" spans="1:4" ht="24" customHeight="1">
      <c r="A14" s="414" t="s">
        <v>495</v>
      </c>
      <c r="B14" s="112">
        <v>7196</v>
      </c>
      <c r="C14" s="112">
        <v>141022</v>
      </c>
      <c r="D14" s="132">
        <f t="shared" si="0"/>
        <v>148218</v>
      </c>
    </row>
    <row r="15" spans="1:4" ht="24" customHeight="1">
      <c r="A15" s="414" t="s">
        <v>531</v>
      </c>
      <c r="B15" s="112">
        <v>17055</v>
      </c>
      <c r="C15" s="112">
        <v>173783</v>
      </c>
      <c r="D15" s="132">
        <f t="shared" si="0"/>
        <v>190838</v>
      </c>
    </row>
    <row r="16" spans="1:4" ht="24" customHeight="1">
      <c r="A16" s="414" t="s">
        <v>532</v>
      </c>
      <c r="B16" s="112">
        <v>8724</v>
      </c>
      <c r="C16" s="112">
        <v>211554</v>
      </c>
      <c r="D16" s="132">
        <f t="shared" si="0"/>
        <v>220278</v>
      </c>
    </row>
    <row r="17" spans="1:4" ht="24" customHeight="1">
      <c r="A17" s="414" t="s">
        <v>533</v>
      </c>
      <c r="B17" s="112">
        <v>5652</v>
      </c>
      <c r="C17" s="112">
        <v>227686</v>
      </c>
      <c r="D17" s="132">
        <f t="shared" si="0"/>
        <v>233338</v>
      </c>
    </row>
    <row r="18" spans="1:4" ht="24" customHeight="1">
      <c r="A18" s="414" t="s">
        <v>573</v>
      </c>
      <c r="B18" s="112">
        <v>8661</v>
      </c>
      <c r="C18" s="112">
        <v>155153</v>
      </c>
      <c r="D18" s="132">
        <f t="shared" si="0"/>
        <v>163814</v>
      </c>
    </row>
    <row r="19" spans="1:4" ht="24" customHeight="1">
      <c r="A19" s="383" t="s">
        <v>1154</v>
      </c>
      <c r="B19" s="397">
        <f>SUM(B20:B30)</f>
        <v>59798</v>
      </c>
      <c r="C19" s="384">
        <f>SUM(C20:C30)</f>
        <v>1655481</v>
      </c>
      <c r="D19" s="397">
        <f>SUM(D20:D30)</f>
        <v>1715279</v>
      </c>
    </row>
    <row r="20" spans="1:4" ht="24" customHeight="1">
      <c r="A20" s="414" t="s">
        <v>576</v>
      </c>
      <c r="B20" s="112">
        <v>3955</v>
      </c>
      <c r="C20" s="80">
        <v>252694</v>
      </c>
      <c r="D20" s="132">
        <f>SUM(B20:C20)</f>
        <v>256649</v>
      </c>
    </row>
    <row r="21" spans="1:4" ht="24" customHeight="1">
      <c r="A21" s="414" t="s">
        <v>1510</v>
      </c>
      <c r="B21" s="404">
        <v>3182</v>
      </c>
      <c r="C21" s="80">
        <v>127512</v>
      </c>
      <c r="D21" s="132">
        <f t="shared" ref="D21:D28" si="1">SUM(B21:C21)</f>
        <v>130694</v>
      </c>
    </row>
    <row r="22" spans="1:4" ht="24" customHeight="1">
      <c r="A22" s="414" t="s">
        <v>577</v>
      </c>
      <c r="B22" s="1264">
        <v>6647</v>
      </c>
      <c r="C22" s="1265">
        <v>206439</v>
      </c>
      <c r="D22" s="132">
        <f t="shared" si="1"/>
        <v>213086</v>
      </c>
    </row>
    <row r="23" spans="1:4" ht="24" customHeight="1">
      <c r="A23" s="414" t="s">
        <v>578</v>
      </c>
      <c r="B23" s="404">
        <v>1857</v>
      </c>
      <c r="C23" s="80">
        <v>148149</v>
      </c>
      <c r="D23" s="132">
        <f t="shared" si="1"/>
        <v>150006</v>
      </c>
    </row>
    <row r="24" spans="1:4" ht="24" customHeight="1">
      <c r="A24" s="414" t="s">
        <v>490</v>
      </c>
      <c r="B24" s="404">
        <v>8927</v>
      </c>
      <c r="C24" s="80">
        <v>130169</v>
      </c>
      <c r="D24" s="132">
        <f t="shared" si="1"/>
        <v>139096</v>
      </c>
    </row>
    <row r="25" spans="1:4" ht="24" customHeight="1">
      <c r="A25" s="414" t="s">
        <v>580</v>
      </c>
      <c r="B25" s="404">
        <v>5160</v>
      </c>
      <c r="C25" s="80">
        <v>311405</v>
      </c>
      <c r="D25" s="132">
        <f t="shared" si="1"/>
        <v>316565</v>
      </c>
    </row>
    <row r="26" spans="1:4" ht="24" customHeight="1">
      <c r="A26" s="414" t="s">
        <v>585</v>
      </c>
      <c r="B26" s="1264">
        <v>13009</v>
      </c>
      <c r="C26" s="1265">
        <v>157816</v>
      </c>
      <c r="D26" s="132">
        <v>170825</v>
      </c>
    </row>
    <row r="27" spans="1:4" ht="24" customHeight="1">
      <c r="A27" s="414" t="s">
        <v>586</v>
      </c>
      <c r="B27" s="404">
        <v>9075</v>
      </c>
      <c r="C27" s="80">
        <v>178600</v>
      </c>
      <c r="D27" s="132">
        <f t="shared" si="1"/>
        <v>187675</v>
      </c>
    </row>
    <row r="28" spans="1:4" ht="24" customHeight="1">
      <c r="A28" s="414" t="s">
        <v>587</v>
      </c>
      <c r="B28" s="404">
        <v>7986</v>
      </c>
      <c r="C28" s="80">
        <v>142697</v>
      </c>
      <c r="D28" s="132">
        <f t="shared" si="1"/>
        <v>150683</v>
      </c>
    </row>
    <row r="29" spans="1:4" ht="24" customHeight="1">
      <c r="A29" s="414" t="s">
        <v>1511</v>
      </c>
      <c r="B29" s="889" t="s">
        <v>1183</v>
      </c>
      <c r="C29" s="1041" t="s">
        <v>1183</v>
      </c>
      <c r="D29" s="889" t="str">
        <f>IF(SUM(B29,C29)=0,"..",SUM(B29:C29))</f>
        <v>..</v>
      </c>
    </row>
    <row r="30" spans="1:4" ht="24" customHeight="1">
      <c r="A30" s="415" t="s">
        <v>579</v>
      </c>
      <c r="B30" s="1299" t="s">
        <v>1183</v>
      </c>
      <c r="C30" s="1300" t="s">
        <v>1183</v>
      </c>
      <c r="D30" s="1299" t="s">
        <v>1183</v>
      </c>
    </row>
    <row r="31" spans="1:4" ht="12.4" customHeight="1">
      <c r="A31" s="1261"/>
      <c r="B31" s="25"/>
      <c r="C31" s="924" t="s">
        <v>947</v>
      </c>
      <c r="D31" s="917" t="str">
        <f>CONCATENATE("Dy. C.M.O.H.-II, ",District!$A$1)</f>
        <v>Dy. C.M.O.H.-II, Malda</v>
      </c>
    </row>
    <row r="32" spans="1:4" ht="25.5" customHeight="1">
      <c r="A32" s="920"/>
      <c r="B32" s="25"/>
      <c r="C32" s="981" t="s">
        <v>948</v>
      </c>
      <c r="D32" s="1538" t="s">
        <v>513</v>
      </c>
    </row>
    <row r="33" spans="1:6" ht="12.4" customHeight="1">
      <c r="A33" s="920"/>
      <c r="B33" s="925"/>
      <c r="C33" s="25"/>
      <c r="D33" s="1539"/>
      <c r="F33" s="166"/>
    </row>
  </sheetData>
  <mergeCells count="4">
    <mergeCell ref="B11:D11"/>
    <mergeCell ref="A2:D2"/>
    <mergeCell ref="A1:D1"/>
    <mergeCell ref="D32:D33"/>
  </mergeCells>
  <phoneticPr fontId="0" type="noConversion"/>
  <printOptions horizontalCentered="1"/>
  <pageMargins left="0.1" right="0.1" top="0.94" bottom="0.1" header="0.7" footer="0.1"/>
  <pageSetup paperSize="9" orientation="portrait" blackAndWhite="1" horizontalDpi="4294967295" r:id="rId1"/>
  <headerFooter alignWithMargins="0"/>
</worksheet>
</file>

<file path=xl/worksheets/sheet25.xml><?xml version="1.0" encoding="utf-8"?>
<worksheet xmlns="http://schemas.openxmlformats.org/spreadsheetml/2006/main" xmlns:r="http://schemas.openxmlformats.org/officeDocument/2006/relationships">
  <sheetPr codeName="Sheet22"/>
  <dimension ref="A1:E35"/>
  <sheetViews>
    <sheetView topLeftCell="A22" workbookViewId="0">
      <selection activeCell="M5" sqref="M5"/>
    </sheetView>
  </sheetViews>
  <sheetFormatPr defaultColWidth="9.140625" defaultRowHeight="12.75"/>
  <cols>
    <col min="1" max="1" width="22.28515625" customWidth="1"/>
    <col min="2" max="2" width="17.42578125" customWidth="1"/>
    <col min="3" max="3" width="14.42578125" customWidth="1"/>
    <col min="4" max="4" width="14.7109375" customWidth="1"/>
    <col min="5" max="5" width="15.140625" customWidth="1"/>
  </cols>
  <sheetData>
    <row r="1" spans="1:5" ht="19.5" customHeight="1">
      <c r="A1" s="1507" t="s">
        <v>547</v>
      </c>
      <c r="B1" s="1507"/>
      <c r="C1" s="1507"/>
      <c r="D1" s="1507"/>
      <c r="E1" s="1507"/>
    </row>
    <row r="2" spans="1:5" ht="36" customHeight="1">
      <c r="A2" s="1544" t="str">
        <f>CONCATENATE("Births and Deaths in different Hospitals and Health Centres 
in the district of ",District!A1)</f>
        <v>Births and Deaths in different Hospitals and Health Centres 
in the district of Malda</v>
      </c>
      <c r="B2" s="1544"/>
      <c r="C2" s="1544"/>
      <c r="D2" s="1544"/>
      <c r="E2" s="1544"/>
    </row>
    <row r="3" spans="1:5">
      <c r="B3" s="7"/>
      <c r="C3" s="4"/>
      <c r="D3" s="4"/>
      <c r="E3" s="513" t="s">
        <v>1253</v>
      </c>
    </row>
    <row r="4" spans="1:5" ht="18.75" customHeight="1">
      <c r="A4" s="1500" t="s">
        <v>1089</v>
      </c>
      <c r="B4" s="1500" t="s">
        <v>21</v>
      </c>
      <c r="C4" s="1514" t="s">
        <v>906</v>
      </c>
      <c r="D4" s="1545"/>
      <c r="E4" s="1546"/>
    </row>
    <row r="5" spans="1:5" ht="17.25" customHeight="1">
      <c r="A5" s="1502"/>
      <c r="B5" s="1502"/>
      <c r="C5" s="514" t="s">
        <v>1003</v>
      </c>
      <c r="D5" s="602" t="s">
        <v>1050</v>
      </c>
      <c r="E5" s="515" t="s">
        <v>1233</v>
      </c>
    </row>
    <row r="6" spans="1:5" ht="16.5" customHeight="1">
      <c r="A6" s="799" t="s">
        <v>1208</v>
      </c>
      <c r="B6" s="799" t="s">
        <v>1209</v>
      </c>
      <c r="C6" s="799" t="s">
        <v>1210</v>
      </c>
      <c r="D6" s="799" t="s">
        <v>1211</v>
      </c>
      <c r="E6" s="799" t="s">
        <v>1212</v>
      </c>
    </row>
    <row r="7" spans="1:5" ht="21.95" customHeight="1">
      <c r="A7" s="570">
        <v>2010</v>
      </c>
      <c r="B7" s="116">
        <v>37805</v>
      </c>
      <c r="C7" s="41">
        <v>1800</v>
      </c>
      <c r="D7" s="116">
        <v>19297</v>
      </c>
      <c r="E7" s="831">
        <v>21097</v>
      </c>
    </row>
    <row r="8" spans="1:5" ht="21.95" customHeight="1">
      <c r="A8" s="570">
        <v>2011</v>
      </c>
      <c r="B8" s="1122">
        <v>44010</v>
      </c>
      <c r="C8" s="1123">
        <v>1953</v>
      </c>
      <c r="D8" s="1122">
        <v>19861</v>
      </c>
      <c r="E8" s="831">
        <v>21814</v>
      </c>
    </row>
    <row r="9" spans="1:5" ht="21.95" customHeight="1">
      <c r="A9" s="570">
        <v>2012</v>
      </c>
      <c r="B9" s="116">
        <v>47957</v>
      </c>
      <c r="C9" s="41">
        <v>2165</v>
      </c>
      <c r="D9" s="116">
        <v>19958</v>
      </c>
      <c r="E9" s="831">
        <v>22123</v>
      </c>
    </row>
    <row r="10" spans="1:5" ht="21.95" customHeight="1">
      <c r="A10" s="570">
        <v>2013</v>
      </c>
      <c r="B10" s="116">
        <v>41787</v>
      </c>
      <c r="C10" s="41">
        <v>2198</v>
      </c>
      <c r="D10" s="116">
        <v>19823</v>
      </c>
      <c r="E10" s="831">
        <v>22021</v>
      </c>
    </row>
    <row r="11" spans="1:5" ht="21.95" customHeight="1">
      <c r="A11" s="830">
        <v>2014</v>
      </c>
      <c r="B11" s="116">
        <f>SUM(B13,B20)</f>
        <v>52053</v>
      </c>
      <c r="C11" s="116">
        <f>SUM(C13,C20)</f>
        <v>2067</v>
      </c>
      <c r="D11" s="116">
        <f>SUM(D13,D20)</f>
        <v>19748</v>
      </c>
      <c r="E11" s="831">
        <f>SUM(E13,E20)</f>
        <v>21815</v>
      </c>
    </row>
    <row r="12" spans="1:5" ht="29.25" customHeight="1">
      <c r="A12" s="543" t="s">
        <v>446</v>
      </c>
      <c r="B12" s="1540" t="str">
        <f>"Year : " &amp; $A$11</f>
        <v>Year : 2014</v>
      </c>
      <c r="C12" s="1541"/>
      <c r="D12" s="1541"/>
      <c r="E12" s="1542"/>
    </row>
    <row r="13" spans="1:5" ht="23.1" customHeight="1">
      <c r="A13" s="210" t="s">
        <v>1155</v>
      </c>
      <c r="B13" s="569">
        <f>SUM(B14:B19)</f>
        <v>10531</v>
      </c>
      <c r="C13" s="569">
        <f>SUM(C14:C19)</f>
        <v>431</v>
      </c>
      <c r="D13" s="569">
        <f>SUM(D14:D19)</f>
        <v>5666</v>
      </c>
      <c r="E13" s="569">
        <f>SUM(E14:E19)</f>
        <v>6097</v>
      </c>
    </row>
    <row r="14" spans="1:5" ht="23.1" customHeight="1">
      <c r="A14" s="417" t="s">
        <v>1051</v>
      </c>
      <c r="B14" s="516">
        <v>2330</v>
      </c>
      <c r="C14" s="516">
        <v>82</v>
      </c>
      <c r="D14" s="516">
        <v>824</v>
      </c>
      <c r="E14" s="516">
        <f>SUM(C14,D14)</f>
        <v>906</v>
      </c>
    </row>
    <row r="15" spans="1:5" ht="23.1" customHeight="1">
      <c r="A15" s="414" t="s">
        <v>495</v>
      </c>
      <c r="B15" s="516">
        <v>1074</v>
      </c>
      <c r="C15" s="516">
        <v>69</v>
      </c>
      <c r="D15" s="516">
        <v>893</v>
      </c>
      <c r="E15" s="516">
        <f t="shared" ref="E15:E31" si="0">SUM(C15,D15)</f>
        <v>962</v>
      </c>
    </row>
    <row r="16" spans="1:5" ht="23.1" customHeight="1">
      <c r="A16" s="414" t="s">
        <v>531</v>
      </c>
      <c r="B16" s="516">
        <v>2960</v>
      </c>
      <c r="C16" s="516">
        <v>111</v>
      </c>
      <c r="D16" s="516">
        <v>1125</v>
      </c>
      <c r="E16" s="516">
        <f t="shared" si="0"/>
        <v>1236</v>
      </c>
    </row>
    <row r="17" spans="1:5" ht="23.1" customHeight="1">
      <c r="A17" s="414" t="s">
        <v>532</v>
      </c>
      <c r="B17" s="516">
        <v>1013</v>
      </c>
      <c r="C17" s="516">
        <v>37</v>
      </c>
      <c r="D17" s="516">
        <v>964</v>
      </c>
      <c r="E17" s="516">
        <f t="shared" si="0"/>
        <v>1001</v>
      </c>
    </row>
    <row r="18" spans="1:5" ht="23.1" customHeight="1">
      <c r="A18" s="414" t="s">
        <v>533</v>
      </c>
      <c r="B18" s="516">
        <v>1746</v>
      </c>
      <c r="C18" s="516">
        <v>83</v>
      </c>
      <c r="D18" s="516">
        <v>1035</v>
      </c>
      <c r="E18" s="516">
        <f t="shared" si="0"/>
        <v>1118</v>
      </c>
    </row>
    <row r="19" spans="1:5" ht="23.1" customHeight="1">
      <c r="A19" s="414" t="s">
        <v>573</v>
      </c>
      <c r="B19" s="516">
        <v>1408</v>
      </c>
      <c r="C19" s="516">
        <v>49</v>
      </c>
      <c r="D19" s="516">
        <v>825</v>
      </c>
      <c r="E19" s="516">
        <f t="shared" si="0"/>
        <v>874</v>
      </c>
    </row>
    <row r="20" spans="1:5" ht="23.1" customHeight="1">
      <c r="A20" s="383" t="s">
        <v>1154</v>
      </c>
      <c r="B20" s="571">
        <f>SUM(B21:B31)</f>
        <v>41522</v>
      </c>
      <c r="C20" s="571">
        <f>SUM(C21:C31)</f>
        <v>1636</v>
      </c>
      <c r="D20" s="571">
        <f>SUM(D21:D31)</f>
        <v>14082</v>
      </c>
      <c r="E20" s="571">
        <f>SUM(E21:E31)</f>
        <v>15718</v>
      </c>
    </row>
    <row r="21" spans="1:5" ht="23.1" customHeight="1">
      <c r="A21" s="414" t="s">
        <v>576</v>
      </c>
      <c r="B21" s="516">
        <v>2993</v>
      </c>
      <c r="C21" s="516">
        <v>82</v>
      </c>
      <c r="D21" s="516">
        <v>1290</v>
      </c>
      <c r="E21" s="516">
        <f t="shared" si="0"/>
        <v>1372</v>
      </c>
    </row>
    <row r="22" spans="1:5" ht="23.1" customHeight="1">
      <c r="A22" s="414" t="s">
        <v>1510</v>
      </c>
      <c r="B22" s="516">
        <v>1179</v>
      </c>
      <c r="C22" s="516">
        <v>46</v>
      </c>
      <c r="D22" s="516">
        <v>706</v>
      </c>
      <c r="E22" s="516">
        <f t="shared" si="0"/>
        <v>752</v>
      </c>
    </row>
    <row r="23" spans="1:5" ht="23.1" customHeight="1">
      <c r="A23" s="414" t="s">
        <v>577</v>
      </c>
      <c r="B23" s="516">
        <v>2021</v>
      </c>
      <c r="C23" s="516">
        <v>67</v>
      </c>
      <c r="D23" s="516">
        <v>940</v>
      </c>
      <c r="E23" s="516">
        <f t="shared" si="0"/>
        <v>1007</v>
      </c>
    </row>
    <row r="24" spans="1:5" ht="23.1" customHeight="1">
      <c r="A24" s="414" t="s">
        <v>578</v>
      </c>
      <c r="B24" s="516">
        <v>337</v>
      </c>
      <c r="C24" s="516">
        <v>49</v>
      </c>
      <c r="D24" s="516">
        <v>505</v>
      </c>
      <c r="E24" s="516">
        <f t="shared" si="0"/>
        <v>554</v>
      </c>
    </row>
    <row r="25" spans="1:5" ht="23.1" customHeight="1">
      <c r="A25" s="414" t="s">
        <v>490</v>
      </c>
      <c r="B25" s="516">
        <v>1582</v>
      </c>
      <c r="C25" s="516">
        <v>114</v>
      </c>
      <c r="D25" s="516">
        <v>1095</v>
      </c>
      <c r="E25" s="516">
        <f t="shared" si="0"/>
        <v>1209</v>
      </c>
    </row>
    <row r="26" spans="1:5" ht="23.1" customHeight="1">
      <c r="A26" s="414" t="s">
        <v>580</v>
      </c>
      <c r="B26" s="516">
        <v>1760</v>
      </c>
      <c r="C26" s="516">
        <v>64</v>
      </c>
      <c r="D26" s="516">
        <v>1299</v>
      </c>
      <c r="E26" s="516">
        <f t="shared" si="0"/>
        <v>1363</v>
      </c>
    </row>
    <row r="27" spans="1:5" ht="23.1" customHeight="1">
      <c r="A27" s="414" t="s">
        <v>585</v>
      </c>
      <c r="B27" s="516">
        <v>8027</v>
      </c>
      <c r="C27" s="516">
        <v>121</v>
      </c>
      <c r="D27" s="516">
        <v>1550</v>
      </c>
      <c r="E27" s="516">
        <f t="shared" si="0"/>
        <v>1671</v>
      </c>
    </row>
    <row r="28" spans="1:5" ht="23.1" customHeight="1">
      <c r="A28" s="414" t="s">
        <v>586</v>
      </c>
      <c r="B28" s="516">
        <v>1927</v>
      </c>
      <c r="C28" s="516">
        <v>64</v>
      </c>
      <c r="D28" s="516">
        <v>808</v>
      </c>
      <c r="E28" s="516">
        <f t="shared" si="0"/>
        <v>872</v>
      </c>
    </row>
    <row r="29" spans="1:5" ht="23.1" customHeight="1">
      <c r="A29" s="414" t="s">
        <v>587</v>
      </c>
      <c r="B29" s="516">
        <v>2764</v>
      </c>
      <c r="C29" s="516">
        <v>62</v>
      </c>
      <c r="D29" s="516">
        <v>1302</v>
      </c>
      <c r="E29" s="516">
        <f t="shared" si="0"/>
        <v>1364</v>
      </c>
    </row>
    <row r="30" spans="1:5" ht="23.1" customHeight="1">
      <c r="A30" s="414" t="s">
        <v>1511</v>
      </c>
      <c r="B30" s="516">
        <v>952</v>
      </c>
      <c r="C30" s="516">
        <v>22</v>
      </c>
      <c r="D30" s="516">
        <v>215</v>
      </c>
      <c r="E30" s="516">
        <f t="shared" si="0"/>
        <v>237</v>
      </c>
    </row>
    <row r="31" spans="1:5" ht="23.1" customHeight="1">
      <c r="A31" s="415" t="s">
        <v>579</v>
      </c>
      <c r="B31" s="516">
        <v>17980</v>
      </c>
      <c r="C31" s="517">
        <v>945</v>
      </c>
      <c r="D31" s="517">
        <v>4372</v>
      </c>
      <c r="E31" s="517">
        <f t="shared" si="0"/>
        <v>5317</v>
      </c>
    </row>
    <row r="32" spans="1:5" ht="23.25" customHeight="1">
      <c r="A32" s="1547"/>
      <c r="B32" s="1547"/>
      <c r="C32" s="969" t="s">
        <v>947</v>
      </c>
      <c r="D32" s="1543" t="s">
        <v>1029</v>
      </c>
      <c r="E32" s="1543"/>
    </row>
    <row r="33" spans="1:5" ht="26.25" customHeight="1">
      <c r="A33" s="518"/>
      <c r="B33" s="519"/>
      <c r="C33" s="969" t="s">
        <v>948</v>
      </c>
      <c r="D33" s="1543" t="s">
        <v>22</v>
      </c>
      <c r="E33" s="1543"/>
    </row>
    <row r="34" spans="1:5">
      <c r="C34" s="572"/>
      <c r="D34" s="572"/>
      <c r="E34" s="572"/>
    </row>
    <row r="35" spans="1:5">
      <c r="C35" s="572"/>
      <c r="D35" s="572"/>
      <c r="E35" s="572"/>
    </row>
  </sheetData>
  <mergeCells count="9">
    <mergeCell ref="B12:E12"/>
    <mergeCell ref="D33:E33"/>
    <mergeCell ref="D32:E32"/>
    <mergeCell ref="A1:E1"/>
    <mergeCell ref="A2:E2"/>
    <mergeCell ref="A4:A5"/>
    <mergeCell ref="B4:B5"/>
    <mergeCell ref="C4:E4"/>
    <mergeCell ref="A32:B32"/>
  </mergeCells>
  <phoneticPr fontId="0" type="noConversion"/>
  <conditionalFormatting sqref="A1:XFD1048576">
    <cfRule type="cellIs" dxfId="18" priority="1" stopIfTrue="1" operator="equal">
      <formula>".."</formula>
    </cfRule>
  </conditionalFormatting>
  <printOptions horizontalCentered="1"/>
  <pageMargins left="0.1" right="0.1" top="0.68" bottom="0.1" header="0.36" footer="0.1"/>
  <pageSetup paperSize="9" orientation="portrait" blackAndWhite="1" horizontalDpi="4294967295" verticalDpi="300" r:id="rId1"/>
  <headerFooter alignWithMargins="0"/>
</worksheet>
</file>

<file path=xl/worksheets/sheet26.xml><?xml version="1.0" encoding="utf-8"?>
<worksheet xmlns="http://schemas.openxmlformats.org/spreadsheetml/2006/main" xmlns:r="http://schemas.openxmlformats.org/officeDocument/2006/relationships">
  <sheetPr codeName="Sheet26"/>
  <dimension ref="A1:L43"/>
  <sheetViews>
    <sheetView topLeftCell="A7" workbookViewId="0">
      <selection activeCell="M5" sqref="M5"/>
    </sheetView>
  </sheetViews>
  <sheetFormatPr defaultRowHeight="12.75"/>
  <cols>
    <col min="1" max="1" width="2" customWidth="1"/>
    <col min="2" max="2" width="2.85546875" customWidth="1"/>
    <col min="3" max="3" width="1.140625" customWidth="1"/>
    <col min="4" max="4" width="58.5703125" customWidth="1"/>
    <col min="5" max="8" width="13.7109375" customWidth="1"/>
    <col min="9" max="9" width="14.5703125" customWidth="1"/>
  </cols>
  <sheetData>
    <row r="1" spans="1:12" ht="12.75" customHeight="1">
      <c r="B1" s="1363" t="s">
        <v>1356</v>
      </c>
      <c r="C1" s="1363"/>
      <c r="D1" s="1363"/>
      <c r="E1" s="1363"/>
      <c r="F1" s="1363"/>
      <c r="G1" s="1363"/>
      <c r="H1" s="1363"/>
      <c r="I1" s="1363"/>
    </row>
    <row r="2" spans="1:12" ht="18" customHeight="1">
      <c r="A2" s="1534" t="str">
        <f>CONCATENATE("General Educational Institutions by type in the district of ",District!A1)</f>
        <v>General Educational Institutions by type in the district of Malda</v>
      </c>
      <c r="B2" s="1534"/>
      <c r="C2" s="1534"/>
      <c r="D2" s="1534"/>
      <c r="E2" s="1534"/>
      <c r="F2" s="1534"/>
      <c r="G2" s="1534"/>
      <c r="H2" s="1534"/>
      <c r="I2" s="1534"/>
    </row>
    <row r="3" spans="1:12" ht="13.5" customHeight="1">
      <c r="A3" s="344"/>
      <c r="C3" s="344"/>
      <c r="D3" s="344"/>
      <c r="E3" s="344"/>
      <c r="F3" s="344"/>
      <c r="G3" s="344"/>
      <c r="H3" s="344"/>
      <c r="I3" s="170" t="s">
        <v>1253</v>
      </c>
    </row>
    <row r="4" spans="1:12">
      <c r="A4" s="1359" t="s">
        <v>1414</v>
      </c>
      <c r="B4" s="1548"/>
      <c r="C4" s="1548"/>
      <c r="D4" s="1360"/>
      <c r="E4" s="1549" t="s">
        <v>1089</v>
      </c>
      <c r="F4" s="1550"/>
      <c r="G4" s="1550"/>
      <c r="H4" s="1550"/>
      <c r="I4" s="1551"/>
    </row>
    <row r="5" spans="1:12">
      <c r="A5" s="1361"/>
      <c r="B5" s="1383"/>
      <c r="C5" s="1383"/>
      <c r="D5" s="1362"/>
      <c r="E5" s="626" t="str">
        <f>District!A10</f>
        <v>2009-10</v>
      </c>
      <c r="F5" s="626" t="str">
        <f>District!B10</f>
        <v>2010-11</v>
      </c>
      <c r="G5" s="626" t="str">
        <f>District!C10</f>
        <v>2011-12</v>
      </c>
      <c r="H5" s="626" t="str">
        <f>District!D10</f>
        <v>2012-13</v>
      </c>
      <c r="I5" s="626" t="str">
        <f>District!E10</f>
        <v>2013-14</v>
      </c>
    </row>
    <row r="6" spans="1:12">
      <c r="A6" s="1563" t="s">
        <v>1208</v>
      </c>
      <c r="B6" s="1564"/>
      <c r="C6" s="1564"/>
      <c r="D6" s="1565"/>
      <c r="E6" s="167" t="s">
        <v>1209</v>
      </c>
      <c r="F6" s="167" t="s">
        <v>1210</v>
      </c>
      <c r="G6" s="163" t="s">
        <v>1211</v>
      </c>
      <c r="H6" s="167" t="s">
        <v>1212</v>
      </c>
      <c r="I6" s="167" t="s">
        <v>1213</v>
      </c>
    </row>
    <row r="7" spans="1:12">
      <c r="A7" s="192">
        <v>1</v>
      </c>
      <c r="B7" s="1555" t="s">
        <v>976</v>
      </c>
      <c r="C7" s="1555"/>
      <c r="D7" s="1556"/>
      <c r="E7" s="103">
        <f>SUM(E8,E13,E18,E23)</f>
        <v>2234</v>
      </c>
      <c r="F7" s="103">
        <f>SUM(F8,F13,F18,F23)</f>
        <v>2246</v>
      </c>
      <c r="G7" s="372">
        <f>SUM(G8,G13,G18,G23)</f>
        <v>2369</v>
      </c>
      <c r="H7" s="1274">
        <f>SUM(H8,H13,H18,H23)</f>
        <v>2417</v>
      </c>
      <c r="I7" s="1274">
        <f>SUM(I8,I13,I18,I23)</f>
        <v>2463</v>
      </c>
    </row>
    <row r="8" spans="1:12" ht="15" customHeight="1">
      <c r="A8" s="203"/>
      <c r="B8" s="189" t="s">
        <v>1565</v>
      </c>
      <c r="C8" s="1561" t="s">
        <v>515</v>
      </c>
      <c r="D8" s="1562"/>
      <c r="E8" s="227">
        <f>SUM(E9:E12)</f>
        <v>1894</v>
      </c>
      <c r="F8" s="227">
        <f>SUM(F9:F12)</f>
        <v>1894</v>
      </c>
      <c r="G8" s="227">
        <f>SUM(G9:G12)</f>
        <v>1895</v>
      </c>
      <c r="H8" s="227">
        <f>SUM(H9:H12)</f>
        <v>1908</v>
      </c>
      <c r="I8" s="227">
        <f>SUM(I9:I12)</f>
        <v>1942</v>
      </c>
    </row>
    <row r="9" spans="1:12">
      <c r="A9" s="203"/>
      <c r="B9" s="7"/>
      <c r="C9" s="7"/>
      <c r="D9" s="177" t="s">
        <v>23</v>
      </c>
      <c r="E9" s="116">
        <v>1888</v>
      </c>
      <c r="F9" s="116">
        <v>1888</v>
      </c>
      <c r="G9" s="116">
        <v>1889</v>
      </c>
      <c r="H9" s="116">
        <v>1903</v>
      </c>
      <c r="I9" s="116">
        <v>1937</v>
      </c>
    </row>
    <row r="10" spans="1:12">
      <c r="A10" s="203"/>
      <c r="B10" s="7"/>
      <c r="C10" s="7"/>
      <c r="D10" s="177" t="s">
        <v>1561</v>
      </c>
      <c r="E10" s="116">
        <v>6</v>
      </c>
      <c r="F10" s="116">
        <v>6</v>
      </c>
      <c r="G10" s="116">
        <v>6</v>
      </c>
      <c r="H10" s="116">
        <v>5</v>
      </c>
      <c r="I10" s="116">
        <v>5</v>
      </c>
    </row>
    <row r="11" spans="1:12">
      <c r="A11" s="203"/>
      <c r="B11" s="7"/>
      <c r="C11" s="7"/>
      <c r="D11" s="177" t="s">
        <v>311</v>
      </c>
      <c r="E11" s="116" t="s">
        <v>1509</v>
      </c>
      <c r="F11" s="116" t="s">
        <v>1509</v>
      </c>
      <c r="G11" s="116" t="s">
        <v>1509</v>
      </c>
      <c r="H11" s="116" t="s">
        <v>1509</v>
      </c>
      <c r="I11" s="116" t="s">
        <v>1509</v>
      </c>
    </row>
    <row r="12" spans="1:12">
      <c r="A12" s="203"/>
      <c r="B12" s="7"/>
      <c r="C12" s="7"/>
      <c r="D12" s="177" t="s">
        <v>217</v>
      </c>
      <c r="E12" s="116" t="s">
        <v>1509</v>
      </c>
      <c r="F12" s="116" t="s">
        <v>1509</v>
      </c>
      <c r="G12" s="116" t="s">
        <v>1509</v>
      </c>
      <c r="H12" s="116" t="s">
        <v>1509</v>
      </c>
      <c r="I12" s="116" t="s">
        <v>1509</v>
      </c>
    </row>
    <row r="13" spans="1:12" ht="14.25" customHeight="1">
      <c r="A13" s="203"/>
      <c r="B13" s="189" t="s">
        <v>1563</v>
      </c>
      <c r="C13" s="1559" t="s">
        <v>516</v>
      </c>
      <c r="D13" s="1560"/>
      <c r="E13" s="227">
        <f>SUM(E14:E17)</f>
        <v>12</v>
      </c>
      <c r="F13" s="227">
        <f>SUM(F14:F17)</f>
        <v>21</v>
      </c>
      <c r="G13" s="227">
        <f>SUM(G14:G17)</f>
        <v>143</v>
      </c>
      <c r="H13" s="227">
        <f>SUM(H14:H17)</f>
        <v>176</v>
      </c>
      <c r="I13" s="227">
        <f>SUM(I14:I17)</f>
        <v>185</v>
      </c>
      <c r="J13" s="197"/>
      <c r="K13" s="197"/>
      <c r="L13" s="197"/>
    </row>
    <row r="14" spans="1:12">
      <c r="A14" s="203"/>
      <c r="B14" s="7"/>
      <c r="C14" s="7"/>
      <c r="D14" s="177" t="s">
        <v>24</v>
      </c>
      <c r="E14" s="116">
        <v>12</v>
      </c>
      <c r="F14" s="116">
        <v>19</v>
      </c>
      <c r="G14" s="116">
        <v>136</v>
      </c>
      <c r="H14" s="116">
        <v>168</v>
      </c>
      <c r="I14" s="116">
        <v>176</v>
      </c>
    </row>
    <row r="15" spans="1:12">
      <c r="A15" s="203"/>
      <c r="B15" s="7"/>
      <c r="C15" s="7"/>
      <c r="D15" s="177" t="s">
        <v>1295</v>
      </c>
      <c r="E15" s="116" t="s">
        <v>1509</v>
      </c>
      <c r="F15" s="534">
        <v>2</v>
      </c>
      <c r="G15" s="534">
        <v>7</v>
      </c>
      <c r="H15" s="534">
        <v>8</v>
      </c>
      <c r="I15" s="534">
        <v>9</v>
      </c>
    </row>
    <row r="16" spans="1:12">
      <c r="A16" s="203"/>
      <c r="B16" s="7"/>
      <c r="C16" s="7"/>
      <c r="D16" s="177" t="s">
        <v>311</v>
      </c>
      <c r="E16" s="116" t="s">
        <v>1509</v>
      </c>
      <c r="F16" s="534" t="s">
        <v>1509</v>
      </c>
      <c r="G16" s="534" t="s">
        <v>1509</v>
      </c>
      <c r="H16" s="116" t="s">
        <v>1509</v>
      </c>
      <c r="I16" s="116" t="s">
        <v>1509</v>
      </c>
    </row>
    <row r="17" spans="1:11">
      <c r="A17" s="203"/>
      <c r="B17" s="7"/>
      <c r="C17" s="7"/>
      <c r="D17" s="177" t="s">
        <v>217</v>
      </c>
      <c r="E17" s="116" t="s">
        <v>1509</v>
      </c>
      <c r="F17" s="116" t="s">
        <v>1509</v>
      </c>
      <c r="G17" s="116" t="s">
        <v>1509</v>
      </c>
      <c r="H17" s="116" t="s">
        <v>1509</v>
      </c>
      <c r="I17" s="116" t="s">
        <v>1509</v>
      </c>
    </row>
    <row r="18" spans="1:11" ht="14.25" customHeight="1">
      <c r="A18" s="203"/>
      <c r="B18" s="189" t="s">
        <v>1564</v>
      </c>
      <c r="C18" s="1561" t="s">
        <v>520</v>
      </c>
      <c r="D18" s="1562"/>
      <c r="E18" s="208">
        <f>SUM(E19:E22)</f>
        <v>202</v>
      </c>
      <c r="F18" s="208">
        <f>SUM(F19:F22)</f>
        <v>186</v>
      </c>
      <c r="G18" s="208">
        <f>SUM(G19:G22)</f>
        <v>181</v>
      </c>
      <c r="H18" s="208">
        <f>SUM(H19:H22)</f>
        <v>138</v>
      </c>
      <c r="I18" s="208">
        <f>SUM(I19:I22)</f>
        <v>128</v>
      </c>
    </row>
    <row r="19" spans="1:11">
      <c r="A19" s="203"/>
      <c r="B19" s="7"/>
      <c r="C19" s="7"/>
      <c r="D19" s="177" t="s">
        <v>24</v>
      </c>
      <c r="E19" s="98">
        <v>147</v>
      </c>
      <c r="F19" s="116">
        <v>130</v>
      </c>
      <c r="G19" s="116">
        <v>126</v>
      </c>
      <c r="H19" s="116">
        <v>83</v>
      </c>
      <c r="I19" s="116">
        <v>73</v>
      </c>
    </row>
    <row r="20" spans="1:11">
      <c r="A20" s="203"/>
      <c r="B20" s="7"/>
      <c r="C20" s="7"/>
      <c r="D20" s="177" t="s">
        <v>1294</v>
      </c>
      <c r="E20" s="98">
        <v>54</v>
      </c>
      <c r="F20" s="116">
        <v>55</v>
      </c>
      <c r="G20" s="116">
        <v>55</v>
      </c>
      <c r="H20" s="116">
        <v>55</v>
      </c>
      <c r="I20" s="116">
        <v>55</v>
      </c>
    </row>
    <row r="21" spans="1:11">
      <c r="A21" s="203"/>
      <c r="B21" s="7"/>
      <c r="C21" s="7"/>
      <c r="D21" s="177" t="s">
        <v>311</v>
      </c>
      <c r="E21" s="98">
        <v>1</v>
      </c>
      <c r="F21" s="116">
        <v>1</v>
      </c>
      <c r="G21" s="116" t="s">
        <v>1509</v>
      </c>
      <c r="H21" s="116" t="s">
        <v>1509</v>
      </c>
      <c r="I21" s="116" t="s">
        <v>1509</v>
      </c>
    </row>
    <row r="22" spans="1:11">
      <c r="A22" s="203"/>
      <c r="B22" s="7"/>
      <c r="C22" s="7"/>
      <c r="D22" s="177" t="s">
        <v>217</v>
      </c>
      <c r="E22" s="98" t="s">
        <v>1509</v>
      </c>
      <c r="F22" s="116" t="s">
        <v>1509</v>
      </c>
      <c r="G22" s="116" t="s">
        <v>1509</v>
      </c>
      <c r="H22" s="116" t="s">
        <v>1509</v>
      </c>
      <c r="I22" s="116" t="s">
        <v>1509</v>
      </c>
    </row>
    <row r="23" spans="1:11" ht="26.25" customHeight="1">
      <c r="A23" s="203"/>
      <c r="B23" s="189" t="s">
        <v>1566</v>
      </c>
      <c r="C23" s="1561" t="s">
        <v>521</v>
      </c>
      <c r="D23" s="1562"/>
      <c r="E23" s="208">
        <f>SUM(E24:E28)</f>
        <v>126</v>
      </c>
      <c r="F23" s="208">
        <f>SUM(F24:F28)</f>
        <v>145</v>
      </c>
      <c r="G23" s="208">
        <f>SUM(G24:G28)</f>
        <v>150</v>
      </c>
      <c r="H23" s="208">
        <f>SUM(H24:H28)</f>
        <v>195</v>
      </c>
      <c r="I23" s="208">
        <f>SUM(I24:I28)</f>
        <v>208</v>
      </c>
    </row>
    <row r="24" spans="1:11">
      <c r="A24" s="203"/>
      <c r="B24" s="7"/>
      <c r="C24" s="7"/>
      <c r="D24" s="177" t="s">
        <v>1532</v>
      </c>
      <c r="E24" s="98">
        <v>107</v>
      </c>
      <c r="F24" s="116">
        <v>126</v>
      </c>
      <c r="G24" s="116">
        <v>130</v>
      </c>
      <c r="H24" s="116">
        <v>175</v>
      </c>
      <c r="I24" s="116">
        <v>187</v>
      </c>
    </row>
    <row r="25" spans="1:11">
      <c r="A25" s="203"/>
      <c r="B25" s="7"/>
      <c r="C25" s="7"/>
      <c r="D25" s="177" t="s">
        <v>1533</v>
      </c>
      <c r="E25" s="98">
        <v>1</v>
      </c>
      <c r="F25" s="116">
        <v>1</v>
      </c>
      <c r="G25" s="116">
        <v>1</v>
      </c>
      <c r="H25" s="116">
        <v>1</v>
      </c>
      <c r="I25" s="116">
        <v>1</v>
      </c>
    </row>
    <row r="26" spans="1:11">
      <c r="A26" s="203"/>
      <c r="B26" s="7"/>
      <c r="C26" s="7"/>
      <c r="D26" s="177" t="s">
        <v>311</v>
      </c>
      <c r="E26" s="98">
        <v>4</v>
      </c>
      <c r="F26" s="116">
        <v>4</v>
      </c>
      <c r="G26" s="116">
        <v>5</v>
      </c>
      <c r="H26" s="116">
        <v>5</v>
      </c>
      <c r="I26" s="116">
        <v>6</v>
      </c>
    </row>
    <row r="27" spans="1:11">
      <c r="A27" s="203"/>
      <c r="B27" s="7"/>
      <c r="C27" s="7"/>
      <c r="D27" s="177" t="s">
        <v>217</v>
      </c>
      <c r="E27" s="98" t="s">
        <v>1509</v>
      </c>
      <c r="F27" s="116" t="s">
        <v>1509</v>
      </c>
      <c r="G27" s="116" t="s">
        <v>1509</v>
      </c>
      <c r="H27" s="116" t="s">
        <v>1509</v>
      </c>
      <c r="I27" s="116" t="s">
        <v>1509</v>
      </c>
    </row>
    <row r="28" spans="1:11">
      <c r="A28" s="203"/>
      <c r="B28" s="7"/>
      <c r="C28" s="7"/>
      <c r="D28" s="177" t="s">
        <v>1573</v>
      </c>
      <c r="E28" s="98">
        <v>14</v>
      </c>
      <c r="F28" s="116">
        <v>14</v>
      </c>
      <c r="G28" s="116">
        <v>14</v>
      </c>
      <c r="H28" s="116">
        <v>14</v>
      </c>
      <c r="I28" s="116">
        <v>14</v>
      </c>
    </row>
    <row r="29" spans="1:11">
      <c r="A29" s="194">
        <v>2</v>
      </c>
      <c r="B29" s="199" t="s">
        <v>977</v>
      </c>
      <c r="C29" s="199"/>
      <c r="D29" s="95"/>
      <c r="E29" s="762">
        <v>10</v>
      </c>
      <c r="F29" s="762">
        <v>10</v>
      </c>
      <c r="G29" s="349">
        <v>10</v>
      </c>
      <c r="H29" s="349">
        <v>10</v>
      </c>
      <c r="I29" s="349">
        <v>10</v>
      </c>
    </row>
    <row r="30" spans="1:11" ht="25.5" customHeight="1">
      <c r="A30" s="204">
        <v>3</v>
      </c>
      <c r="B30" s="1552" t="s">
        <v>522</v>
      </c>
      <c r="C30" s="1553"/>
      <c r="D30" s="1554"/>
      <c r="E30" s="762">
        <v>1</v>
      </c>
      <c r="F30" s="349">
        <v>1</v>
      </c>
      <c r="G30" s="349">
        <v>1</v>
      </c>
      <c r="H30" s="349">
        <v>1</v>
      </c>
      <c r="I30" s="349">
        <v>1</v>
      </c>
    </row>
    <row r="31" spans="1:11">
      <c r="A31" s="226">
        <v>4</v>
      </c>
      <c r="B31" s="1557" t="s">
        <v>92</v>
      </c>
      <c r="C31" s="1557"/>
      <c r="D31" s="1558"/>
      <c r="E31" s="243">
        <v>3</v>
      </c>
      <c r="F31" s="243">
        <v>3</v>
      </c>
      <c r="G31" s="817">
        <v>3</v>
      </c>
      <c r="H31" s="817">
        <v>3</v>
      </c>
      <c r="I31" s="817">
        <v>3</v>
      </c>
    </row>
    <row r="32" spans="1:11">
      <c r="A32" s="51"/>
      <c r="B32" s="51"/>
      <c r="C32" s="51"/>
      <c r="D32" s="51"/>
      <c r="F32" s="918" t="s">
        <v>947</v>
      </c>
      <c r="G32" s="917" t="s">
        <v>1610</v>
      </c>
      <c r="H32" s="917"/>
      <c r="I32" s="139"/>
      <c r="K32" s="627"/>
    </row>
    <row r="33" spans="1:9">
      <c r="A33" s="51"/>
      <c r="B33" s="51"/>
      <c r="C33" s="51"/>
      <c r="D33" s="51"/>
      <c r="F33" s="918" t="s">
        <v>948</v>
      </c>
      <c r="G33" s="917" t="s">
        <v>1611</v>
      </c>
      <c r="H33" s="917"/>
      <c r="I33" s="139"/>
    </row>
    <row r="34" spans="1:9">
      <c r="A34" s="51"/>
      <c r="B34" s="51"/>
      <c r="C34" s="51"/>
      <c r="D34" s="51"/>
      <c r="F34" s="918" t="s">
        <v>955</v>
      </c>
      <c r="G34" s="926" t="s">
        <v>514</v>
      </c>
      <c r="H34" s="926"/>
      <c r="I34" s="186"/>
    </row>
    <row r="35" spans="1:9">
      <c r="A35" s="51"/>
      <c r="B35" s="51"/>
      <c r="C35" s="51"/>
      <c r="D35" s="51"/>
      <c r="F35" s="918" t="s">
        <v>951</v>
      </c>
      <c r="G35" s="926" t="s">
        <v>1417</v>
      </c>
      <c r="H35" s="926"/>
      <c r="I35" s="186"/>
    </row>
    <row r="36" spans="1:9">
      <c r="A36" s="51"/>
      <c r="B36" s="51"/>
      <c r="C36" s="51"/>
      <c r="D36" s="51"/>
      <c r="F36" s="918" t="s">
        <v>952</v>
      </c>
      <c r="G36" s="917" t="s">
        <v>957</v>
      </c>
      <c r="H36" s="917"/>
      <c r="I36" s="186"/>
    </row>
    <row r="37" spans="1:9">
      <c r="A37" s="51"/>
      <c r="B37" s="51"/>
      <c r="C37" s="51"/>
      <c r="D37" s="51"/>
      <c r="F37" s="918" t="s">
        <v>953</v>
      </c>
      <c r="G37" s="917" t="s">
        <v>958</v>
      </c>
      <c r="H37" s="917"/>
      <c r="I37" s="139"/>
    </row>
    <row r="38" spans="1:9">
      <c r="A38" s="51"/>
      <c r="B38" s="51"/>
      <c r="C38" s="51"/>
      <c r="D38" s="51"/>
      <c r="F38" s="918" t="s">
        <v>954</v>
      </c>
      <c r="G38" s="917" t="s">
        <v>1609</v>
      </c>
      <c r="H38" s="917"/>
      <c r="I38" s="139"/>
    </row>
    <row r="39" spans="1:9">
      <c r="A39" s="51"/>
      <c r="B39" s="51"/>
      <c r="C39" s="51"/>
      <c r="D39" s="51"/>
      <c r="E39" s="139"/>
      <c r="I39" s="139"/>
    </row>
    <row r="40" spans="1:9">
      <c r="A40" s="51"/>
      <c r="B40" s="51"/>
      <c r="C40" s="51"/>
      <c r="D40" s="51"/>
      <c r="E40" s="51"/>
      <c r="F40" s="51"/>
      <c r="G40" s="51"/>
      <c r="H40" s="51"/>
      <c r="I40" s="51"/>
    </row>
    <row r="41" spans="1:9">
      <c r="A41" s="51"/>
      <c r="B41" s="51"/>
      <c r="C41" s="51"/>
      <c r="D41" s="51"/>
      <c r="E41" s="51"/>
      <c r="F41" s="51"/>
      <c r="G41" s="51"/>
      <c r="H41" s="51"/>
      <c r="I41" s="51"/>
    </row>
    <row r="42" spans="1:9">
      <c r="A42" s="51"/>
      <c r="B42" s="51"/>
      <c r="C42" s="51"/>
      <c r="D42" s="51"/>
      <c r="E42" s="51"/>
      <c r="F42" s="51"/>
      <c r="G42" s="51"/>
      <c r="H42" s="51"/>
      <c r="I42" s="51"/>
    </row>
    <row r="43" spans="1:9">
      <c r="A43" s="51"/>
      <c r="B43" s="51"/>
      <c r="C43" s="51"/>
      <c r="D43" s="51"/>
      <c r="E43" s="51"/>
      <c r="F43" s="51"/>
      <c r="G43" s="51"/>
      <c r="H43" s="51"/>
      <c r="I43" s="51"/>
    </row>
  </sheetData>
  <mergeCells count="12">
    <mergeCell ref="B1:I1"/>
    <mergeCell ref="C23:D23"/>
    <mergeCell ref="A2:I2"/>
    <mergeCell ref="A6:D6"/>
    <mergeCell ref="C8:D8"/>
    <mergeCell ref="A4:D5"/>
    <mergeCell ref="E4:I4"/>
    <mergeCell ref="B30:D30"/>
    <mergeCell ref="B7:D7"/>
    <mergeCell ref="B31:D31"/>
    <mergeCell ref="C13:D13"/>
    <mergeCell ref="C18:D18"/>
  </mergeCells>
  <phoneticPr fontId="0" type="noConversion"/>
  <printOptions horizontalCentered="1"/>
  <pageMargins left="0.24" right="0.1" top="0.6" bottom="0.1" header="0.7" footer="0.1"/>
  <pageSetup paperSize="9" orientation="landscape" blackAndWhite="1" horizontalDpi="4294967295" verticalDpi="180" r:id="rId1"/>
  <headerFooter alignWithMargins="0"/>
</worksheet>
</file>

<file path=xl/worksheets/sheet27.xml><?xml version="1.0" encoding="utf-8"?>
<worksheet xmlns="http://schemas.openxmlformats.org/spreadsheetml/2006/main" xmlns:r="http://schemas.openxmlformats.org/officeDocument/2006/relationships">
  <sheetPr codeName="Sheet27"/>
  <dimension ref="A1:I43"/>
  <sheetViews>
    <sheetView topLeftCell="A16" workbookViewId="0">
      <selection activeCell="M5" sqref="M5"/>
    </sheetView>
  </sheetViews>
  <sheetFormatPr defaultRowHeight="12.75"/>
  <cols>
    <col min="1" max="1" width="2" customWidth="1"/>
    <col min="2" max="2" width="3" customWidth="1"/>
    <col min="3" max="3" width="1.28515625" customWidth="1"/>
    <col min="4" max="4" width="56.140625" customWidth="1"/>
    <col min="5" max="9" width="14.7109375" customWidth="1"/>
  </cols>
  <sheetData>
    <row r="1" spans="1:9" ht="12.75" customHeight="1">
      <c r="A1" s="1430" t="s">
        <v>1357</v>
      </c>
      <c r="B1" s="1430"/>
      <c r="C1" s="1430"/>
      <c r="D1" s="1430"/>
      <c r="E1" s="1430"/>
      <c r="F1" s="1430"/>
      <c r="G1" s="1430"/>
      <c r="H1" s="1430"/>
      <c r="I1" s="1430"/>
    </row>
    <row r="2" spans="1:9" ht="15" customHeight="1">
      <c r="A2" s="1477" t="str">
        <f>CONCATENATE("Professional &amp; Technical Educational Institutions by type in the district of ",District!A1)</f>
        <v>Professional &amp; Technical Educational Institutions by type in the district of Malda</v>
      </c>
      <c r="B2" s="1477"/>
      <c r="C2" s="1477"/>
      <c r="D2" s="1477"/>
      <c r="E2" s="1477"/>
      <c r="F2" s="1477"/>
      <c r="G2" s="1477"/>
      <c r="H2" s="1477"/>
      <c r="I2" s="1477"/>
    </row>
    <row r="3" spans="1:9">
      <c r="I3" s="170" t="s">
        <v>1253</v>
      </c>
    </row>
    <row r="4" spans="1:9" ht="14.25" customHeight="1">
      <c r="A4" s="1359" t="s">
        <v>1414</v>
      </c>
      <c r="B4" s="1548"/>
      <c r="C4" s="1548"/>
      <c r="D4" s="1360"/>
      <c r="E4" s="1573" t="s">
        <v>1089</v>
      </c>
      <c r="F4" s="1574"/>
      <c r="G4" s="1574"/>
      <c r="H4" s="1574"/>
      <c r="I4" s="1575"/>
    </row>
    <row r="5" spans="1:9" ht="13.5" customHeight="1">
      <c r="A5" s="1361"/>
      <c r="B5" s="1383"/>
      <c r="C5" s="1383"/>
      <c r="D5" s="1362"/>
      <c r="E5" s="626" t="str">
        <f>District!A10</f>
        <v>2009-10</v>
      </c>
      <c r="F5" s="626" t="str">
        <f>District!B10</f>
        <v>2010-11</v>
      </c>
      <c r="G5" s="626" t="str">
        <f>District!C10</f>
        <v>2011-12</v>
      </c>
      <c r="H5" s="626" t="str">
        <f>District!D10</f>
        <v>2012-13</v>
      </c>
      <c r="I5" s="626" t="str">
        <f>District!E10</f>
        <v>2013-14</v>
      </c>
    </row>
    <row r="6" spans="1:9" ht="12" customHeight="1">
      <c r="A6" s="1576" t="s">
        <v>1208</v>
      </c>
      <c r="B6" s="1577"/>
      <c r="C6" s="1577"/>
      <c r="D6" s="1578"/>
      <c r="E6" s="151" t="s">
        <v>1209</v>
      </c>
      <c r="F6" s="151" t="s">
        <v>1210</v>
      </c>
      <c r="G6" s="151" t="s">
        <v>1211</v>
      </c>
      <c r="H6" s="151" t="s">
        <v>1212</v>
      </c>
      <c r="I6" s="151" t="s">
        <v>1213</v>
      </c>
    </row>
    <row r="7" spans="1:9">
      <c r="A7" s="192">
        <v>1</v>
      </c>
      <c r="B7" s="1555" t="s">
        <v>855</v>
      </c>
      <c r="C7" s="1555"/>
      <c r="D7" s="1556"/>
      <c r="E7" s="439">
        <f>SUM(E8,E13,E16)</f>
        <v>7</v>
      </c>
      <c r="F7" s="439">
        <f>SUM(F8,F13,F16)</f>
        <v>8</v>
      </c>
      <c r="G7" s="439">
        <f>SUM(G8,G13,G16)</f>
        <v>7</v>
      </c>
      <c r="H7" s="439">
        <f>SUM(H8,H13,H16)</f>
        <v>7</v>
      </c>
      <c r="I7" s="439">
        <f>SUM(I8,I13,I16)</f>
        <v>7</v>
      </c>
    </row>
    <row r="8" spans="1:9">
      <c r="A8" s="31"/>
      <c r="B8" s="193" t="s">
        <v>1565</v>
      </c>
      <c r="C8" s="1569" t="s">
        <v>1575</v>
      </c>
      <c r="D8" s="1570"/>
      <c r="E8" s="493">
        <v>1</v>
      </c>
      <c r="F8" s="493">
        <f>SUM(F9:F12)</f>
        <v>2</v>
      </c>
      <c r="G8" s="493">
        <f>SUM(G9:G12)</f>
        <v>2</v>
      </c>
      <c r="H8" s="493">
        <f>SUM(H9:H12)</f>
        <v>2</v>
      </c>
      <c r="I8" s="493">
        <f>SUM(I9:I12)</f>
        <v>2</v>
      </c>
    </row>
    <row r="9" spans="1:9">
      <c r="A9" s="31"/>
      <c r="B9" s="7"/>
      <c r="C9" s="7"/>
      <c r="D9" s="177" t="s">
        <v>1579</v>
      </c>
      <c r="E9" s="629" t="s">
        <v>1509</v>
      </c>
      <c r="F9" s="629" t="s">
        <v>1509</v>
      </c>
      <c r="G9" s="629" t="s">
        <v>1509</v>
      </c>
      <c r="H9" s="84" t="s">
        <v>1509</v>
      </c>
      <c r="I9" s="84" t="s">
        <v>1509</v>
      </c>
    </row>
    <row r="10" spans="1:9">
      <c r="A10" s="31"/>
      <c r="B10" s="7"/>
      <c r="C10" s="7"/>
      <c r="D10" s="177" t="s">
        <v>318</v>
      </c>
      <c r="E10" s="629" t="s">
        <v>1509</v>
      </c>
      <c r="F10" s="629" t="s">
        <v>1509</v>
      </c>
      <c r="G10" s="629" t="s">
        <v>1509</v>
      </c>
      <c r="H10" s="84" t="s">
        <v>1509</v>
      </c>
      <c r="I10" s="84" t="s">
        <v>1509</v>
      </c>
    </row>
    <row r="11" spans="1:9">
      <c r="A11" s="31"/>
      <c r="B11" s="7"/>
      <c r="C11" s="7"/>
      <c r="D11" s="177" t="s">
        <v>1580</v>
      </c>
      <c r="E11" s="84">
        <v>1</v>
      </c>
      <c r="F11" s="84">
        <v>2</v>
      </c>
      <c r="G11" s="84">
        <v>2</v>
      </c>
      <c r="H11" s="84">
        <v>2</v>
      </c>
      <c r="I11" s="84">
        <v>2</v>
      </c>
    </row>
    <row r="12" spans="1:9">
      <c r="A12" s="31"/>
      <c r="B12" s="7"/>
      <c r="C12" s="7"/>
      <c r="D12" s="177" t="s">
        <v>93</v>
      </c>
      <c r="E12" s="814" t="s">
        <v>1509</v>
      </c>
      <c r="F12" s="814" t="s">
        <v>1509</v>
      </c>
      <c r="G12" s="814" t="s">
        <v>1509</v>
      </c>
      <c r="H12" s="1257" t="s">
        <v>1509</v>
      </c>
      <c r="I12" s="1257" t="s">
        <v>1509</v>
      </c>
    </row>
    <row r="13" spans="1:9">
      <c r="A13" s="31"/>
      <c r="B13" s="193" t="s">
        <v>1563</v>
      </c>
      <c r="C13" s="1569" t="s">
        <v>1581</v>
      </c>
      <c r="D13" s="1570"/>
      <c r="E13" s="493">
        <f>SUM(E14:E15)</f>
        <v>4</v>
      </c>
      <c r="F13" s="493">
        <f>SUM(F14:F15)</f>
        <v>4</v>
      </c>
      <c r="G13" s="493">
        <f>SUM(G14:G15)</f>
        <v>3</v>
      </c>
      <c r="H13" s="493">
        <f>SUM(H14:H15)</f>
        <v>3</v>
      </c>
      <c r="I13" s="493">
        <f>SUM(I14:I15)</f>
        <v>3</v>
      </c>
    </row>
    <row r="14" spans="1:9" ht="14.25" customHeight="1">
      <c r="A14" s="31"/>
      <c r="B14" s="7"/>
      <c r="C14" s="7"/>
      <c r="D14" s="195" t="s">
        <v>1582</v>
      </c>
      <c r="E14" s="84">
        <v>3</v>
      </c>
      <c r="F14" s="84">
        <v>3</v>
      </c>
      <c r="G14" s="84">
        <v>2</v>
      </c>
      <c r="H14" s="84">
        <v>2</v>
      </c>
      <c r="I14" s="84">
        <v>2</v>
      </c>
    </row>
    <row r="15" spans="1:9">
      <c r="A15" s="31"/>
      <c r="B15" s="7"/>
      <c r="C15" s="7"/>
      <c r="D15" s="177" t="s">
        <v>1583</v>
      </c>
      <c r="E15" s="84">
        <v>1</v>
      </c>
      <c r="F15" s="84">
        <v>1</v>
      </c>
      <c r="G15" s="84">
        <v>1</v>
      </c>
      <c r="H15" s="84">
        <v>1</v>
      </c>
      <c r="I15" s="84">
        <v>1</v>
      </c>
    </row>
    <row r="16" spans="1:9" ht="26.25" customHeight="1">
      <c r="A16" s="31"/>
      <c r="B16" s="189" t="s">
        <v>1564</v>
      </c>
      <c r="C16" s="1561" t="s">
        <v>29</v>
      </c>
      <c r="D16" s="1562"/>
      <c r="E16" s="494">
        <v>2</v>
      </c>
      <c r="F16" s="494">
        <v>2</v>
      </c>
      <c r="G16" s="494">
        <v>2</v>
      </c>
      <c r="H16" s="494">
        <v>2</v>
      </c>
      <c r="I16" s="494">
        <v>2</v>
      </c>
    </row>
    <row r="17" spans="1:9">
      <c r="A17" s="194">
        <v>2</v>
      </c>
      <c r="B17" s="1571" t="s">
        <v>856</v>
      </c>
      <c r="C17" s="1571"/>
      <c r="D17" s="1572"/>
      <c r="E17" s="372">
        <f>SUM(E18,E25,E28)</f>
        <v>3</v>
      </c>
      <c r="F17" s="372">
        <f>SUM(F18,F25,F28)</f>
        <v>4</v>
      </c>
      <c r="G17" s="372">
        <f>SUM(G18,G25,G28)</f>
        <v>10</v>
      </c>
      <c r="H17" s="372">
        <f>SUM(H18,H25,H28)</f>
        <v>13</v>
      </c>
      <c r="I17" s="372">
        <f>SUM(I18,I25,I28)</f>
        <v>14</v>
      </c>
    </row>
    <row r="18" spans="1:9">
      <c r="A18" s="31"/>
      <c r="B18" s="193" t="s">
        <v>1565</v>
      </c>
      <c r="C18" s="1569" t="s">
        <v>1584</v>
      </c>
      <c r="D18" s="1570"/>
      <c r="E18" s="493">
        <f>SUM(E19:E24)</f>
        <v>2</v>
      </c>
      <c r="F18" s="493">
        <f>SUM(F19:F24)</f>
        <v>3</v>
      </c>
      <c r="G18" s="493">
        <f>SUM(G19:G24)</f>
        <v>3</v>
      </c>
      <c r="H18" s="493">
        <f>SUM(H19:H24)</f>
        <v>3</v>
      </c>
      <c r="I18" s="493">
        <f>SUM(I19:I24)</f>
        <v>3</v>
      </c>
    </row>
    <row r="19" spans="1:9" ht="14.25" customHeight="1">
      <c r="A19" s="31"/>
      <c r="B19" s="7"/>
      <c r="C19" s="7"/>
      <c r="D19" s="195" t="s">
        <v>1297</v>
      </c>
      <c r="E19" s="534" t="s">
        <v>1509</v>
      </c>
      <c r="F19" s="534">
        <v>1</v>
      </c>
      <c r="G19" s="534">
        <v>1</v>
      </c>
      <c r="H19" s="534">
        <v>1</v>
      </c>
      <c r="I19" s="534">
        <v>1</v>
      </c>
    </row>
    <row r="20" spans="1:9">
      <c r="A20" s="31"/>
      <c r="B20" s="7"/>
      <c r="C20" s="7"/>
      <c r="D20" s="177" t="s">
        <v>413</v>
      </c>
      <c r="E20" s="84">
        <v>1</v>
      </c>
      <c r="F20" s="84">
        <v>1</v>
      </c>
      <c r="G20" s="84">
        <v>1</v>
      </c>
      <c r="H20" s="84">
        <v>1</v>
      </c>
      <c r="I20" s="84">
        <v>1</v>
      </c>
    </row>
    <row r="21" spans="1:9">
      <c r="A21" s="31"/>
      <c r="B21" s="7"/>
      <c r="C21" s="7"/>
      <c r="D21" s="177" t="s">
        <v>412</v>
      </c>
      <c r="E21" s="629" t="s">
        <v>1509</v>
      </c>
      <c r="F21" s="629" t="s">
        <v>1509</v>
      </c>
      <c r="G21" s="629" t="s">
        <v>1509</v>
      </c>
      <c r="H21" s="84" t="s">
        <v>1509</v>
      </c>
      <c r="I21" s="84" t="s">
        <v>1509</v>
      </c>
    </row>
    <row r="22" spans="1:9">
      <c r="A22" s="31"/>
      <c r="B22" s="7"/>
      <c r="C22" s="7"/>
      <c r="D22" s="177" t="s">
        <v>411</v>
      </c>
      <c r="E22" s="629">
        <v>1</v>
      </c>
      <c r="F22" s="629">
        <v>1</v>
      </c>
      <c r="G22" s="629">
        <v>1</v>
      </c>
      <c r="H22" s="629">
        <v>1</v>
      </c>
      <c r="I22" s="629">
        <v>1</v>
      </c>
    </row>
    <row r="23" spans="1:9">
      <c r="A23" s="31"/>
      <c r="B23" s="7"/>
      <c r="C23" s="7"/>
      <c r="D23" s="177" t="s">
        <v>1585</v>
      </c>
      <c r="E23" s="629" t="s">
        <v>1509</v>
      </c>
      <c r="F23" s="629" t="s">
        <v>1509</v>
      </c>
      <c r="G23" s="629" t="s">
        <v>1509</v>
      </c>
      <c r="H23" s="84" t="s">
        <v>1509</v>
      </c>
      <c r="I23" s="84" t="s">
        <v>1509</v>
      </c>
    </row>
    <row r="24" spans="1:9" ht="25.5" customHeight="1">
      <c r="A24" s="31"/>
      <c r="B24" s="7"/>
      <c r="C24" s="7"/>
      <c r="D24" s="196" t="s">
        <v>987</v>
      </c>
      <c r="E24" s="534" t="s">
        <v>1509</v>
      </c>
      <c r="F24" s="534" t="s">
        <v>1509</v>
      </c>
      <c r="G24" s="534" t="s">
        <v>1509</v>
      </c>
      <c r="H24" s="116" t="s">
        <v>1509</v>
      </c>
      <c r="I24" s="116" t="s">
        <v>1509</v>
      </c>
    </row>
    <row r="25" spans="1:9">
      <c r="A25" s="31"/>
      <c r="B25" s="193" t="s">
        <v>1563</v>
      </c>
      <c r="C25" s="1569" t="s">
        <v>1586</v>
      </c>
      <c r="D25" s="1570"/>
      <c r="E25" s="493">
        <f>SUM(E26:E27)</f>
        <v>1</v>
      </c>
      <c r="F25" s="493">
        <f>SUM(F26:F27)</f>
        <v>1</v>
      </c>
      <c r="G25" s="493">
        <f>SUM(G26:G27)</f>
        <v>7</v>
      </c>
      <c r="H25" s="493">
        <f>SUM(H26:H27)</f>
        <v>10</v>
      </c>
      <c r="I25" s="493">
        <f>SUM(I26:I27)</f>
        <v>11</v>
      </c>
    </row>
    <row r="26" spans="1:9">
      <c r="A26" s="31"/>
      <c r="B26" s="7"/>
      <c r="C26" s="7"/>
      <c r="D26" s="177" t="s">
        <v>414</v>
      </c>
      <c r="E26" s="84">
        <v>1</v>
      </c>
      <c r="F26" s="84">
        <v>1</v>
      </c>
      <c r="G26" s="84">
        <v>7</v>
      </c>
      <c r="H26" s="84">
        <v>10</v>
      </c>
      <c r="I26" s="84">
        <v>11</v>
      </c>
    </row>
    <row r="27" spans="1:9">
      <c r="A27" s="31"/>
      <c r="B27" s="7"/>
      <c r="C27" s="7"/>
      <c r="D27" s="177" t="s">
        <v>1587</v>
      </c>
      <c r="E27" s="84" t="s">
        <v>1509</v>
      </c>
      <c r="F27" s="84" t="s">
        <v>1509</v>
      </c>
      <c r="G27" s="84" t="s">
        <v>1509</v>
      </c>
      <c r="H27" s="84" t="s">
        <v>1509</v>
      </c>
      <c r="I27" s="84" t="s">
        <v>1509</v>
      </c>
    </row>
    <row r="28" spans="1:9">
      <c r="A28" s="31"/>
      <c r="B28" s="193" t="s">
        <v>1564</v>
      </c>
      <c r="C28" s="1569" t="s">
        <v>965</v>
      </c>
      <c r="D28" s="1570"/>
      <c r="E28" s="84" t="s">
        <v>1509</v>
      </c>
      <c r="F28" s="84" t="s">
        <v>1509</v>
      </c>
      <c r="G28" s="84" t="s">
        <v>1509</v>
      </c>
      <c r="H28" s="84" t="s">
        <v>1509</v>
      </c>
      <c r="I28" s="84" t="s">
        <v>1509</v>
      </c>
    </row>
    <row r="29" spans="1:9">
      <c r="A29" s="31"/>
      <c r="B29" s="7"/>
      <c r="C29" s="7"/>
      <c r="D29" s="177" t="s">
        <v>1588</v>
      </c>
      <c r="E29" s="84" t="s">
        <v>1509</v>
      </c>
      <c r="F29" s="84" t="s">
        <v>1509</v>
      </c>
      <c r="G29" s="84" t="s">
        <v>1509</v>
      </c>
      <c r="H29" s="84" t="s">
        <v>1509</v>
      </c>
      <c r="I29" s="84" t="s">
        <v>1509</v>
      </c>
    </row>
    <row r="30" spans="1:9">
      <c r="A30" s="31"/>
      <c r="B30" s="7"/>
      <c r="C30" s="7"/>
      <c r="D30" s="177" t="s">
        <v>1589</v>
      </c>
      <c r="E30" s="84" t="s">
        <v>1509</v>
      </c>
      <c r="F30" s="84" t="s">
        <v>1509</v>
      </c>
      <c r="G30" s="84" t="s">
        <v>1509</v>
      </c>
      <c r="H30" s="84" t="s">
        <v>1509</v>
      </c>
      <c r="I30" s="84" t="s">
        <v>1509</v>
      </c>
    </row>
    <row r="31" spans="1:9">
      <c r="A31" s="31"/>
      <c r="B31" s="7"/>
      <c r="C31" s="7"/>
      <c r="D31" s="177" t="s">
        <v>1656</v>
      </c>
      <c r="E31" s="84" t="s">
        <v>1509</v>
      </c>
      <c r="F31" s="84" t="s">
        <v>1509</v>
      </c>
      <c r="G31" s="84" t="s">
        <v>1509</v>
      </c>
      <c r="H31" s="84" t="s">
        <v>1509</v>
      </c>
      <c r="I31" s="84" t="s">
        <v>1509</v>
      </c>
    </row>
    <row r="32" spans="1:9">
      <c r="A32" s="31"/>
      <c r="B32" s="7"/>
      <c r="C32" s="7"/>
      <c r="D32" s="177" t="s">
        <v>1653</v>
      </c>
      <c r="E32" s="84" t="s">
        <v>1509</v>
      </c>
      <c r="F32" s="84" t="s">
        <v>1509</v>
      </c>
      <c r="G32" s="84" t="s">
        <v>1509</v>
      </c>
      <c r="H32" s="84" t="s">
        <v>1509</v>
      </c>
      <c r="I32" s="84" t="s">
        <v>1509</v>
      </c>
    </row>
    <row r="33" spans="1:9" ht="12.75" customHeight="1">
      <c r="A33" s="31"/>
      <c r="B33" s="7"/>
      <c r="C33" s="7"/>
      <c r="D33" s="195" t="s">
        <v>1655</v>
      </c>
      <c r="E33" s="84" t="s">
        <v>1509</v>
      </c>
      <c r="F33" s="84" t="s">
        <v>1509</v>
      </c>
      <c r="G33" s="84" t="s">
        <v>1509</v>
      </c>
      <c r="H33" s="84" t="s">
        <v>1509</v>
      </c>
      <c r="I33" s="84" t="s">
        <v>1509</v>
      </c>
    </row>
    <row r="34" spans="1:9">
      <c r="A34" s="194">
        <v>3</v>
      </c>
      <c r="B34" s="1557" t="s">
        <v>920</v>
      </c>
      <c r="C34" s="1557"/>
      <c r="D34" s="1558"/>
      <c r="E34" s="629" t="s">
        <v>1509</v>
      </c>
      <c r="F34" s="629" t="s">
        <v>1509</v>
      </c>
      <c r="G34" s="629" t="s">
        <v>1509</v>
      </c>
      <c r="H34" s="84" t="s">
        <v>1509</v>
      </c>
      <c r="I34" s="84" t="s">
        <v>1509</v>
      </c>
    </row>
    <row r="35" spans="1:9">
      <c r="A35" s="1566" t="s">
        <v>1233</v>
      </c>
      <c r="B35" s="1567"/>
      <c r="C35" s="1567"/>
      <c r="D35" s="1568"/>
      <c r="E35" s="276">
        <f>SUM(E7,E17,E34)</f>
        <v>10</v>
      </c>
      <c r="F35" s="276">
        <f>SUM(F7,F17,F34)</f>
        <v>12</v>
      </c>
      <c r="G35" s="276">
        <f>SUM(G7,G17,G34)</f>
        <v>17</v>
      </c>
      <c r="H35" s="276">
        <f>SUM(H7,H17,H34)</f>
        <v>20</v>
      </c>
      <c r="I35" s="276">
        <f>SUM(I7,I17,I34)</f>
        <v>21</v>
      </c>
    </row>
    <row r="36" spans="1:9">
      <c r="A36" s="51"/>
      <c r="B36" s="51"/>
      <c r="C36" s="51"/>
      <c r="D36" s="51"/>
      <c r="E36" s="51"/>
      <c r="F36" s="185"/>
      <c r="H36" s="573"/>
      <c r="I36" s="927" t="str">
        <f>CONCATENATE("Source : Heads of all Technical and Professional Institutions, ",District!A1)</f>
        <v>Source : Heads of all Technical and Professional Institutions, Malda</v>
      </c>
    </row>
    <row r="37" spans="1:9">
      <c r="A37" s="51"/>
      <c r="B37" s="51"/>
      <c r="C37" s="51"/>
      <c r="D37" s="51"/>
      <c r="E37" s="51"/>
      <c r="F37" s="139"/>
      <c r="G37" s="348"/>
      <c r="H37" s="348"/>
      <c r="I37" s="348"/>
    </row>
    <row r="38" spans="1:9">
      <c r="A38" s="51"/>
      <c r="B38" s="51"/>
      <c r="C38" s="51"/>
      <c r="D38" s="67"/>
      <c r="E38" s="51"/>
      <c r="F38" s="139"/>
      <c r="G38" s="348"/>
      <c r="H38" s="348"/>
      <c r="I38" s="348"/>
    </row>
    <row r="39" spans="1:9">
      <c r="A39" s="51"/>
      <c r="B39" s="51"/>
      <c r="C39" s="51"/>
      <c r="D39" s="51"/>
      <c r="E39" s="51"/>
      <c r="F39" s="51"/>
      <c r="G39" s="51"/>
      <c r="H39" s="51"/>
      <c r="I39" s="51"/>
    </row>
    <row r="40" spans="1:9">
      <c r="A40" s="51"/>
      <c r="B40" s="51"/>
      <c r="C40" s="51"/>
      <c r="D40" s="51"/>
      <c r="E40" s="51"/>
      <c r="F40" s="51"/>
      <c r="G40" s="51"/>
      <c r="H40" s="51"/>
      <c r="I40" s="51"/>
    </row>
    <row r="41" spans="1:9">
      <c r="A41" s="51"/>
      <c r="B41" s="51"/>
      <c r="C41" s="51"/>
      <c r="D41" s="51"/>
      <c r="E41" s="51"/>
      <c r="F41" s="51"/>
      <c r="G41" s="51"/>
      <c r="H41" s="51"/>
      <c r="I41" s="51"/>
    </row>
    <row r="42" spans="1:9">
      <c r="A42" s="51"/>
      <c r="B42" s="51"/>
      <c r="C42" s="51"/>
      <c r="D42" s="51"/>
      <c r="E42" s="51"/>
      <c r="F42" s="51"/>
      <c r="G42" s="51"/>
      <c r="H42" s="51"/>
      <c r="I42" s="51"/>
    </row>
    <row r="43" spans="1:9">
      <c r="A43" s="51"/>
      <c r="B43" s="51"/>
      <c r="C43" s="51"/>
      <c r="D43" s="51"/>
      <c r="E43" s="51"/>
      <c r="F43" s="51"/>
      <c r="G43" s="51"/>
      <c r="H43" s="51"/>
      <c r="I43" s="51"/>
    </row>
  </sheetData>
  <mergeCells count="15">
    <mergeCell ref="E4:I4"/>
    <mergeCell ref="A6:D6"/>
    <mergeCell ref="B7:D7"/>
    <mergeCell ref="C8:D8"/>
    <mergeCell ref="A4:D5"/>
    <mergeCell ref="A1:I1"/>
    <mergeCell ref="A2:I2"/>
    <mergeCell ref="A35:D35"/>
    <mergeCell ref="B34:D34"/>
    <mergeCell ref="C13:D13"/>
    <mergeCell ref="C18:D18"/>
    <mergeCell ref="C28:D28"/>
    <mergeCell ref="C25:D25"/>
    <mergeCell ref="B17:D17"/>
    <mergeCell ref="C16:D16"/>
  </mergeCells>
  <phoneticPr fontId="0" type="noConversion"/>
  <printOptions horizontalCentered="1"/>
  <pageMargins left="0.1" right="0.1" top="0.65" bottom="0.1" header="0.8" footer="0.1"/>
  <pageSetup paperSize="9" orientation="landscape" blackAndWhite="1" horizontalDpi="4294967295" verticalDpi="180" r:id="rId1"/>
  <headerFooter alignWithMargins="0"/>
</worksheet>
</file>

<file path=xl/worksheets/sheet28.xml><?xml version="1.0" encoding="utf-8"?>
<worksheet xmlns="http://schemas.openxmlformats.org/spreadsheetml/2006/main" xmlns:r="http://schemas.openxmlformats.org/officeDocument/2006/relationships">
  <sheetPr codeName="Sheet28"/>
  <dimension ref="A1:I31"/>
  <sheetViews>
    <sheetView topLeftCell="A4" workbookViewId="0">
      <selection activeCell="M5" sqref="M5"/>
    </sheetView>
  </sheetViews>
  <sheetFormatPr defaultRowHeight="12.75"/>
  <cols>
    <col min="1" max="1" width="3.140625" customWidth="1"/>
    <col min="2" max="2" width="45.42578125" customWidth="1"/>
    <col min="3" max="6" width="16.7109375" customWidth="1"/>
    <col min="7" max="7" width="17" customWidth="1"/>
    <col min="8" max="8" width="12" customWidth="1"/>
    <col min="9" max="9" width="13.42578125" customWidth="1"/>
  </cols>
  <sheetData>
    <row r="1" spans="1:7" ht="12.75" customHeight="1">
      <c r="A1" s="1430" t="s">
        <v>1358</v>
      </c>
      <c r="B1" s="1430"/>
      <c r="C1" s="1430"/>
      <c r="D1" s="1430"/>
      <c r="E1" s="1430"/>
      <c r="F1" s="1430"/>
      <c r="G1" s="1430"/>
    </row>
    <row r="2" spans="1:7" ht="17.25" customHeight="1">
      <c r="A2" s="1534" t="str">
        <f>CONCATENATE("Special and Non-formal Educational Institutions by type in the district of ",District!A1)</f>
        <v>Special and Non-formal Educational Institutions by type in the district of Malda</v>
      </c>
      <c r="B2" s="1534"/>
      <c r="C2" s="1534"/>
      <c r="D2" s="1534"/>
      <c r="E2" s="1534"/>
      <c r="F2" s="1534"/>
      <c r="G2" s="1534"/>
    </row>
    <row r="3" spans="1:7" ht="15" customHeight="1">
      <c r="G3" s="170" t="s">
        <v>1253</v>
      </c>
    </row>
    <row r="4" spans="1:7" ht="15.95" customHeight="1">
      <c r="A4" s="1359" t="s">
        <v>1414</v>
      </c>
      <c r="B4" s="1360"/>
      <c r="C4" s="1574" t="s">
        <v>1089</v>
      </c>
      <c r="D4" s="1574"/>
      <c r="E4" s="1574"/>
      <c r="F4" s="1574"/>
      <c r="G4" s="1575"/>
    </row>
    <row r="5" spans="1:7" ht="15.95" customHeight="1">
      <c r="A5" s="1361"/>
      <c r="B5" s="1362"/>
      <c r="C5" s="511" t="str">
        <f>District!A10</f>
        <v>2009-10</v>
      </c>
      <c r="D5" s="511" t="str">
        <f>District!B10</f>
        <v>2010-11</v>
      </c>
      <c r="E5" s="511" t="str">
        <f>District!C10</f>
        <v>2011-12</v>
      </c>
      <c r="F5" s="511" t="str">
        <f>District!D10</f>
        <v>2012-13</v>
      </c>
      <c r="G5" s="511" t="str">
        <f>District!E10</f>
        <v>2013-14</v>
      </c>
    </row>
    <row r="6" spans="1:7" ht="15.95" customHeight="1">
      <c r="A6" s="1576" t="s">
        <v>1208</v>
      </c>
      <c r="B6" s="1578"/>
      <c r="C6" s="151" t="s">
        <v>1209</v>
      </c>
      <c r="D6" s="151" t="s">
        <v>1210</v>
      </c>
      <c r="E6" s="152" t="s">
        <v>1211</v>
      </c>
      <c r="F6" s="151" t="s">
        <v>1212</v>
      </c>
      <c r="G6" s="151" t="s">
        <v>1213</v>
      </c>
    </row>
    <row r="7" spans="1:7" ht="19.5" customHeight="1">
      <c r="A7" s="598">
        <v>1</v>
      </c>
      <c r="B7" s="655" t="s">
        <v>1657</v>
      </c>
      <c r="C7" s="115">
        <v>618</v>
      </c>
      <c r="D7" s="116">
        <v>618</v>
      </c>
      <c r="E7" s="115">
        <v>618</v>
      </c>
      <c r="F7" s="115">
        <v>618</v>
      </c>
      <c r="G7" s="115">
        <v>618</v>
      </c>
    </row>
    <row r="8" spans="1:7" ht="19.5" customHeight="1">
      <c r="A8" s="598">
        <v>2</v>
      </c>
      <c r="B8" s="656" t="s">
        <v>56</v>
      </c>
      <c r="C8" s="116">
        <v>107</v>
      </c>
      <c r="D8" s="116">
        <v>107</v>
      </c>
      <c r="E8" s="116">
        <v>108</v>
      </c>
      <c r="F8" s="116">
        <v>108</v>
      </c>
      <c r="G8" s="116">
        <v>108</v>
      </c>
    </row>
    <row r="9" spans="1:7" ht="19.5" customHeight="1">
      <c r="A9" s="598">
        <v>3</v>
      </c>
      <c r="B9" s="656" t="s">
        <v>1658</v>
      </c>
      <c r="C9" s="534" t="s">
        <v>1509</v>
      </c>
      <c r="D9" s="534" t="s">
        <v>1509</v>
      </c>
      <c r="E9" s="534" t="s">
        <v>1509</v>
      </c>
      <c r="F9" s="116" t="s">
        <v>1509</v>
      </c>
      <c r="G9" s="116" t="s">
        <v>1509</v>
      </c>
    </row>
    <row r="10" spans="1:7" ht="19.5" customHeight="1">
      <c r="A10" s="598">
        <v>4</v>
      </c>
      <c r="B10" s="656" t="s">
        <v>1328</v>
      </c>
      <c r="C10" s="116">
        <v>1</v>
      </c>
      <c r="D10" s="116">
        <v>1</v>
      </c>
      <c r="E10" s="116">
        <v>1</v>
      </c>
      <c r="F10" s="116">
        <v>1</v>
      </c>
      <c r="G10" s="116">
        <v>3</v>
      </c>
    </row>
    <row r="11" spans="1:7" ht="19.5" customHeight="1">
      <c r="A11" s="598">
        <v>5</v>
      </c>
      <c r="B11" s="656" t="s">
        <v>1662</v>
      </c>
      <c r="C11" s="534" t="s">
        <v>1509</v>
      </c>
      <c r="D11" s="534" t="s">
        <v>1509</v>
      </c>
      <c r="E11" s="534" t="s">
        <v>1509</v>
      </c>
      <c r="F11" s="116" t="s">
        <v>1509</v>
      </c>
      <c r="G11" s="116" t="s">
        <v>1509</v>
      </c>
    </row>
    <row r="12" spans="1:7" ht="19.5" customHeight="1">
      <c r="A12" s="598">
        <v>6</v>
      </c>
      <c r="B12" s="656" t="s">
        <v>1659</v>
      </c>
      <c r="C12" s="534" t="s">
        <v>1509</v>
      </c>
      <c r="D12" s="534" t="s">
        <v>1509</v>
      </c>
      <c r="E12" s="534" t="s">
        <v>1509</v>
      </c>
      <c r="F12" s="116" t="s">
        <v>1509</v>
      </c>
      <c r="G12" s="116" t="s">
        <v>1509</v>
      </c>
    </row>
    <row r="13" spans="1:7" ht="26.25" customHeight="1">
      <c r="A13" s="420">
        <v>7</v>
      </c>
      <c r="B13" s="658" t="s">
        <v>1329</v>
      </c>
      <c r="C13" s="116">
        <v>8</v>
      </c>
      <c r="D13" s="116">
        <v>8</v>
      </c>
      <c r="E13" s="116">
        <v>8</v>
      </c>
      <c r="F13" s="116">
        <v>8</v>
      </c>
      <c r="G13" s="116">
        <v>8</v>
      </c>
    </row>
    <row r="14" spans="1:7" ht="19.5" customHeight="1">
      <c r="A14" s="598">
        <v>8</v>
      </c>
      <c r="B14" s="656" t="s">
        <v>1660</v>
      </c>
      <c r="C14" s="534" t="s">
        <v>1509</v>
      </c>
      <c r="D14" s="534" t="s">
        <v>1509</v>
      </c>
      <c r="E14" s="534" t="s">
        <v>1509</v>
      </c>
      <c r="F14" s="116" t="s">
        <v>1509</v>
      </c>
      <c r="G14" s="116" t="s">
        <v>1509</v>
      </c>
    </row>
    <row r="15" spans="1:7" ht="19.5" customHeight="1">
      <c r="A15" s="598">
        <v>9</v>
      </c>
      <c r="B15" s="656" t="s">
        <v>1661</v>
      </c>
      <c r="C15" s="116">
        <v>5192</v>
      </c>
      <c r="D15" s="116">
        <v>5301</v>
      </c>
      <c r="E15" s="116">
        <v>5504</v>
      </c>
      <c r="F15" s="116">
        <v>5573</v>
      </c>
      <c r="G15" s="116">
        <v>5573</v>
      </c>
    </row>
    <row r="16" spans="1:7" ht="19.5" customHeight="1">
      <c r="A16" s="598">
        <v>10</v>
      </c>
      <c r="B16" s="656" t="s">
        <v>1531</v>
      </c>
      <c r="C16" s="116">
        <v>1</v>
      </c>
      <c r="D16" s="116">
        <v>1</v>
      </c>
      <c r="E16" s="116">
        <v>1</v>
      </c>
      <c r="F16" s="116">
        <v>1</v>
      </c>
      <c r="G16" s="116">
        <v>1</v>
      </c>
    </row>
    <row r="17" spans="1:9" ht="40.5" customHeight="1">
      <c r="A17" s="420">
        <v>11</v>
      </c>
      <c r="B17" s="380" t="s">
        <v>25</v>
      </c>
      <c r="C17" s="116">
        <v>1</v>
      </c>
      <c r="D17" s="116">
        <v>1</v>
      </c>
      <c r="E17" s="116">
        <v>1</v>
      </c>
      <c r="F17" s="116">
        <v>1</v>
      </c>
      <c r="G17" s="116">
        <v>1</v>
      </c>
    </row>
    <row r="18" spans="1:9" ht="19.5" customHeight="1">
      <c r="A18" s="598">
        <v>12</v>
      </c>
      <c r="B18" s="657" t="s">
        <v>1490</v>
      </c>
      <c r="C18" s="534" t="s">
        <v>1509</v>
      </c>
      <c r="D18" s="534" t="s">
        <v>1509</v>
      </c>
      <c r="E18" s="610" t="s">
        <v>1509</v>
      </c>
      <c r="F18" s="117" t="s">
        <v>1509</v>
      </c>
      <c r="G18" s="117" t="s">
        <v>1509</v>
      </c>
    </row>
    <row r="19" spans="1:9" ht="19.5" customHeight="1">
      <c r="A19" s="1344" t="s">
        <v>1233</v>
      </c>
      <c r="B19" s="1345"/>
      <c r="C19" s="183">
        <f>SUM(C7:C18)</f>
        <v>5928</v>
      </c>
      <c r="D19" s="276">
        <f>SUM(D7:D18)</f>
        <v>6037</v>
      </c>
      <c r="E19" s="276">
        <f>SUM(E7:E18)</f>
        <v>6241</v>
      </c>
      <c r="F19" s="276">
        <f>SUM(F7:F18)</f>
        <v>6310</v>
      </c>
      <c r="G19" s="276">
        <f>SUM(G7:G18)</f>
        <v>6312</v>
      </c>
    </row>
    <row r="20" spans="1:9" ht="23.25" customHeight="1">
      <c r="A20" s="51"/>
      <c r="B20" s="51"/>
      <c r="D20" s="928" t="s">
        <v>947</v>
      </c>
      <c r="E20" s="1579" t="s">
        <v>28</v>
      </c>
      <c r="F20" s="1580"/>
      <c r="G20" s="1580"/>
      <c r="I20" s="128"/>
    </row>
    <row r="21" spans="1:9">
      <c r="A21" s="51"/>
      <c r="B21" s="51"/>
      <c r="D21" s="847" t="s">
        <v>948</v>
      </c>
      <c r="E21" s="929" t="s">
        <v>960</v>
      </c>
      <c r="F21" s="25"/>
      <c r="G21" s="25"/>
    </row>
    <row r="22" spans="1:9">
      <c r="A22" s="51"/>
      <c r="B22" s="51"/>
      <c r="D22" s="847" t="s">
        <v>955</v>
      </c>
      <c r="E22" s="917" t="s">
        <v>961</v>
      </c>
      <c r="F22" s="920"/>
      <c r="G22" s="25"/>
    </row>
    <row r="23" spans="1:9">
      <c r="A23" s="51"/>
      <c r="B23" s="51"/>
      <c r="D23" s="847" t="s">
        <v>951</v>
      </c>
      <c r="E23" s="917" t="s">
        <v>962</v>
      </c>
      <c r="F23" s="920"/>
      <c r="G23" s="25"/>
    </row>
    <row r="24" spans="1:9">
      <c r="A24" s="51"/>
      <c r="B24" s="51"/>
      <c r="D24" s="847" t="s">
        <v>952</v>
      </c>
      <c r="E24" s="917" t="s">
        <v>963</v>
      </c>
      <c r="F24" s="25"/>
      <c r="G24" s="25"/>
    </row>
    <row r="25" spans="1:9">
      <c r="A25" s="51"/>
      <c r="B25" s="51"/>
      <c r="D25" s="847" t="s">
        <v>953</v>
      </c>
      <c r="E25" s="917" t="s">
        <v>26</v>
      </c>
      <c r="F25" s="920"/>
      <c r="G25" s="25"/>
    </row>
    <row r="26" spans="1:9">
      <c r="A26" s="51"/>
      <c r="B26" s="51"/>
      <c r="D26" s="847" t="s">
        <v>954</v>
      </c>
      <c r="E26" s="917" t="s">
        <v>27</v>
      </c>
      <c r="F26" s="25"/>
      <c r="G26" s="25"/>
    </row>
    <row r="27" spans="1:9">
      <c r="A27" s="51"/>
      <c r="B27" s="51"/>
      <c r="D27" s="847" t="s">
        <v>959</v>
      </c>
      <c r="E27" s="917" t="s">
        <v>964</v>
      </c>
      <c r="F27" s="25"/>
      <c r="G27" s="25"/>
    </row>
    <row r="28" spans="1:9">
      <c r="A28" s="51"/>
      <c r="B28" s="51"/>
      <c r="C28" s="51"/>
      <c r="D28" s="51"/>
      <c r="E28" s="51"/>
      <c r="F28" s="51"/>
      <c r="G28" s="51"/>
    </row>
    <row r="29" spans="1:9">
      <c r="A29" s="51"/>
      <c r="B29" s="51"/>
      <c r="C29" s="51"/>
      <c r="D29" s="51"/>
      <c r="E29" s="51"/>
      <c r="F29" s="51"/>
      <c r="G29" s="51"/>
    </row>
    <row r="30" spans="1:9">
      <c r="A30" s="51"/>
      <c r="B30" s="51"/>
      <c r="C30" s="128"/>
      <c r="D30" s="128"/>
      <c r="E30" s="128"/>
      <c r="F30" s="128"/>
      <c r="G30" s="128"/>
    </row>
    <row r="31" spans="1:9">
      <c r="D31" s="51"/>
      <c r="E31" s="51"/>
      <c r="F31" s="51"/>
      <c r="G31" s="51"/>
    </row>
  </sheetData>
  <mergeCells count="7">
    <mergeCell ref="E20:G20"/>
    <mergeCell ref="A1:G1"/>
    <mergeCell ref="A19:B19"/>
    <mergeCell ref="A2:G2"/>
    <mergeCell ref="A6:B6"/>
    <mergeCell ref="A4:B5"/>
    <mergeCell ref="C4:G4"/>
  </mergeCells>
  <phoneticPr fontId="0" type="noConversion"/>
  <printOptions horizontalCentered="1"/>
  <pageMargins left="0.1" right="0.1" top="0.87" bottom="0.1" header="0.6" footer="0.1"/>
  <pageSetup paperSize="9" orientation="landscape" blackAndWhite="1" horizontalDpi="4294967295" verticalDpi="180" r:id="rId1"/>
  <headerFooter alignWithMargins="0"/>
</worksheet>
</file>

<file path=xl/worksheets/sheet29.xml><?xml version="1.0" encoding="utf-8"?>
<worksheet xmlns="http://schemas.openxmlformats.org/spreadsheetml/2006/main" xmlns:r="http://schemas.openxmlformats.org/officeDocument/2006/relationships">
  <sheetPr codeName="Sheet29"/>
  <dimension ref="A1:N42"/>
  <sheetViews>
    <sheetView topLeftCell="A11" workbookViewId="0">
      <selection activeCell="M5" sqref="M5"/>
    </sheetView>
  </sheetViews>
  <sheetFormatPr defaultRowHeight="12.75"/>
  <cols>
    <col min="1" max="1" width="1.7109375" customWidth="1"/>
    <col min="2" max="2" width="2.85546875" customWidth="1"/>
    <col min="3" max="3" width="1.140625" customWidth="1"/>
    <col min="4" max="4" width="47.85546875" customWidth="1"/>
    <col min="5" max="5" width="7.85546875" customWidth="1"/>
    <col min="6" max="9" width="8.140625" customWidth="1"/>
    <col min="13" max="13" width="9.5703125" customWidth="1"/>
    <col min="14" max="14" width="9.85546875" customWidth="1"/>
  </cols>
  <sheetData>
    <row r="1" spans="1:14" ht="12.75" customHeight="1">
      <c r="A1" s="1363" t="s">
        <v>1359</v>
      </c>
      <c r="B1" s="1363"/>
      <c r="C1" s="1363"/>
      <c r="D1" s="1363"/>
      <c r="E1" s="1363"/>
      <c r="F1" s="1363"/>
      <c r="G1" s="1363"/>
      <c r="H1" s="1363"/>
      <c r="I1" s="1363"/>
      <c r="J1" s="1363"/>
      <c r="K1" s="1363"/>
      <c r="L1" s="1363"/>
      <c r="M1" s="1363"/>
      <c r="N1" s="1363"/>
    </row>
    <row r="2" spans="1:14" ht="15.75" customHeight="1">
      <c r="A2" s="1534" t="str">
        <f>CONCATENATE("Students by sex in different type of General Educational Institutions in the district of ",District!A1)</f>
        <v>Students by sex in different type of General Educational Institutions in the district of Malda</v>
      </c>
      <c r="B2" s="1534"/>
      <c r="C2" s="1534"/>
      <c r="D2" s="1534"/>
      <c r="E2" s="1534"/>
      <c r="F2" s="1534"/>
      <c r="G2" s="1534"/>
      <c r="H2" s="1534"/>
      <c r="I2" s="1534"/>
      <c r="J2" s="1534"/>
      <c r="K2" s="1534"/>
      <c r="L2" s="1534"/>
      <c r="M2" s="1534"/>
      <c r="N2" s="1534"/>
    </row>
    <row r="3" spans="1:14" ht="12" customHeight="1">
      <c r="B3" s="4"/>
      <c r="C3" s="4"/>
      <c r="D3" s="4"/>
      <c r="E3" s="4"/>
      <c r="F3" s="4"/>
      <c r="G3" s="4"/>
      <c r="H3" s="4"/>
      <c r="I3" s="4"/>
      <c r="J3" s="4"/>
      <c r="K3" s="4"/>
      <c r="L3" s="4"/>
      <c r="M3" s="4"/>
      <c r="N3" s="159" t="s">
        <v>1253</v>
      </c>
    </row>
    <row r="4" spans="1:14">
      <c r="A4" s="1433" t="s">
        <v>1414</v>
      </c>
      <c r="B4" s="1435"/>
      <c r="C4" s="1435"/>
      <c r="D4" s="1434"/>
      <c r="E4" s="1549" t="s">
        <v>1089</v>
      </c>
      <c r="F4" s="1550"/>
      <c r="G4" s="1550"/>
      <c r="H4" s="1550"/>
      <c r="I4" s="1550"/>
      <c r="J4" s="1550"/>
      <c r="K4" s="1550"/>
      <c r="L4" s="1550"/>
      <c r="M4" s="1550"/>
      <c r="N4" s="1551"/>
    </row>
    <row r="5" spans="1:14" ht="12" customHeight="1">
      <c r="A5" s="1406"/>
      <c r="B5" s="1395"/>
      <c r="C5" s="1395"/>
      <c r="D5" s="1452"/>
      <c r="E5" s="1590" t="str">
        <f>District!A12</f>
        <v>2009-10</v>
      </c>
      <c r="F5" s="1591"/>
      <c r="G5" s="1590" t="str">
        <f>District!C12</f>
        <v>2010-11</v>
      </c>
      <c r="H5" s="1591"/>
      <c r="I5" s="1590" t="str">
        <f>District!E12</f>
        <v>2011-12</v>
      </c>
      <c r="J5" s="1591"/>
      <c r="K5" s="1590" t="str">
        <f>District!G12</f>
        <v>2012-13</v>
      </c>
      <c r="L5" s="1591"/>
      <c r="M5" s="1590" t="str">
        <f>District!I12</f>
        <v>2013-14</v>
      </c>
      <c r="N5" s="1591"/>
    </row>
    <row r="6" spans="1:14">
      <c r="A6" s="1407"/>
      <c r="B6" s="1396"/>
      <c r="C6" s="1396"/>
      <c r="D6" s="1460"/>
      <c r="E6" s="147" t="s">
        <v>1265</v>
      </c>
      <c r="F6" s="146" t="s">
        <v>1266</v>
      </c>
      <c r="G6" s="147" t="s">
        <v>1265</v>
      </c>
      <c r="H6" s="146" t="s">
        <v>1266</v>
      </c>
      <c r="I6" s="145" t="s">
        <v>1265</v>
      </c>
      <c r="J6" s="176" t="s">
        <v>1266</v>
      </c>
      <c r="K6" s="145" t="s">
        <v>1265</v>
      </c>
      <c r="L6" s="176" t="s">
        <v>1266</v>
      </c>
      <c r="M6" s="145" t="s">
        <v>1265</v>
      </c>
      <c r="N6" s="176" t="s">
        <v>1266</v>
      </c>
    </row>
    <row r="7" spans="1:14">
      <c r="A7" s="1576" t="s">
        <v>1208</v>
      </c>
      <c r="B7" s="1577"/>
      <c r="C7" s="1577"/>
      <c r="D7" s="1578"/>
      <c r="E7" s="174" t="s">
        <v>1209</v>
      </c>
      <c r="F7" s="164" t="s">
        <v>1210</v>
      </c>
      <c r="G7" s="174" t="s">
        <v>1211</v>
      </c>
      <c r="H7" s="164" t="s">
        <v>1212</v>
      </c>
      <c r="I7" s="135" t="s">
        <v>1213</v>
      </c>
      <c r="J7" s="164" t="s">
        <v>1214</v>
      </c>
      <c r="K7" s="135" t="s">
        <v>1244</v>
      </c>
      <c r="L7" s="164" t="s">
        <v>1245</v>
      </c>
      <c r="M7" s="135" t="s">
        <v>1246</v>
      </c>
      <c r="N7" s="164" t="s">
        <v>1247</v>
      </c>
    </row>
    <row r="8" spans="1:14">
      <c r="A8" s="192">
        <v>1</v>
      </c>
      <c r="B8" s="1555" t="s">
        <v>976</v>
      </c>
      <c r="C8" s="1555"/>
      <c r="D8" s="1556"/>
      <c r="E8" s="200">
        <f>SUM(E9,E14,E19,E24,)</f>
        <v>283988</v>
      </c>
      <c r="F8" s="201">
        <f>SUM(F9,F14,F19,F24,)</f>
        <v>309073</v>
      </c>
      <c r="G8" s="200">
        <f>SUM(G9,G14,G19,G24,)</f>
        <v>359994</v>
      </c>
      <c r="H8" s="201">
        <f>SUM(H9,H14,H19,H24,)</f>
        <v>372242</v>
      </c>
      <c r="I8" s="200">
        <f t="shared" ref="I8:N8" si="0">SUM(I9,I14,I19,I24,)</f>
        <v>356258</v>
      </c>
      <c r="J8" s="201">
        <f t="shared" si="0"/>
        <v>380432</v>
      </c>
      <c r="K8" s="200">
        <f t="shared" si="0"/>
        <v>442272</v>
      </c>
      <c r="L8" s="201">
        <f t="shared" si="0"/>
        <v>508441</v>
      </c>
      <c r="M8" s="200">
        <f t="shared" si="0"/>
        <v>460383</v>
      </c>
      <c r="N8" s="201">
        <f t="shared" si="0"/>
        <v>517799</v>
      </c>
    </row>
    <row r="9" spans="1:14" ht="24" customHeight="1">
      <c r="A9" s="203"/>
      <c r="B9" s="189" t="s">
        <v>1565</v>
      </c>
      <c r="C9" s="1583" t="s">
        <v>1103</v>
      </c>
      <c r="D9" s="1584"/>
      <c r="E9" s="209">
        <f>SUM(E10:E13)</f>
        <v>152739</v>
      </c>
      <c r="F9" s="208">
        <f>SUM(F10:F13)</f>
        <v>158089</v>
      </c>
      <c r="G9" s="209">
        <f>SUM(G10:G13)</f>
        <v>163217</v>
      </c>
      <c r="H9" s="208">
        <f>SUM(H10:H13)</f>
        <v>166583</v>
      </c>
      <c r="I9" s="209">
        <f t="shared" ref="I9:N9" si="1">SUM(I10:I13)</f>
        <v>153771</v>
      </c>
      <c r="J9" s="208">
        <f t="shared" si="1"/>
        <v>157193</v>
      </c>
      <c r="K9" s="209">
        <f t="shared" si="1"/>
        <v>158299</v>
      </c>
      <c r="L9" s="208">
        <f t="shared" si="1"/>
        <v>159898</v>
      </c>
      <c r="M9" s="209">
        <f t="shared" si="1"/>
        <v>161220</v>
      </c>
      <c r="N9" s="208">
        <f t="shared" si="1"/>
        <v>167154</v>
      </c>
    </row>
    <row r="10" spans="1:14">
      <c r="A10" s="203"/>
      <c r="B10" s="7"/>
      <c r="C10" s="7"/>
      <c r="D10" s="177" t="s">
        <v>23</v>
      </c>
      <c r="E10" s="778">
        <v>152343</v>
      </c>
      <c r="F10" s="122">
        <v>157792</v>
      </c>
      <c r="G10" s="778">
        <v>162928</v>
      </c>
      <c r="H10" s="122">
        <v>166288</v>
      </c>
      <c r="I10" s="779">
        <v>153451</v>
      </c>
      <c r="J10" s="122">
        <v>156875</v>
      </c>
      <c r="K10" s="779">
        <v>157929</v>
      </c>
      <c r="L10" s="122">
        <v>159587</v>
      </c>
      <c r="M10" s="779">
        <v>160803</v>
      </c>
      <c r="N10" s="122">
        <v>166743</v>
      </c>
    </row>
    <row r="11" spans="1:14">
      <c r="A11" s="203"/>
      <c r="B11" s="7"/>
      <c r="C11" s="7"/>
      <c r="D11" s="177" t="s">
        <v>1561</v>
      </c>
      <c r="E11" s="778">
        <v>396</v>
      </c>
      <c r="F11" s="122">
        <v>297</v>
      </c>
      <c r="G11" s="778">
        <v>289</v>
      </c>
      <c r="H11" s="122">
        <v>295</v>
      </c>
      <c r="I11" s="779">
        <v>320</v>
      </c>
      <c r="J11" s="122">
        <v>318</v>
      </c>
      <c r="K11" s="779">
        <v>370</v>
      </c>
      <c r="L11" s="122">
        <v>311</v>
      </c>
      <c r="M11" s="779">
        <v>417</v>
      </c>
      <c r="N11" s="122">
        <v>411</v>
      </c>
    </row>
    <row r="12" spans="1:14">
      <c r="A12" s="203"/>
      <c r="B12" s="7"/>
      <c r="C12" s="7"/>
      <c r="D12" s="177" t="s">
        <v>1562</v>
      </c>
      <c r="E12" s="778" t="s">
        <v>1509</v>
      </c>
      <c r="F12" s="122" t="s">
        <v>1509</v>
      </c>
      <c r="G12" s="778" t="s">
        <v>1020</v>
      </c>
      <c r="H12" s="122" t="s">
        <v>1509</v>
      </c>
      <c r="I12" s="779" t="s">
        <v>1509</v>
      </c>
      <c r="J12" s="122" t="s">
        <v>1509</v>
      </c>
      <c r="K12" s="779" t="s">
        <v>1509</v>
      </c>
      <c r="L12" s="122" t="s">
        <v>1509</v>
      </c>
      <c r="M12" s="779" t="s">
        <v>1509</v>
      </c>
      <c r="N12" s="122" t="s">
        <v>1509</v>
      </c>
    </row>
    <row r="13" spans="1:14">
      <c r="A13" s="203"/>
      <c r="B13" s="7"/>
      <c r="C13" s="7"/>
      <c r="D13" s="177" t="s">
        <v>217</v>
      </c>
      <c r="E13" s="778" t="s">
        <v>1509</v>
      </c>
      <c r="F13" s="122" t="s">
        <v>1509</v>
      </c>
      <c r="G13" s="778" t="s">
        <v>1509</v>
      </c>
      <c r="H13" s="122" t="s">
        <v>1509</v>
      </c>
      <c r="I13" s="779" t="s">
        <v>1509</v>
      </c>
      <c r="J13" s="122" t="s">
        <v>1509</v>
      </c>
      <c r="K13" s="779" t="s">
        <v>1509</v>
      </c>
      <c r="L13" s="122" t="s">
        <v>1509</v>
      </c>
      <c r="M13" s="779" t="s">
        <v>1509</v>
      </c>
      <c r="N13" s="122" t="s">
        <v>1509</v>
      </c>
    </row>
    <row r="14" spans="1:14" ht="24.75" customHeight="1">
      <c r="A14" s="203"/>
      <c r="B14" s="189" t="s">
        <v>1563</v>
      </c>
      <c r="C14" s="1585" t="s">
        <v>1104</v>
      </c>
      <c r="D14" s="1586"/>
      <c r="E14" s="209">
        <f>SUM(E15:E18)</f>
        <v>1360</v>
      </c>
      <c r="F14" s="208">
        <f>SUM(F15:F18)</f>
        <v>2133</v>
      </c>
      <c r="G14" s="209">
        <f>SUM(G15:G18)</f>
        <v>904</v>
      </c>
      <c r="H14" s="208">
        <f>SUM(H15:H18)</f>
        <v>2584</v>
      </c>
      <c r="I14" s="209">
        <f t="shared" ref="I14:N14" si="2">SUM(I15:I18)</f>
        <v>2506</v>
      </c>
      <c r="J14" s="208">
        <f t="shared" si="2"/>
        <v>8331</v>
      </c>
      <c r="K14" s="209">
        <f t="shared" si="2"/>
        <v>12060</v>
      </c>
      <c r="L14" s="208">
        <f t="shared" si="2"/>
        <v>29460</v>
      </c>
      <c r="M14" s="209">
        <f t="shared" si="2"/>
        <v>16246</v>
      </c>
      <c r="N14" s="208">
        <f t="shared" si="2"/>
        <v>26137</v>
      </c>
    </row>
    <row r="15" spans="1:14">
      <c r="A15" s="203"/>
      <c r="B15" s="7"/>
      <c r="C15" s="7"/>
      <c r="D15" s="177" t="s">
        <v>24</v>
      </c>
      <c r="E15" s="778">
        <v>1360</v>
      </c>
      <c r="F15" s="122">
        <v>2133</v>
      </c>
      <c r="G15" s="778">
        <v>904</v>
      </c>
      <c r="H15" s="122">
        <v>1813</v>
      </c>
      <c r="I15" s="779">
        <v>2506</v>
      </c>
      <c r="J15" s="122">
        <v>5291</v>
      </c>
      <c r="K15" s="779">
        <v>12060</v>
      </c>
      <c r="L15" s="122">
        <v>20940</v>
      </c>
      <c r="M15" s="779">
        <v>16191</v>
      </c>
      <c r="N15" s="122">
        <v>21062</v>
      </c>
    </row>
    <row r="16" spans="1:14">
      <c r="A16" s="203"/>
      <c r="B16" s="7"/>
      <c r="C16" s="7"/>
      <c r="D16" s="177" t="s">
        <v>1295</v>
      </c>
      <c r="E16" s="778" t="s">
        <v>1509</v>
      </c>
      <c r="F16" s="122" t="s">
        <v>1509</v>
      </c>
      <c r="G16" s="783" t="s">
        <v>1509</v>
      </c>
      <c r="H16" s="782">
        <v>771</v>
      </c>
      <c r="I16" s="779" t="s">
        <v>1509</v>
      </c>
      <c r="J16" s="782">
        <v>3040</v>
      </c>
      <c r="K16" s="1275" t="s">
        <v>1509</v>
      </c>
      <c r="L16" s="782">
        <v>8520</v>
      </c>
      <c r="M16" s="1275">
        <v>55</v>
      </c>
      <c r="N16" s="782">
        <v>5075</v>
      </c>
    </row>
    <row r="17" spans="1:14">
      <c r="A17" s="203"/>
      <c r="B17" s="7"/>
      <c r="C17" s="7"/>
      <c r="D17" s="177" t="s">
        <v>1562</v>
      </c>
      <c r="E17" s="778" t="s">
        <v>1509</v>
      </c>
      <c r="F17" s="122" t="s">
        <v>1509</v>
      </c>
      <c r="G17" s="783" t="s">
        <v>1509</v>
      </c>
      <c r="H17" s="782" t="s">
        <v>1509</v>
      </c>
      <c r="I17" s="781" t="s">
        <v>1509</v>
      </c>
      <c r="J17" s="782" t="s">
        <v>1509</v>
      </c>
      <c r="K17" s="779" t="s">
        <v>1509</v>
      </c>
      <c r="L17" s="122" t="s">
        <v>1509</v>
      </c>
      <c r="M17" s="779" t="s">
        <v>1509</v>
      </c>
      <c r="N17" s="122" t="s">
        <v>1509</v>
      </c>
    </row>
    <row r="18" spans="1:14">
      <c r="A18" s="203"/>
      <c r="B18" s="7"/>
      <c r="C18" s="7"/>
      <c r="D18" s="177" t="s">
        <v>217</v>
      </c>
      <c r="E18" s="778" t="s">
        <v>1509</v>
      </c>
      <c r="F18" s="122" t="s">
        <v>1509</v>
      </c>
      <c r="G18" s="778" t="s">
        <v>1509</v>
      </c>
      <c r="H18" s="122" t="s">
        <v>1509</v>
      </c>
      <c r="I18" s="779" t="s">
        <v>1509</v>
      </c>
      <c r="J18" s="122" t="s">
        <v>1509</v>
      </c>
      <c r="K18" s="779" t="s">
        <v>1509</v>
      </c>
      <c r="L18" s="122" t="s">
        <v>1509</v>
      </c>
      <c r="M18" s="779" t="s">
        <v>1509</v>
      </c>
      <c r="N18" s="122" t="s">
        <v>1509</v>
      </c>
    </row>
    <row r="19" spans="1:14" ht="24" customHeight="1">
      <c r="A19" s="203"/>
      <c r="B19" s="189" t="s">
        <v>1564</v>
      </c>
      <c r="C19" s="1587" t="s">
        <v>1105</v>
      </c>
      <c r="D19" s="1588"/>
      <c r="E19" s="209">
        <f>SUM(E20:E23)</f>
        <v>64794</v>
      </c>
      <c r="F19" s="208">
        <f>SUM(F20:F23)</f>
        <v>90686</v>
      </c>
      <c r="G19" s="209">
        <f>SUM(G20:G23)</f>
        <v>73202</v>
      </c>
      <c r="H19" s="208">
        <f>SUM(H20:H23)</f>
        <v>92941</v>
      </c>
      <c r="I19" s="209">
        <f t="shared" ref="I19:N19" si="3">SUM(I20:I23)</f>
        <v>69721</v>
      </c>
      <c r="J19" s="208">
        <f t="shared" si="3"/>
        <v>94017</v>
      </c>
      <c r="K19" s="209">
        <f t="shared" si="3"/>
        <v>84820</v>
      </c>
      <c r="L19" s="208">
        <f t="shared" si="3"/>
        <v>120954</v>
      </c>
      <c r="M19" s="209">
        <f t="shared" si="3"/>
        <v>93133</v>
      </c>
      <c r="N19" s="208">
        <f t="shared" si="3"/>
        <v>121629</v>
      </c>
    </row>
    <row r="20" spans="1:14">
      <c r="A20" s="203"/>
      <c r="B20" s="7"/>
      <c r="C20" s="7"/>
      <c r="D20" s="177" t="s">
        <v>24</v>
      </c>
      <c r="E20" s="778">
        <v>44434</v>
      </c>
      <c r="F20" s="122">
        <v>58510</v>
      </c>
      <c r="G20" s="290">
        <v>51895</v>
      </c>
      <c r="H20" s="362">
        <v>60453</v>
      </c>
      <c r="I20" s="374">
        <v>49089</v>
      </c>
      <c r="J20" s="362">
        <v>61852</v>
      </c>
      <c r="K20" s="374">
        <v>42466</v>
      </c>
      <c r="L20" s="362">
        <v>55638</v>
      </c>
      <c r="M20" s="374">
        <v>44998</v>
      </c>
      <c r="N20" s="362">
        <v>52598</v>
      </c>
    </row>
    <row r="21" spans="1:14">
      <c r="A21" s="203"/>
      <c r="B21" s="7"/>
      <c r="C21" s="7"/>
      <c r="D21" s="177" t="s">
        <v>1294</v>
      </c>
      <c r="E21" s="778">
        <v>19855</v>
      </c>
      <c r="F21" s="122">
        <v>31616</v>
      </c>
      <c r="G21" s="290">
        <v>20687</v>
      </c>
      <c r="H21" s="362">
        <v>31908</v>
      </c>
      <c r="I21" s="374">
        <v>20632</v>
      </c>
      <c r="J21" s="362">
        <v>32165</v>
      </c>
      <c r="K21" s="374">
        <v>42354</v>
      </c>
      <c r="L21" s="362">
        <v>65316</v>
      </c>
      <c r="M21" s="374">
        <v>48135</v>
      </c>
      <c r="N21" s="362">
        <v>69031</v>
      </c>
    </row>
    <row r="22" spans="1:14">
      <c r="A22" s="203"/>
      <c r="B22" s="7"/>
      <c r="C22" s="7"/>
      <c r="D22" s="177" t="s">
        <v>1562</v>
      </c>
      <c r="E22" s="778">
        <v>505</v>
      </c>
      <c r="F22" s="122">
        <v>560</v>
      </c>
      <c r="G22" s="290">
        <v>620</v>
      </c>
      <c r="H22" s="362">
        <v>580</v>
      </c>
      <c r="I22" s="374" t="s">
        <v>1509</v>
      </c>
      <c r="J22" s="362" t="s">
        <v>1509</v>
      </c>
      <c r="K22" s="374" t="s">
        <v>1509</v>
      </c>
      <c r="L22" s="362" t="s">
        <v>1509</v>
      </c>
      <c r="M22" s="374" t="s">
        <v>1509</v>
      </c>
      <c r="N22" s="362" t="s">
        <v>1509</v>
      </c>
    </row>
    <row r="23" spans="1:14">
      <c r="A23" s="203"/>
      <c r="B23" s="7"/>
      <c r="C23" s="7"/>
      <c r="D23" s="177" t="s">
        <v>217</v>
      </c>
      <c r="E23" s="778" t="s">
        <v>1509</v>
      </c>
      <c r="F23" s="122" t="s">
        <v>1509</v>
      </c>
      <c r="G23" s="778" t="s">
        <v>1509</v>
      </c>
      <c r="H23" s="122" t="s">
        <v>1509</v>
      </c>
      <c r="I23" s="779" t="s">
        <v>1509</v>
      </c>
      <c r="J23" s="122" t="s">
        <v>1509</v>
      </c>
      <c r="K23" s="779" t="s">
        <v>1509</v>
      </c>
      <c r="L23" s="122" t="s">
        <v>1509</v>
      </c>
      <c r="M23" s="779" t="s">
        <v>1509</v>
      </c>
      <c r="N23" s="122" t="s">
        <v>1509</v>
      </c>
    </row>
    <row r="24" spans="1:14" ht="24.75" customHeight="1">
      <c r="A24" s="203"/>
      <c r="B24" s="189" t="s">
        <v>1566</v>
      </c>
      <c r="C24" s="1583" t="s">
        <v>1102</v>
      </c>
      <c r="D24" s="1589"/>
      <c r="E24" s="209">
        <f>SUM(E25:E29)</f>
        <v>65095</v>
      </c>
      <c r="F24" s="208">
        <f>SUM(F25:F29)</f>
        <v>58165</v>
      </c>
      <c r="G24" s="209">
        <f>SUM(G25:G29)</f>
        <v>122671</v>
      </c>
      <c r="H24" s="208">
        <f>SUM(H25:H29)</f>
        <v>110134</v>
      </c>
      <c r="I24" s="209">
        <f t="shared" ref="I24:N24" si="4">SUM(I25:I29)</f>
        <v>130260</v>
      </c>
      <c r="J24" s="208">
        <f t="shared" si="4"/>
        <v>120891</v>
      </c>
      <c r="K24" s="209">
        <f t="shared" si="4"/>
        <v>187093</v>
      </c>
      <c r="L24" s="208">
        <f t="shared" si="4"/>
        <v>198129</v>
      </c>
      <c r="M24" s="209">
        <f t="shared" si="4"/>
        <v>189784</v>
      </c>
      <c r="N24" s="208">
        <f t="shared" si="4"/>
        <v>202879</v>
      </c>
    </row>
    <row r="25" spans="1:14">
      <c r="A25" s="203"/>
      <c r="B25" s="7"/>
      <c r="C25" s="7"/>
      <c r="D25" s="177" t="s">
        <v>1532</v>
      </c>
      <c r="E25" s="778">
        <v>60694</v>
      </c>
      <c r="F25" s="122">
        <v>52446</v>
      </c>
      <c r="G25" s="778">
        <v>118272</v>
      </c>
      <c r="H25" s="122">
        <v>104228</v>
      </c>
      <c r="I25" s="779">
        <v>125482</v>
      </c>
      <c r="J25" s="122">
        <v>115184</v>
      </c>
      <c r="K25" s="779">
        <v>178768</v>
      </c>
      <c r="L25" s="122">
        <v>186950</v>
      </c>
      <c r="M25" s="779">
        <v>180346</v>
      </c>
      <c r="N25" s="122">
        <v>190791</v>
      </c>
    </row>
    <row r="26" spans="1:14">
      <c r="A26" s="203"/>
      <c r="B26" s="7"/>
      <c r="C26" s="7"/>
      <c r="D26" s="177" t="s">
        <v>1533</v>
      </c>
      <c r="E26" s="778">
        <v>51</v>
      </c>
      <c r="F26" s="122">
        <v>110</v>
      </c>
      <c r="G26" s="778">
        <v>49</v>
      </c>
      <c r="H26" s="122">
        <v>104</v>
      </c>
      <c r="I26" s="779">
        <v>54</v>
      </c>
      <c r="J26" s="122">
        <v>114</v>
      </c>
      <c r="K26" s="779">
        <v>60</v>
      </c>
      <c r="L26" s="122">
        <v>112</v>
      </c>
      <c r="M26" s="779">
        <v>63</v>
      </c>
      <c r="N26" s="122">
        <v>103</v>
      </c>
    </row>
    <row r="27" spans="1:14">
      <c r="A27" s="203"/>
      <c r="B27" s="7"/>
      <c r="C27" s="7"/>
      <c r="D27" s="177" t="s">
        <v>1562</v>
      </c>
      <c r="E27" s="778">
        <v>1719</v>
      </c>
      <c r="F27" s="122">
        <v>1312</v>
      </c>
      <c r="G27" s="778">
        <v>1694</v>
      </c>
      <c r="H27" s="122">
        <v>1346</v>
      </c>
      <c r="I27" s="779">
        <v>2295</v>
      </c>
      <c r="J27" s="122">
        <v>1693</v>
      </c>
      <c r="K27" s="779">
        <v>2515</v>
      </c>
      <c r="L27" s="122">
        <v>1899</v>
      </c>
      <c r="M27" s="779">
        <v>3118</v>
      </c>
      <c r="N27" s="122">
        <v>2469</v>
      </c>
    </row>
    <row r="28" spans="1:14">
      <c r="A28" s="203"/>
      <c r="B28" s="7"/>
      <c r="C28" s="7"/>
      <c r="D28" s="177" t="s">
        <v>217</v>
      </c>
      <c r="E28" s="290" t="s">
        <v>1509</v>
      </c>
      <c r="F28" s="362" t="s">
        <v>1509</v>
      </c>
      <c r="G28" s="290" t="s">
        <v>1509</v>
      </c>
      <c r="H28" s="362" t="s">
        <v>1509</v>
      </c>
      <c r="I28" s="374" t="s">
        <v>1509</v>
      </c>
      <c r="J28" s="362" t="s">
        <v>1509</v>
      </c>
      <c r="K28" s="374" t="s">
        <v>1509</v>
      </c>
      <c r="L28" s="362" t="s">
        <v>1509</v>
      </c>
      <c r="M28" s="374" t="s">
        <v>1509</v>
      </c>
      <c r="N28" s="362" t="s">
        <v>1509</v>
      </c>
    </row>
    <row r="29" spans="1:14">
      <c r="A29" s="203"/>
      <c r="B29" s="7"/>
      <c r="C29" s="7"/>
      <c r="D29" s="177" t="s">
        <v>1573</v>
      </c>
      <c r="E29" s="779">
        <v>2631</v>
      </c>
      <c r="F29" s="122">
        <v>4297</v>
      </c>
      <c r="G29" s="779">
        <v>2656</v>
      </c>
      <c r="H29" s="122">
        <v>4456</v>
      </c>
      <c r="I29" s="779">
        <v>2429</v>
      </c>
      <c r="J29" s="122">
        <v>3900</v>
      </c>
      <c r="K29" s="779">
        <v>5750</v>
      </c>
      <c r="L29" s="122">
        <v>9168</v>
      </c>
      <c r="M29" s="779">
        <v>6257</v>
      </c>
      <c r="N29" s="122">
        <v>9516</v>
      </c>
    </row>
    <row r="30" spans="1:14">
      <c r="A30" s="194">
        <v>2</v>
      </c>
      <c r="B30" s="199" t="s">
        <v>977</v>
      </c>
      <c r="C30" s="199"/>
      <c r="D30" s="95"/>
      <c r="E30" s="774">
        <v>15306</v>
      </c>
      <c r="F30" s="726">
        <v>10432</v>
      </c>
      <c r="G30" s="774">
        <v>16912</v>
      </c>
      <c r="H30" s="726">
        <v>11994</v>
      </c>
      <c r="I30" s="725">
        <v>18350</v>
      </c>
      <c r="J30" s="726">
        <v>13773</v>
      </c>
      <c r="K30" s="725">
        <v>18858</v>
      </c>
      <c r="L30" s="726">
        <v>14652</v>
      </c>
      <c r="M30" s="725">
        <v>23676</v>
      </c>
      <c r="N30" s="726">
        <v>18540</v>
      </c>
    </row>
    <row r="31" spans="1:14" ht="25.5" customHeight="1">
      <c r="A31" s="204">
        <v>3</v>
      </c>
      <c r="B31" s="1552" t="s">
        <v>522</v>
      </c>
      <c r="C31" s="1553"/>
      <c r="D31" s="1554"/>
      <c r="E31" s="32">
        <v>538</v>
      </c>
      <c r="F31" s="762">
        <v>262</v>
      </c>
      <c r="G31" s="32">
        <v>528</v>
      </c>
      <c r="H31" s="762">
        <v>272</v>
      </c>
      <c r="I31" s="809">
        <v>588</v>
      </c>
      <c r="J31" s="762">
        <v>412</v>
      </c>
      <c r="K31" s="809">
        <v>596</v>
      </c>
      <c r="L31" s="762">
        <v>489</v>
      </c>
      <c r="M31" s="809">
        <v>484</v>
      </c>
      <c r="N31" s="762">
        <v>379</v>
      </c>
    </row>
    <row r="32" spans="1:14">
      <c r="A32" s="226">
        <v>4</v>
      </c>
      <c r="B32" s="1557" t="s">
        <v>92</v>
      </c>
      <c r="C32" s="1557"/>
      <c r="D32" s="1558"/>
      <c r="E32" s="810">
        <v>1094</v>
      </c>
      <c r="F32" s="811">
        <v>705</v>
      </c>
      <c r="G32" s="810">
        <v>646</v>
      </c>
      <c r="H32" s="811">
        <v>537</v>
      </c>
      <c r="I32" s="810">
        <v>896</v>
      </c>
      <c r="J32" s="811">
        <v>651</v>
      </c>
      <c r="K32" s="810">
        <v>759</v>
      </c>
      <c r="L32" s="811">
        <v>553</v>
      </c>
      <c r="M32" s="810">
        <v>1189</v>
      </c>
      <c r="N32" s="811">
        <v>868</v>
      </c>
    </row>
    <row r="33" spans="1:14" ht="12.75" customHeight="1">
      <c r="A33" s="1271"/>
      <c r="B33" s="1296"/>
      <c r="C33" s="1581"/>
      <c r="D33" s="1581"/>
      <c r="E33" s="1271"/>
      <c r="F33" s="1271"/>
      <c r="G33" s="1271"/>
      <c r="H33" s="1271"/>
      <c r="I33" s="930" t="s">
        <v>1546</v>
      </c>
      <c r="J33" s="917" t="s">
        <v>1041</v>
      </c>
      <c r="K33" s="1094"/>
      <c r="L33" s="1094"/>
      <c r="M33" s="1094"/>
      <c r="N33" s="1094"/>
    </row>
    <row r="34" spans="1:14" ht="12.75" customHeight="1">
      <c r="A34" s="1273"/>
      <c r="B34" s="1273"/>
      <c r="C34" s="1582"/>
      <c r="D34" s="1582"/>
      <c r="E34" s="1273"/>
      <c r="F34" s="1273"/>
      <c r="G34" s="1273"/>
      <c r="H34" s="1272"/>
      <c r="I34" s="917"/>
      <c r="J34" s="917" t="s">
        <v>1042</v>
      </c>
      <c r="K34" s="25"/>
      <c r="N34" s="51"/>
    </row>
    <row r="35" spans="1:14" ht="12.75" customHeight="1">
      <c r="A35" s="51"/>
      <c r="B35" s="51"/>
      <c r="C35" s="1582"/>
      <c r="D35" s="1582"/>
      <c r="E35" s="51"/>
      <c r="I35" s="917"/>
      <c r="J35" s="926" t="s">
        <v>732</v>
      </c>
      <c r="K35" s="25"/>
      <c r="N35" s="63"/>
    </row>
    <row r="36" spans="1:14" ht="11.25" customHeight="1">
      <c r="A36" s="51"/>
      <c r="B36" s="51"/>
      <c r="C36" s="51"/>
      <c r="D36" s="51"/>
      <c r="E36" s="51"/>
      <c r="I36" s="917"/>
      <c r="J36" s="926" t="s">
        <v>1418</v>
      </c>
      <c r="K36" s="25"/>
      <c r="N36" s="63"/>
    </row>
    <row r="37" spans="1:14" ht="11.25" customHeight="1">
      <c r="A37" s="51"/>
      <c r="B37" s="51"/>
      <c r="C37" s="51"/>
      <c r="D37" s="51"/>
      <c r="E37" s="51"/>
      <c r="I37" s="917"/>
      <c r="J37" s="917" t="s">
        <v>1568</v>
      </c>
      <c r="K37" s="25"/>
      <c r="N37" s="51"/>
    </row>
    <row r="38" spans="1:14" ht="11.25" customHeight="1">
      <c r="A38" s="51"/>
      <c r="B38" s="51"/>
      <c r="C38" s="51"/>
      <c r="D38" s="51"/>
      <c r="E38" s="51"/>
      <c r="I38" s="917"/>
      <c r="J38" s="917" t="s">
        <v>1569</v>
      </c>
      <c r="K38" s="25"/>
      <c r="N38" s="51"/>
    </row>
    <row r="39" spans="1:14" ht="11.25" customHeight="1">
      <c r="A39" s="51"/>
      <c r="B39" s="51"/>
      <c r="C39" s="51"/>
      <c r="D39" s="51"/>
      <c r="E39" s="51"/>
      <c r="I39" s="917"/>
      <c r="J39" s="917" t="s">
        <v>1043</v>
      </c>
      <c r="K39" s="25"/>
      <c r="N39" s="51"/>
    </row>
    <row r="40" spans="1:14">
      <c r="A40" s="51"/>
      <c r="B40" s="51"/>
      <c r="C40" s="51"/>
      <c r="D40" s="51"/>
      <c r="E40" s="51"/>
      <c r="F40" s="59"/>
      <c r="J40" s="51"/>
      <c r="N40" s="51"/>
    </row>
    <row r="41" spans="1:14">
      <c r="A41" s="51"/>
      <c r="B41" s="51"/>
      <c r="C41" s="51"/>
      <c r="D41" s="51"/>
      <c r="E41" s="51"/>
      <c r="F41" s="51"/>
      <c r="G41" s="51"/>
      <c r="H41" s="51"/>
      <c r="I41" s="51"/>
      <c r="J41" s="51"/>
      <c r="N41" s="51"/>
    </row>
    <row r="42" spans="1:14">
      <c r="A42" s="51"/>
      <c r="B42" s="51"/>
      <c r="C42" s="51"/>
      <c r="D42" s="51"/>
      <c r="E42" s="51"/>
      <c r="F42" s="51"/>
      <c r="G42" s="51"/>
      <c r="H42" s="51"/>
      <c r="I42" s="51"/>
      <c r="J42" s="51"/>
      <c r="N42" s="51"/>
    </row>
  </sheetData>
  <mergeCells count="18">
    <mergeCell ref="A7:D7"/>
    <mergeCell ref="A4:D6"/>
    <mergeCell ref="E5:F5"/>
    <mergeCell ref="G5:H5"/>
    <mergeCell ref="A1:N1"/>
    <mergeCell ref="A2:N2"/>
    <mergeCell ref="E4:N4"/>
    <mergeCell ref="K5:L5"/>
    <mergeCell ref="I5:J5"/>
    <mergeCell ref="M5:N5"/>
    <mergeCell ref="C33:D35"/>
    <mergeCell ref="B32:D32"/>
    <mergeCell ref="B8:D8"/>
    <mergeCell ref="C9:D9"/>
    <mergeCell ref="C14:D14"/>
    <mergeCell ref="C19:D19"/>
    <mergeCell ref="C24:D24"/>
    <mergeCell ref="B31:D31"/>
  </mergeCells>
  <phoneticPr fontId="0" type="noConversion"/>
  <conditionalFormatting sqref="E1:E7 C36:D65536 F6:L7 B1:D32 A1:A33 A35:B65536 E35:H65536 O1:IV1048576 F1:N4 M5 G5 I5 K5 M6:N65536 I33:L65536 E8:L32">
    <cfRule type="cellIs" dxfId="17" priority="1" stopIfTrue="1" operator="equal">
      <formula>".."</formula>
    </cfRule>
  </conditionalFormatting>
  <printOptions horizontalCentered="1"/>
  <pageMargins left="0.1" right="0.1" top="0.53" bottom="0.1" header="0.53" footer="0.1"/>
  <pageSetup paperSize="9" orientation="landscape" blackAndWhite="1" horizontalDpi="4294967295" verticalDpi="180"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3:J41"/>
  <sheetViews>
    <sheetView showGridLines="0" workbookViewId="0">
      <selection activeCell="K12" sqref="K12"/>
    </sheetView>
  </sheetViews>
  <sheetFormatPr defaultRowHeight="12.75"/>
  <sheetData>
    <row r="3" spans="1:10">
      <c r="J3" s="24"/>
    </row>
    <row r="4" spans="1:10">
      <c r="J4" s="24"/>
    </row>
    <row r="5" spans="1:10" ht="35.25">
      <c r="A5" s="1326" t="s">
        <v>1537</v>
      </c>
      <c r="B5" s="1326"/>
      <c r="C5" s="1326"/>
      <c r="D5" s="1326"/>
      <c r="E5" s="1326"/>
      <c r="F5" s="1326"/>
      <c r="G5" s="1326"/>
      <c r="H5" s="1326"/>
      <c r="I5" s="336"/>
      <c r="J5" s="24"/>
    </row>
    <row r="6" spans="1:10">
      <c r="J6" s="24"/>
    </row>
    <row r="7" spans="1:10">
      <c r="J7" s="24"/>
    </row>
    <row r="8" spans="1:10">
      <c r="J8" s="24"/>
    </row>
    <row r="9" spans="1:10" ht="18.75">
      <c r="A9" s="1328" t="s">
        <v>496</v>
      </c>
      <c r="B9" s="1329"/>
      <c r="C9" s="1329"/>
      <c r="D9" s="1329"/>
      <c r="E9" s="1329"/>
      <c r="F9" s="1329"/>
      <c r="G9" s="1329"/>
      <c r="H9" s="1329"/>
      <c r="I9" s="337"/>
      <c r="J9" s="24"/>
    </row>
    <row r="10" spans="1:10" ht="18.75">
      <c r="A10" s="1329"/>
      <c r="B10" s="1329"/>
      <c r="C10" s="1329"/>
      <c r="D10" s="1329"/>
      <c r="E10" s="1329"/>
      <c r="F10" s="1329"/>
      <c r="G10" s="1329"/>
      <c r="H10" s="1329"/>
      <c r="I10" s="337"/>
      <c r="J10" s="24"/>
    </row>
    <row r="11" spans="1:10" ht="18.75">
      <c r="A11" s="1329"/>
      <c r="B11" s="1329"/>
      <c r="C11" s="1329"/>
      <c r="D11" s="1329"/>
      <c r="E11" s="1329"/>
      <c r="F11" s="1329"/>
      <c r="G11" s="1329"/>
      <c r="H11" s="1329"/>
      <c r="I11" s="337"/>
    </row>
    <row r="12" spans="1:10" ht="18.75">
      <c r="A12" s="1329"/>
      <c r="B12" s="1329"/>
      <c r="C12" s="1329"/>
      <c r="D12" s="1329"/>
      <c r="E12" s="1329"/>
      <c r="F12" s="1329"/>
      <c r="G12" s="1329"/>
      <c r="H12" s="1329"/>
      <c r="I12" s="337"/>
    </row>
    <row r="13" spans="1:10" ht="18.75">
      <c r="A13" s="1329"/>
      <c r="B13" s="1329"/>
      <c r="C13" s="1329"/>
      <c r="D13" s="1329"/>
      <c r="E13" s="1329"/>
      <c r="F13" s="1329"/>
      <c r="G13" s="1329"/>
      <c r="H13" s="1329"/>
      <c r="I13" s="337"/>
    </row>
    <row r="14" spans="1:10">
      <c r="A14" s="1329"/>
      <c r="B14" s="1329"/>
      <c r="C14" s="1329"/>
      <c r="D14" s="1329"/>
      <c r="E14" s="1329"/>
      <c r="F14" s="1329"/>
      <c r="G14" s="1329"/>
      <c r="H14" s="1329"/>
      <c r="I14" s="338"/>
    </row>
    <row r="15" spans="1:10">
      <c r="A15" s="1329"/>
      <c r="B15" s="1329"/>
      <c r="C15" s="1329"/>
      <c r="D15" s="1329"/>
      <c r="E15" s="1329"/>
      <c r="F15" s="1329"/>
      <c r="G15" s="1329"/>
      <c r="H15" s="1329"/>
      <c r="I15" s="338"/>
    </row>
    <row r="16" spans="1:10">
      <c r="A16" s="1329"/>
      <c r="B16" s="1329"/>
      <c r="C16" s="1329"/>
      <c r="D16" s="1329"/>
      <c r="E16" s="1329"/>
      <c r="F16" s="1329"/>
      <c r="G16" s="1329"/>
      <c r="H16" s="1329"/>
    </row>
    <row r="17" spans="1:9">
      <c r="A17" s="1329"/>
      <c r="B17" s="1329"/>
      <c r="C17" s="1329"/>
      <c r="D17" s="1329"/>
      <c r="E17" s="1329"/>
      <c r="F17" s="1329"/>
      <c r="G17" s="1329"/>
      <c r="H17" s="1329"/>
    </row>
    <row r="18" spans="1:9" ht="14.1" customHeight="1">
      <c r="A18" s="1329"/>
      <c r="B18" s="1329"/>
      <c r="C18" s="1329"/>
      <c r="D18" s="1329"/>
      <c r="E18" s="1329"/>
      <c r="F18" s="1329"/>
      <c r="G18" s="1329"/>
      <c r="H18" s="1329"/>
      <c r="I18" s="337"/>
    </row>
    <row r="19" spans="1:9" ht="18.75">
      <c r="A19" s="1329"/>
      <c r="B19" s="1329"/>
      <c r="C19" s="1329"/>
      <c r="D19" s="1329"/>
      <c r="E19" s="1329"/>
      <c r="F19" s="1329"/>
      <c r="G19" s="1329"/>
      <c r="H19" s="1329"/>
      <c r="I19" s="337"/>
    </row>
    <row r="20" spans="1:9" ht="18.75">
      <c r="A20" s="1329"/>
      <c r="B20" s="1329"/>
      <c r="C20" s="1329"/>
      <c r="D20" s="1329"/>
      <c r="E20" s="1329"/>
      <c r="F20" s="1329"/>
      <c r="G20" s="1329"/>
      <c r="H20" s="1329"/>
      <c r="I20" s="337"/>
    </row>
    <row r="21" spans="1:9" ht="18.75">
      <c r="A21" s="1329"/>
      <c r="B21" s="1329"/>
      <c r="C21" s="1329"/>
      <c r="D21" s="1329"/>
      <c r="E21" s="1329"/>
      <c r="F21" s="1329"/>
      <c r="G21" s="1329"/>
      <c r="H21" s="1329"/>
      <c r="I21" s="337"/>
    </row>
    <row r="22" spans="1:9" ht="18.75">
      <c r="A22" s="1329"/>
      <c r="B22" s="1329"/>
      <c r="C22" s="1329"/>
      <c r="D22" s="1329"/>
      <c r="E22" s="1329"/>
      <c r="F22" s="1329"/>
      <c r="G22" s="1329"/>
      <c r="H22" s="1329"/>
      <c r="I22" s="337"/>
    </row>
    <row r="23" spans="1:9" ht="18.75">
      <c r="A23" s="1329"/>
      <c r="B23" s="1329"/>
      <c r="C23" s="1329"/>
      <c r="D23" s="1329"/>
      <c r="E23" s="1329"/>
      <c r="F23" s="1329"/>
      <c r="G23" s="1329"/>
      <c r="H23" s="1329"/>
      <c r="I23" s="337"/>
    </row>
    <row r="24" spans="1:9" ht="18.75">
      <c r="A24" s="1329"/>
      <c r="B24" s="1329"/>
      <c r="C24" s="1329"/>
      <c r="D24" s="1329"/>
      <c r="E24" s="1329"/>
      <c r="F24" s="1329"/>
      <c r="G24" s="1329"/>
      <c r="H24" s="1329"/>
      <c r="I24" s="339"/>
    </row>
    <row r="25" spans="1:9" ht="18.75">
      <c r="A25" s="1329"/>
      <c r="B25" s="1329"/>
      <c r="C25" s="1329"/>
      <c r="D25" s="1329"/>
      <c r="E25" s="1329"/>
      <c r="F25" s="1329"/>
      <c r="G25" s="1329"/>
      <c r="H25" s="1329"/>
      <c r="I25" s="339"/>
    </row>
    <row r="26" spans="1:9" ht="30" customHeight="1">
      <c r="A26" s="1329"/>
      <c r="B26" s="1329"/>
      <c r="C26" s="1329"/>
      <c r="D26" s="1329"/>
      <c r="E26" s="1329"/>
      <c r="F26" s="1329"/>
      <c r="G26" s="1329"/>
      <c r="H26" s="1329"/>
      <c r="I26" s="339"/>
    </row>
    <row r="27" spans="1:9" ht="18.75">
      <c r="A27" s="1329"/>
      <c r="B27" s="1329"/>
      <c r="C27" s="1329"/>
      <c r="D27" s="1329"/>
      <c r="E27" s="1329"/>
      <c r="F27" s="1329"/>
      <c r="G27" s="1329"/>
      <c r="H27" s="1329"/>
      <c r="I27" s="339"/>
    </row>
    <row r="28" spans="1:9">
      <c r="A28" s="1330"/>
      <c r="B28" s="1330"/>
      <c r="C28" s="1330"/>
      <c r="D28" s="1330"/>
      <c r="E28" s="1330"/>
      <c r="F28" s="1330"/>
      <c r="G28" s="1330"/>
      <c r="H28" s="1330"/>
    </row>
    <row r="29" spans="1:9">
      <c r="A29" s="1330"/>
      <c r="B29" s="1330"/>
      <c r="C29" s="1330"/>
      <c r="D29" s="1330"/>
      <c r="E29" s="1330"/>
      <c r="F29" s="1330"/>
      <c r="G29" s="1330"/>
      <c r="H29" s="1330"/>
    </row>
    <row r="30" spans="1:9">
      <c r="A30" s="1331"/>
      <c r="B30" s="1331"/>
      <c r="C30" s="1331"/>
      <c r="D30" s="1331"/>
      <c r="E30" s="1331"/>
      <c r="F30" s="1331"/>
      <c r="G30" s="1331"/>
      <c r="H30" s="1331"/>
    </row>
    <row r="31" spans="1:9">
      <c r="A31" s="1331"/>
      <c r="B31" s="1331"/>
      <c r="C31" s="1331"/>
      <c r="D31" s="1331"/>
      <c r="E31" s="1331"/>
      <c r="F31" s="1331"/>
      <c r="G31" s="1331"/>
      <c r="H31" s="1331"/>
    </row>
    <row r="32" spans="1:9">
      <c r="A32" s="1331"/>
      <c r="B32" s="1331"/>
      <c r="C32" s="1331"/>
      <c r="D32" s="1331"/>
      <c r="E32" s="1331"/>
      <c r="F32" s="1331"/>
      <c r="G32" s="1331"/>
      <c r="H32" s="1331"/>
    </row>
    <row r="33" spans="1:9">
      <c r="A33" s="1331"/>
      <c r="B33" s="1331"/>
      <c r="C33" s="1331"/>
      <c r="D33" s="1331"/>
      <c r="E33" s="1331"/>
      <c r="F33" s="1331"/>
      <c r="G33" s="1331"/>
      <c r="H33" s="1331"/>
    </row>
    <row r="34" spans="1:9">
      <c r="A34" s="1331"/>
      <c r="B34" s="1331"/>
      <c r="C34" s="1331"/>
      <c r="D34" s="1331"/>
      <c r="E34" s="1331"/>
      <c r="F34" s="1331"/>
      <c r="G34" s="1331"/>
      <c r="H34" s="1331"/>
    </row>
    <row r="36" spans="1:9">
      <c r="D36" s="1327"/>
      <c r="E36" s="1327"/>
      <c r="F36" s="1327"/>
      <c r="G36" s="1327"/>
      <c r="H36" s="1327"/>
      <c r="I36" s="341"/>
    </row>
    <row r="37" spans="1:9">
      <c r="D37" s="341"/>
      <c r="E37" s="341"/>
      <c r="F37" s="341"/>
      <c r="G37" s="341"/>
      <c r="H37" s="341"/>
      <c r="I37" s="341"/>
    </row>
    <row r="38" spans="1:9" ht="15.75">
      <c r="D38" s="1324" t="s">
        <v>789</v>
      </c>
      <c r="E38" s="1324"/>
      <c r="F38" s="1324"/>
      <c r="G38" s="1324"/>
      <c r="H38" s="1324"/>
      <c r="I38" s="340"/>
    </row>
    <row r="39" spans="1:9" ht="15.75">
      <c r="A39" s="1325" t="s">
        <v>1538</v>
      </c>
      <c r="B39" s="1325"/>
      <c r="C39" s="1077"/>
      <c r="D39" s="1324" t="s">
        <v>572</v>
      </c>
      <c r="E39" s="1324"/>
      <c r="F39" s="1324"/>
      <c r="G39" s="1324"/>
      <c r="H39" s="1324"/>
      <c r="I39" s="340"/>
    </row>
    <row r="40" spans="1:9" ht="15.75">
      <c r="A40" s="1316" t="s">
        <v>1682</v>
      </c>
      <c r="B40" s="1316"/>
      <c r="C40" s="1316"/>
      <c r="D40" s="1324" t="s">
        <v>1539</v>
      </c>
      <c r="E40" s="1324"/>
      <c r="F40" s="1324"/>
      <c r="G40" s="1324"/>
      <c r="H40" s="1324"/>
      <c r="I40" s="340"/>
    </row>
    <row r="41" spans="1:9" ht="15.75">
      <c r="A41" s="1077"/>
      <c r="B41" s="1077"/>
      <c r="C41" s="1077"/>
      <c r="D41" s="1324" t="s">
        <v>1540</v>
      </c>
      <c r="E41" s="1324"/>
      <c r="F41" s="1324"/>
      <c r="G41" s="1324"/>
      <c r="H41" s="1324"/>
      <c r="I41" s="340"/>
    </row>
  </sheetData>
  <mergeCells count="8">
    <mergeCell ref="D41:H41"/>
    <mergeCell ref="A39:B39"/>
    <mergeCell ref="D39:H39"/>
    <mergeCell ref="D40:H40"/>
    <mergeCell ref="A5:H5"/>
    <mergeCell ref="D38:H38"/>
    <mergeCell ref="D36:H36"/>
    <mergeCell ref="A9:H34"/>
  </mergeCells>
  <phoneticPr fontId="0" type="noConversion"/>
  <printOptions horizontalCentered="1"/>
  <pageMargins left="0.1" right="0.1" top="1" bottom="1" header="0.5" footer="0.5"/>
  <pageSetup paperSize="9" orientation="portrait" blackAndWhite="1" horizontalDpi="4294967295" r:id="rId1"/>
  <headerFooter alignWithMargins="0"/>
</worksheet>
</file>

<file path=xl/worksheets/sheet30.xml><?xml version="1.0" encoding="utf-8"?>
<worksheet xmlns="http://schemas.openxmlformats.org/spreadsheetml/2006/main" xmlns:r="http://schemas.openxmlformats.org/officeDocument/2006/relationships">
  <sheetPr codeName="Sheet30"/>
  <dimension ref="A1:P42"/>
  <sheetViews>
    <sheetView topLeftCell="A16" workbookViewId="0">
      <selection activeCell="M5" sqref="M5"/>
    </sheetView>
  </sheetViews>
  <sheetFormatPr defaultRowHeight="12.75"/>
  <cols>
    <col min="1" max="1" width="2.140625" customWidth="1"/>
    <col min="2" max="2" width="3.140625" customWidth="1"/>
    <col min="3" max="3" width="1.5703125" customWidth="1"/>
    <col min="4" max="4" width="51.140625" customWidth="1"/>
    <col min="5" max="14" width="7.7109375" customWidth="1"/>
  </cols>
  <sheetData>
    <row r="1" spans="1:16" ht="12.75" customHeight="1">
      <c r="A1" s="1430" t="s">
        <v>1360</v>
      </c>
      <c r="B1" s="1430"/>
      <c r="C1" s="1430"/>
      <c r="D1" s="1430"/>
      <c r="E1" s="1430"/>
      <c r="F1" s="1430"/>
      <c r="G1" s="1430"/>
      <c r="H1" s="1430"/>
      <c r="I1" s="1430"/>
      <c r="J1" s="1430"/>
      <c r="K1" s="1430"/>
      <c r="L1" s="1430"/>
      <c r="M1" s="1430"/>
      <c r="N1" s="1430"/>
    </row>
    <row r="2" spans="1:16" ht="33" customHeight="1">
      <c r="A2" s="1534" t="str">
        <f>CONCATENATE(" Students by sex in different type of Professional &amp; Technical Educational Institutions 
in the district of ",District!A1)</f>
        <v xml:space="preserve"> Students by sex in different type of Professional &amp; Technical Educational Institutions 
in the district of Malda</v>
      </c>
      <c r="B2" s="1534"/>
      <c r="C2" s="1534"/>
      <c r="D2" s="1534"/>
      <c r="E2" s="1534"/>
      <c r="F2" s="1534"/>
      <c r="G2" s="1534"/>
      <c r="H2" s="1534"/>
      <c r="I2" s="1534"/>
      <c r="J2" s="1534"/>
      <c r="K2" s="1534"/>
      <c r="L2" s="1534"/>
      <c r="M2" s="1534"/>
      <c r="N2" s="1534"/>
    </row>
    <row r="3" spans="1:16">
      <c r="N3" s="170" t="s">
        <v>1253</v>
      </c>
    </row>
    <row r="4" spans="1:16" ht="13.5" customHeight="1">
      <c r="A4" s="1359" t="s">
        <v>1414</v>
      </c>
      <c r="B4" s="1548"/>
      <c r="C4" s="1548"/>
      <c r="D4" s="1360"/>
      <c r="E4" s="1549" t="s">
        <v>1089</v>
      </c>
      <c r="F4" s="1550"/>
      <c r="G4" s="1550"/>
      <c r="H4" s="1550"/>
      <c r="I4" s="1550"/>
      <c r="J4" s="1550"/>
      <c r="K4" s="1550"/>
      <c r="L4" s="1550"/>
      <c r="M4" s="1550"/>
      <c r="N4" s="1551"/>
    </row>
    <row r="5" spans="1:16" ht="12.75" customHeight="1">
      <c r="A5" s="1381"/>
      <c r="B5" s="1382"/>
      <c r="C5" s="1382"/>
      <c r="D5" s="1604"/>
      <c r="E5" s="1598" t="str">
        <f>District!A12</f>
        <v>2009-10</v>
      </c>
      <c r="F5" s="1599"/>
      <c r="G5" s="1598" t="str">
        <f>District!C12</f>
        <v>2010-11</v>
      </c>
      <c r="H5" s="1599"/>
      <c r="I5" s="1598" t="str">
        <f>District!E12</f>
        <v>2011-12</v>
      </c>
      <c r="J5" s="1599"/>
      <c r="K5" s="1598" t="str">
        <f>District!G12</f>
        <v>2012-13</v>
      </c>
      <c r="L5" s="1599"/>
      <c r="M5" s="1598" t="str">
        <f>District!I12</f>
        <v>2013-14</v>
      </c>
      <c r="N5" s="1599"/>
    </row>
    <row r="6" spans="1:16" ht="11.25" customHeight="1">
      <c r="A6" s="1361"/>
      <c r="B6" s="1383"/>
      <c r="C6" s="1383"/>
      <c r="D6" s="1362"/>
      <c r="E6" s="215" t="s">
        <v>1265</v>
      </c>
      <c r="F6" s="217" t="s">
        <v>1266</v>
      </c>
      <c r="G6" s="215" t="s">
        <v>1265</v>
      </c>
      <c r="H6" s="216" t="s">
        <v>1266</v>
      </c>
      <c r="I6" s="215" t="s">
        <v>1265</v>
      </c>
      <c r="J6" s="216" t="s">
        <v>1266</v>
      </c>
      <c r="K6" s="215" t="s">
        <v>1265</v>
      </c>
      <c r="L6" s="216" t="s">
        <v>1266</v>
      </c>
      <c r="M6" s="215" t="s">
        <v>1265</v>
      </c>
      <c r="N6" s="216" t="s">
        <v>1266</v>
      </c>
    </row>
    <row r="7" spans="1:16">
      <c r="A7" s="1353" t="s">
        <v>1208</v>
      </c>
      <c r="B7" s="1425"/>
      <c r="C7" s="1425"/>
      <c r="D7" s="1354"/>
      <c r="E7" s="218" t="s">
        <v>1209</v>
      </c>
      <c r="F7" s="153" t="s">
        <v>1210</v>
      </c>
      <c r="G7" s="218" t="s">
        <v>1211</v>
      </c>
      <c r="H7" s="153" t="s">
        <v>1212</v>
      </c>
      <c r="I7" s="218" t="s">
        <v>1213</v>
      </c>
      <c r="J7" s="219" t="s">
        <v>1214</v>
      </c>
      <c r="K7" s="498" t="s">
        <v>1244</v>
      </c>
      <c r="L7" s="499" t="s">
        <v>1245</v>
      </c>
      <c r="M7" s="268" t="s">
        <v>1246</v>
      </c>
      <c r="N7" s="497" t="s">
        <v>1247</v>
      </c>
      <c r="O7" s="6"/>
      <c r="P7" s="7"/>
    </row>
    <row r="8" spans="1:16">
      <c r="A8" s="205">
        <v>1</v>
      </c>
      <c r="B8" s="1600" t="s">
        <v>855</v>
      </c>
      <c r="C8" s="1600"/>
      <c r="D8" s="1601"/>
      <c r="E8" s="440">
        <f>SUM(E9,E14,E17)</f>
        <v>379</v>
      </c>
      <c r="F8" s="780">
        <f>SUM(F9,F14,F17)</f>
        <v>111</v>
      </c>
      <c r="G8" s="440">
        <f>SUM(G9,G14,G17)</f>
        <v>458</v>
      </c>
      <c r="H8" s="780">
        <f>SUM(H9,H14,H17)</f>
        <v>125</v>
      </c>
      <c r="I8" s="440">
        <f t="shared" ref="I8:N8" si="0">SUM(I9,I14,I17)</f>
        <v>466</v>
      </c>
      <c r="J8" s="780">
        <f t="shared" si="0"/>
        <v>166</v>
      </c>
      <c r="K8" s="1276">
        <f t="shared" si="0"/>
        <v>508</v>
      </c>
      <c r="L8" s="780">
        <f t="shared" si="0"/>
        <v>164</v>
      </c>
      <c r="M8" s="1276">
        <f t="shared" si="0"/>
        <v>469</v>
      </c>
      <c r="N8" s="780">
        <f t="shared" si="0"/>
        <v>168</v>
      </c>
    </row>
    <row r="9" spans="1:16">
      <c r="A9" s="143"/>
      <c r="B9" s="206" t="s">
        <v>1565</v>
      </c>
      <c r="C9" s="795" t="s">
        <v>1575</v>
      </c>
      <c r="D9" s="222"/>
      <c r="E9" s="209">
        <f>SUM(E10:E13)</f>
        <v>312</v>
      </c>
      <c r="F9" s="208">
        <f>SUM(F10:F13)</f>
        <v>15</v>
      </c>
      <c r="G9" s="209">
        <f>SUM(G10:G13)</f>
        <v>371</v>
      </c>
      <c r="H9" s="208">
        <f>SUM(H10:H13)</f>
        <v>28</v>
      </c>
      <c r="I9" s="209">
        <f t="shared" ref="I9:N9" si="1">SUM(I10:I13)</f>
        <v>370</v>
      </c>
      <c r="J9" s="208">
        <f t="shared" si="1"/>
        <v>30</v>
      </c>
      <c r="K9" s="209">
        <f t="shared" si="1"/>
        <v>376</v>
      </c>
      <c r="L9" s="208">
        <f t="shared" si="1"/>
        <v>46</v>
      </c>
      <c r="M9" s="209">
        <f t="shared" si="1"/>
        <v>245</v>
      </c>
      <c r="N9" s="208">
        <f t="shared" si="1"/>
        <v>33</v>
      </c>
    </row>
    <row r="10" spans="1:16" ht="12" customHeight="1">
      <c r="A10" s="143"/>
      <c r="B10" s="144"/>
      <c r="C10" s="144"/>
      <c r="D10" s="223" t="s">
        <v>1579</v>
      </c>
      <c r="E10" s="781" t="s">
        <v>1509</v>
      </c>
      <c r="F10" s="782" t="s">
        <v>1509</v>
      </c>
      <c r="G10" s="781" t="s">
        <v>1509</v>
      </c>
      <c r="H10" s="782" t="s">
        <v>1509</v>
      </c>
      <c r="I10" s="781" t="s">
        <v>1509</v>
      </c>
      <c r="J10" s="782" t="s">
        <v>1509</v>
      </c>
      <c r="K10" s="779" t="s">
        <v>1509</v>
      </c>
      <c r="L10" s="122" t="s">
        <v>1509</v>
      </c>
      <c r="M10" s="779" t="s">
        <v>1509</v>
      </c>
      <c r="N10" s="122" t="s">
        <v>1509</v>
      </c>
    </row>
    <row r="11" spans="1:16" ht="12" customHeight="1">
      <c r="A11" s="143"/>
      <c r="B11" s="144"/>
      <c r="C11" s="144"/>
      <c r="D11" s="223" t="s">
        <v>318</v>
      </c>
      <c r="E11" s="781" t="s">
        <v>1509</v>
      </c>
      <c r="F11" s="782" t="s">
        <v>1509</v>
      </c>
      <c r="G11" s="781" t="s">
        <v>1509</v>
      </c>
      <c r="H11" s="782" t="s">
        <v>1509</v>
      </c>
      <c r="I11" s="781" t="s">
        <v>1509</v>
      </c>
      <c r="J11" s="782" t="s">
        <v>1509</v>
      </c>
      <c r="K11" s="779" t="s">
        <v>1509</v>
      </c>
      <c r="L11" s="122" t="s">
        <v>1509</v>
      </c>
      <c r="M11" s="779" t="s">
        <v>1509</v>
      </c>
      <c r="N11" s="122" t="s">
        <v>1509</v>
      </c>
    </row>
    <row r="12" spans="1:16" ht="12" customHeight="1">
      <c r="A12" s="143"/>
      <c r="B12" s="144"/>
      <c r="C12" s="144"/>
      <c r="D12" s="223" t="s">
        <v>1580</v>
      </c>
      <c r="E12" s="779">
        <v>312</v>
      </c>
      <c r="F12" s="122">
        <v>15</v>
      </c>
      <c r="G12" s="779">
        <v>371</v>
      </c>
      <c r="H12" s="122">
        <v>28</v>
      </c>
      <c r="I12" s="779">
        <v>370</v>
      </c>
      <c r="J12" s="122">
        <v>30</v>
      </c>
      <c r="K12" s="779">
        <v>376</v>
      </c>
      <c r="L12" s="122">
        <v>46</v>
      </c>
      <c r="M12" s="779">
        <v>245</v>
      </c>
      <c r="N12" s="122">
        <v>33</v>
      </c>
    </row>
    <row r="13" spans="1:16" ht="12" customHeight="1">
      <c r="A13" s="143"/>
      <c r="B13" s="144"/>
      <c r="C13" s="144"/>
      <c r="D13" s="177" t="s">
        <v>93</v>
      </c>
      <c r="E13" s="812" t="s">
        <v>1509</v>
      </c>
      <c r="F13" s="813" t="s">
        <v>1509</v>
      </c>
      <c r="G13" s="812" t="s">
        <v>1509</v>
      </c>
      <c r="H13" s="813" t="s">
        <v>1509</v>
      </c>
      <c r="I13" s="812" t="s">
        <v>1509</v>
      </c>
      <c r="J13" s="813" t="s">
        <v>1509</v>
      </c>
      <c r="K13" s="725" t="s">
        <v>1509</v>
      </c>
      <c r="L13" s="726" t="s">
        <v>1509</v>
      </c>
      <c r="M13" s="725" t="s">
        <v>1509</v>
      </c>
      <c r="N13" s="726" t="s">
        <v>1509</v>
      </c>
    </row>
    <row r="14" spans="1:16">
      <c r="A14" s="143"/>
      <c r="B14" s="206" t="s">
        <v>1563</v>
      </c>
      <c r="C14" s="795" t="s">
        <v>1581</v>
      </c>
      <c r="D14" s="220"/>
      <c r="E14" s="781" t="s">
        <v>1509</v>
      </c>
      <c r="F14" s="208">
        <f>SUM(F15:F16)</f>
        <v>90</v>
      </c>
      <c r="G14" s="781" t="s">
        <v>1509</v>
      </c>
      <c r="H14" s="208">
        <f t="shared" ref="H14:N14" si="2">SUM(H15:H16)</f>
        <v>89</v>
      </c>
      <c r="I14" s="1256">
        <f t="shared" si="2"/>
        <v>59</v>
      </c>
      <c r="J14" s="208">
        <f t="shared" si="2"/>
        <v>132</v>
      </c>
      <c r="K14" s="1256">
        <f t="shared" si="2"/>
        <v>95</v>
      </c>
      <c r="L14" s="208">
        <f t="shared" si="2"/>
        <v>115</v>
      </c>
      <c r="M14" s="209">
        <f t="shared" si="2"/>
        <v>135</v>
      </c>
      <c r="N14" s="208">
        <f t="shared" si="2"/>
        <v>124</v>
      </c>
    </row>
    <row r="15" spans="1:16" ht="12.75" customHeight="1">
      <c r="A15" s="143"/>
      <c r="B15" s="144"/>
      <c r="C15" s="144"/>
      <c r="D15" s="669" t="s">
        <v>1582</v>
      </c>
      <c r="E15" s="374" t="s">
        <v>1183</v>
      </c>
      <c r="F15" s="362" t="s">
        <v>1183</v>
      </c>
      <c r="G15" s="374" t="s">
        <v>1183</v>
      </c>
      <c r="H15" s="362" t="s">
        <v>1183</v>
      </c>
      <c r="I15" s="374">
        <v>59</v>
      </c>
      <c r="J15" s="362">
        <v>41</v>
      </c>
      <c r="K15" s="374">
        <v>95</v>
      </c>
      <c r="L15" s="362">
        <v>53</v>
      </c>
      <c r="M15" s="374">
        <v>135</v>
      </c>
      <c r="N15" s="362">
        <v>64</v>
      </c>
    </row>
    <row r="16" spans="1:16" ht="12" customHeight="1">
      <c r="A16" s="143"/>
      <c r="B16" s="144"/>
      <c r="C16" s="144"/>
      <c r="D16" s="223" t="s">
        <v>1583</v>
      </c>
      <c r="E16" s="781" t="s">
        <v>1509</v>
      </c>
      <c r="F16" s="122">
        <v>90</v>
      </c>
      <c r="G16" s="781" t="s">
        <v>1509</v>
      </c>
      <c r="H16" s="122">
        <v>89</v>
      </c>
      <c r="I16" s="781" t="s">
        <v>1509</v>
      </c>
      <c r="J16" s="122">
        <v>91</v>
      </c>
      <c r="K16" s="779" t="s">
        <v>1509</v>
      </c>
      <c r="L16" s="122">
        <v>62</v>
      </c>
      <c r="M16" s="779" t="s">
        <v>1509</v>
      </c>
      <c r="N16" s="122">
        <v>60</v>
      </c>
    </row>
    <row r="17" spans="1:14" ht="30" customHeight="1">
      <c r="A17" s="143"/>
      <c r="B17" s="189" t="s">
        <v>1564</v>
      </c>
      <c r="C17" s="1602" t="s">
        <v>29</v>
      </c>
      <c r="D17" s="1603"/>
      <c r="E17" s="809">
        <v>67</v>
      </c>
      <c r="F17" s="762">
        <v>6</v>
      </c>
      <c r="G17" s="809">
        <v>87</v>
      </c>
      <c r="H17" s="762">
        <v>8</v>
      </c>
      <c r="I17" s="809">
        <v>37</v>
      </c>
      <c r="J17" s="762">
        <v>4</v>
      </c>
      <c r="K17" s="809">
        <v>37</v>
      </c>
      <c r="L17" s="762">
        <v>3</v>
      </c>
      <c r="M17" s="809">
        <v>89</v>
      </c>
      <c r="N17" s="762">
        <v>11</v>
      </c>
    </row>
    <row r="18" spans="1:14">
      <c r="A18" s="207">
        <v>2</v>
      </c>
      <c r="B18" s="1594" t="s">
        <v>856</v>
      </c>
      <c r="C18" s="1594"/>
      <c r="D18" s="1595"/>
      <c r="E18" s="211">
        <f>SUM(E19,E26,E29)</f>
        <v>1039</v>
      </c>
      <c r="F18" s="103">
        <f>SUM(F19,F26,F29)</f>
        <v>212</v>
      </c>
      <c r="G18" s="211">
        <f>SUM(G19,G26,G29)</f>
        <v>1004</v>
      </c>
      <c r="H18" s="103">
        <f>SUM(H19,H26,H29)</f>
        <v>238</v>
      </c>
      <c r="I18" s="211">
        <f t="shared" ref="I18:N18" si="3">SUM(I19,I26,I29)</f>
        <v>1312</v>
      </c>
      <c r="J18" s="103">
        <f t="shared" si="3"/>
        <v>477</v>
      </c>
      <c r="K18" s="211">
        <f t="shared" si="3"/>
        <v>1539</v>
      </c>
      <c r="L18" s="103">
        <f t="shared" si="3"/>
        <v>553</v>
      </c>
      <c r="M18" s="211">
        <f t="shared" si="3"/>
        <v>1617</v>
      </c>
      <c r="N18" s="103">
        <f t="shared" si="3"/>
        <v>793</v>
      </c>
    </row>
    <row r="19" spans="1:14">
      <c r="A19" s="143"/>
      <c r="B19" s="206" t="s">
        <v>1565</v>
      </c>
      <c r="C19" s="795" t="s">
        <v>1584</v>
      </c>
      <c r="D19" s="220"/>
      <c r="E19" s="209">
        <f>SUM(E20:E25)</f>
        <v>966</v>
      </c>
      <c r="F19" s="208">
        <f>SUM(F20:F25)</f>
        <v>172</v>
      </c>
      <c r="G19" s="209">
        <f>SUM(G20:G25)</f>
        <v>922</v>
      </c>
      <c r="H19" s="208">
        <f>SUM(H20:H25)</f>
        <v>183</v>
      </c>
      <c r="I19" s="209">
        <f t="shared" ref="I19:N19" si="4">SUM(I20:I25)</f>
        <v>872</v>
      </c>
      <c r="J19" s="208">
        <f t="shared" si="4"/>
        <v>179</v>
      </c>
      <c r="K19" s="209">
        <f t="shared" si="4"/>
        <v>901</v>
      </c>
      <c r="L19" s="208">
        <f t="shared" si="4"/>
        <v>150</v>
      </c>
      <c r="M19" s="209">
        <f t="shared" si="4"/>
        <v>975</v>
      </c>
      <c r="N19" s="208">
        <f t="shared" si="4"/>
        <v>193</v>
      </c>
    </row>
    <row r="20" spans="1:14" ht="12" customHeight="1">
      <c r="A20" s="143"/>
      <c r="B20" s="144"/>
      <c r="C20" s="144"/>
      <c r="D20" s="826" t="s">
        <v>1297</v>
      </c>
      <c r="E20" s="781" t="s">
        <v>1509</v>
      </c>
      <c r="F20" s="782" t="s">
        <v>1509</v>
      </c>
      <c r="G20" s="781">
        <v>64</v>
      </c>
      <c r="H20" s="782">
        <v>33</v>
      </c>
      <c r="I20" s="781">
        <v>65</v>
      </c>
      <c r="J20" s="782">
        <v>33</v>
      </c>
      <c r="K20" s="781">
        <v>72</v>
      </c>
      <c r="L20" s="782">
        <v>28</v>
      </c>
      <c r="M20" s="781">
        <v>192</v>
      </c>
      <c r="N20" s="782">
        <v>98</v>
      </c>
    </row>
    <row r="21" spans="1:14" ht="12" customHeight="1">
      <c r="A21" s="143"/>
      <c r="B21" s="144"/>
      <c r="C21" s="144"/>
      <c r="D21" s="223" t="s">
        <v>413</v>
      </c>
      <c r="E21" s="779">
        <v>755</v>
      </c>
      <c r="F21" s="122">
        <v>148</v>
      </c>
      <c r="G21" s="779">
        <v>638</v>
      </c>
      <c r="H21" s="122">
        <v>123</v>
      </c>
      <c r="I21" s="779">
        <v>561</v>
      </c>
      <c r="J21" s="122">
        <v>107</v>
      </c>
      <c r="K21" s="779">
        <v>571</v>
      </c>
      <c r="L21" s="122">
        <v>100</v>
      </c>
      <c r="M21" s="779">
        <v>543</v>
      </c>
      <c r="N21" s="122">
        <v>85</v>
      </c>
    </row>
    <row r="22" spans="1:14" ht="12" customHeight="1">
      <c r="A22" s="143"/>
      <c r="B22" s="144"/>
      <c r="C22" s="144"/>
      <c r="D22" s="223" t="s">
        <v>412</v>
      </c>
      <c r="E22" s="781" t="s">
        <v>1509</v>
      </c>
      <c r="F22" s="782" t="s">
        <v>1509</v>
      </c>
      <c r="G22" s="781" t="s">
        <v>1509</v>
      </c>
      <c r="H22" s="782" t="s">
        <v>1509</v>
      </c>
      <c r="I22" s="781" t="s">
        <v>1509</v>
      </c>
      <c r="J22" s="782" t="s">
        <v>1509</v>
      </c>
      <c r="K22" s="779" t="s">
        <v>1509</v>
      </c>
      <c r="L22" s="122" t="s">
        <v>1509</v>
      </c>
      <c r="M22" s="779" t="s">
        <v>1509</v>
      </c>
      <c r="N22" s="122" t="s">
        <v>1509</v>
      </c>
    </row>
    <row r="23" spans="1:14" ht="12" customHeight="1">
      <c r="A23" s="143"/>
      <c r="B23" s="144"/>
      <c r="C23" s="144"/>
      <c r="D23" s="223" t="s">
        <v>411</v>
      </c>
      <c r="E23" s="779">
        <v>211</v>
      </c>
      <c r="F23" s="122">
        <v>24</v>
      </c>
      <c r="G23" s="779">
        <v>220</v>
      </c>
      <c r="H23" s="122">
        <v>27</v>
      </c>
      <c r="I23" s="779">
        <v>246</v>
      </c>
      <c r="J23" s="122">
        <v>39</v>
      </c>
      <c r="K23" s="779">
        <v>258</v>
      </c>
      <c r="L23" s="122">
        <v>22</v>
      </c>
      <c r="M23" s="779">
        <v>240</v>
      </c>
      <c r="N23" s="122">
        <v>10</v>
      </c>
    </row>
    <row r="24" spans="1:14" ht="12" customHeight="1">
      <c r="A24" s="143"/>
      <c r="B24" s="144"/>
      <c r="C24" s="144"/>
      <c r="D24" s="223" t="s">
        <v>1585</v>
      </c>
      <c r="E24" s="781" t="s">
        <v>1509</v>
      </c>
      <c r="F24" s="782" t="s">
        <v>1509</v>
      </c>
      <c r="G24" s="781" t="s">
        <v>1509</v>
      </c>
      <c r="H24" s="782" t="s">
        <v>1509</v>
      </c>
      <c r="I24" s="781" t="s">
        <v>1509</v>
      </c>
      <c r="J24" s="782" t="s">
        <v>1509</v>
      </c>
      <c r="K24" s="779" t="s">
        <v>1509</v>
      </c>
      <c r="L24" s="122" t="s">
        <v>1509</v>
      </c>
      <c r="M24" s="779" t="s">
        <v>1509</v>
      </c>
      <c r="N24" s="122" t="s">
        <v>1509</v>
      </c>
    </row>
    <row r="25" spans="1:14" ht="38.25" customHeight="1">
      <c r="A25" s="143"/>
      <c r="B25" s="144"/>
      <c r="C25" s="144"/>
      <c r="D25" s="224" t="s">
        <v>987</v>
      </c>
      <c r="E25" s="376" t="s">
        <v>1509</v>
      </c>
      <c r="F25" s="377" t="s">
        <v>1509</v>
      </c>
      <c r="G25" s="376" t="s">
        <v>1509</v>
      </c>
      <c r="H25" s="377" t="s">
        <v>1509</v>
      </c>
      <c r="I25" s="376" t="s">
        <v>1509</v>
      </c>
      <c r="J25" s="377" t="s">
        <v>1509</v>
      </c>
      <c r="K25" s="374" t="s">
        <v>1509</v>
      </c>
      <c r="L25" s="362" t="s">
        <v>1509</v>
      </c>
      <c r="M25" s="374" t="s">
        <v>1509</v>
      </c>
      <c r="N25" s="362" t="s">
        <v>1509</v>
      </c>
    </row>
    <row r="26" spans="1:14">
      <c r="A26" s="143"/>
      <c r="B26" s="206" t="s">
        <v>1563</v>
      </c>
      <c r="C26" s="795" t="s">
        <v>1586</v>
      </c>
      <c r="D26" s="222"/>
      <c r="E26" s="209">
        <f>SUM(E27:E28)</f>
        <v>73</v>
      </c>
      <c r="F26" s="208">
        <f>SUM(F27:F28)</f>
        <v>40</v>
      </c>
      <c r="G26" s="209">
        <f>SUM(G27:G28)</f>
        <v>82</v>
      </c>
      <c r="H26" s="208">
        <f>SUM(H27:H28)</f>
        <v>55</v>
      </c>
      <c r="I26" s="209">
        <f t="shared" ref="I26:N26" si="5">SUM(I27:I28)</f>
        <v>440</v>
      </c>
      <c r="J26" s="208">
        <f t="shared" si="5"/>
        <v>298</v>
      </c>
      <c r="K26" s="209">
        <f t="shared" si="5"/>
        <v>638</v>
      </c>
      <c r="L26" s="208">
        <f t="shared" si="5"/>
        <v>403</v>
      </c>
      <c r="M26" s="209">
        <f t="shared" si="5"/>
        <v>642</v>
      </c>
      <c r="N26" s="208">
        <f t="shared" si="5"/>
        <v>600</v>
      </c>
    </row>
    <row r="27" spans="1:14" ht="12" customHeight="1">
      <c r="A27" s="143"/>
      <c r="B27" s="144"/>
      <c r="C27" s="144"/>
      <c r="D27" s="223" t="s">
        <v>414</v>
      </c>
      <c r="E27" s="779">
        <v>73</v>
      </c>
      <c r="F27" s="122">
        <v>40</v>
      </c>
      <c r="G27" s="779">
        <v>82</v>
      </c>
      <c r="H27" s="122">
        <v>55</v>
      </c>
      <c r="I27" s="779">
        <v>440</v>
      </c>
      <c r="J27" s="122">
        <v>298</v>
      </c>
      <c r="K27" s="779">
        <v>638</v>
      </c>
      <c r="L27" s="122">
        <v>403</v>
      </c>
      <c r="M27" s="779">
        <v>642</v>
      </c>
      <c r="N27" s="122">
        <v>600</v>
      </c>
    </row>
    <row r="28" spans="1:14" ht="12" customHeight="1">
      <c r="A28" s="143"/>
      <c r="B28" s="144"/>
      <c r="C28" s="144"/>
      <c r="D28" s="223" t="s">
        <v>1587</v>
      </c>
      <c r="E28" s="781" t="s">
        <v>1509</v>
      </c>
      <c r="F28" s="782" t="s">
        <v>1509</v>
      </c>
      <c r="G28" s="781" t="s">
        <v>1509</v>
      </c>
      <c r="H28" s="782" t="s">
        <v>1509</v>
      </c>
      <c r="I28" s="781" t="s">
        <v>1509</v>
      </c>
      <c r="J28" s="782" t="s">
        <v>1509</v>
      </c>
      <c r="K28" s="779" t="s">
        <v>1509</v>
      </c>
      <c r="L28" s="122" t="s">
        <v>1509</v>
      </c>
      <c r="M28" s="779" t="s">
        <v>1509</v>
      </c>
      <c r="N28" s="122" t="s">
        <v>1509</v>
      </c>
    </row>
    <row r="29" spans="1:14">
      <c r="A29" s="143"/>
      <c r="B29" s="206" t="s">
        <v>1564</v>
      </c>
      <c r="C29" s="795" t="s">
        <v>965</v>
      </c>
      <c r="D29" s="222"/>
      <c r="E29" s="812" t="s">
        <v>1509</v>
      </c>
      <c r="F29" s="813" t="s">
        <v>1509</v>
      </c>
      <c r="G29" s="812" t="s">
        <v>1509</v>
      </c>
      <c r="H29" s="813" t="s">
        <v>1509</v>
      </c>
      <c r="I29" s="812" t="s">
        <v>1509</v>
      </c>
      <c r="J29" s="813" t="s">
        <v>1509</v>
      </c>
      <c r="K29" s="725" t="s">
        <v>1509</v>
      </c>
      <c r="L29" s="726" t="s">
        <v>1509</v>
      </c>
      <c r="M29" s="725" t="s">
        <v>1509</v>
      </c>
      <c r="N29" s="726" t="s">
        <v>1509</v>
      </c>
    </row>
    <row r="30" spans="1:14" ht="12" customHeight="1">
      <c r="A30" s="143"/>
      <c r="B30" s="144"/>
      <c r="C30" s="144"/>
      <c r="D30" s="223" t="s">
        <v>1588</v>
      </c>
      <c r="E30" s="781" t="s">
        <v>1509</v>
      </c>
      <c r="F30" s="782" t="s">
        <v>1509</v>
      </c>
      <c r="G30" s="781" t="s">
        <v>1509</v>
      </c>
      <c r="H30" s="782" t="s">
        <v>1509</v>
      </c>
      <c r="I30" s="781" t="s">
        <v>1509</v>
      </c>
      <c r="J30" s="782" t="s">
        <v>1509</v>
      </c>
      <c r="K30" s="779" t="s">
        <v>1509</v>
      </c>
      <c r="L30" s="122" t="s">
        <v>1509</v>
      </c>
      <c r="M30" s="779" t="s">
        <v>1509</v>
      </c>
      <c r="N30" s="122" t="s">
        <v>1509</v>
      </c>
    </row>
    <row r="31" spans="1:14" ht="12" customHeight="1">
      <c r="A31" s="143"/>
      <c r="B31" s="144"/>
      <c r="C31" s="144"/>
      <c r="D31" s="223" t="s">
        <v>1589</v>
      </c>
      <c r="E31" s="781" t="s">
        <v>1509</v>
      </c>
      <c r="F31" s="782" t="s">
        <v>1509</v>
      </c>
      <c r="G31" s="781" t="s">
        <v>1509</v>
      </c>
      <c r="H31" s="782" t="s">
        <v>1509</v>
      </c>
      <c r="I31" s="781" t="s">
        <v>1509</v>
      </c>
      <c r="J31" s="782" t="s">
        <v>1509</v>
      </c>
      <c r="K31" s="779" t="s">
        <v>1509</v>
      </c>
      <c r="L31" s="122" t="s">
        <v>1509</v>
      </c>
      <c r="M31" s="779" t="s">
        <v>1509</v>
      </c>
      <c r="N31" s="122" t="s">
        <v>1509</v>
      </c>
    </row>
    <row r="32" spans="1:14" ht="12" customHeight="1">
      <c r="A32" s="143"/>
      <c r="B32" s="144"/>
      <c r="C32" s="144"/>
      <c r="D32" s="223" t="s">
        <v>1656</v>
      </c>
      <c r="E32" s="781" t="s">
        <v>1509</v>
      </c>
      <c r="F32" s="782" t="s">
        <v>1509</v>
      </c>
      <c r="G32" s="781" t="s">
        <v>1509</v>
      </c>
      <c r="H32" s="782" t="s">
        <v>1509</v>
      </c>
      <c r="I32" s="781" t="s">
        <v>1509</v>
      </c>
      <c r="J32" s="782" t="s">
        <v>1509</v>
      </c>
      <c r="K32" s="779" t="s">
        <v>1509</v>
      </c>
      <c r="L32" s="122" t="s">
        <v>1509</v>
      </c>
      <c r="M32" s="779" t="s">
        <v>1509</v>
      </c>
      <c r="N32" s="122" t="s">
        <v>1509</v>
      </c>
    </row>
    <row r="33" spans="1:14" ht="12" customHeight="1">
      <c r="A33" s="143"/>
      <c r="B33" s="144"/>
      <c r="C33" s="144"/>
      <c r="D33" s="223" t="s">
        <v>1653</v>
      </c>
      <c r="E33" s="781" t="s">
        <v>1509</v>
      </c>
      <c r="F33" s="782" t="s">
        <v>1509</v>
      </c>
      <c r="G33" s="781" t="s">
        <v>1509</v>
      </c>
      <c r="H33" s="782" t="s">
        <v>1509</v>
      </c>
      <c r="I33" s="781" t="s">
        <v>1509</v>
      </c>
      <c r="J33" s="782" t="s">
        <v>1509</v>
      </c>
      <c r="K33" s="779" t="s">
        <v>1509</v>
      </c>
      <c r="L33" s="122" t="s">
        <v>1509</v>
      </c>
      <c r="M33" s="779" t="s">
        <v>1509</v>
      </c>
      <c r="N33" s="122" t="s">
        <v>1509</v>
      </c>
    </row>
    <row r="34" spans="1:14" ht="12" customHeight="1">
      <c r="A34" s="143"/>
      <c r="B34" s="144"/>
      <c r="C34" s="144"/>
      <c r="D34" s="669" t="s">
        <v>1655</v>
      </c>
      <c r="E34" s="781" t="s">
        <v>1509</v>
      </c>
      <c r="F34" s="782" t="s">
        <v>1509</v>
      </c>
      <c r="G34" s="781" t="s">
        <v>1509</v>
      </c>
      <c r="H34" s="782" t="s">
        <v>1509</v>
      </c>
      <c r="I34" s="781" t="s">
        <v>1509</v>
      </c>
      <c r="J34" s="782" t="s">
        <v>1509</v>
      </c>
      <c r="K34" s="779" t="s">
        <v>1509</v>
      </c>
      <c r="L34" s="122" t="s">
        <v>1509</v>
      </c>
      <c r="M34" s="779" t="s">
        <v>1509</v>
      </c>
      <c r="N34" s="122" t="s">
        <v>1509</v>
      </c>
    </row>
    <row r="35" spans="1:14">
      <c r="A35" s="207">
        <v>3</v>
      </c>
      <c r="B35" s="1596" t="s">
        <v>920</v>
      </c>
      <c r="C35" s="1596"/>
      <c r="D35" s="1597"/>
      <c r="E35" s="781" t="s">
        <v>1509</v>
      </c>
      <c r="F35" s="782" t="s">
        <v>1509</v>
      </c>
      <c r="G35" s="781" t="s">
        <v>1509</v>
      </c>
      <c r="H35" s="782" t="s">
        <v>1509</v>
      </c>
      <c r="I35" s="781" t="s">
        <v>1509</v>
      </c>
      <c r="J35" s="782" t="s">
        <v>1509</v>
      </c>
      <c r="K35" s="779" t="s">
        <v>1509</v>
      </c>
      <c r="L35" s="122" t="s">
        <v>1509</v>
      </c>
      <c r="M35" s="779" t="s">
        <v>1509</v>
      </c>
      <c r="N35" s="122" t="s">
        <v>1509</v>
      </c>
    </row>
    <row r="36" spans="1:14">
      <c r="A36" s="137"/>
      <c r="B36" s="1592"/>
      <c r="C36" s="1593"/>
      <c r="D36" s="183" t="s">
        <v>1233</v>
      </c>
      <c r="E36" s="212">
        <f t="shared" ref="E36:N36" si="6">SUM(E8,E18,E35)</f>
        <v>1418</v>
      </c>
      <c r="F36" s="183">
        <f t="shared" si="6"/>
        <v>323</v>
      </c>
      <c r="G36" s="212">
        <f t="shared" si="6"/>
        <v>1462</v>
      </c>
      <c r="H36" s="183">
        <f t="shared" si="6"/>
        <v>363</v>
      </c>
      <c r="I36" s="212">
        <f t="shared" si="6"/>
        <v>1778</v>
      </c>
      <c r="J36" s="183">
        <f t="shared" si="6"/>
        <v>643</v>
      </c>
      <c r="K36" s="212">
        <f t="shared" si="6"/>
        <v>2047</v>
      </c>
      <c r="L36" s="183">
        <f t="shared" si="6"/>
        <v>717</v>
      </c>
      <c r="M36" s="212">
        <f t="shared" si="6"/>
        <v>2086</v>
      </c>
      <c r="N36" s="183">
        <f t="shared" si="6"/>
        <v>961</v>
      </c>
    </row>
    <row r="37" spans="1:14">
      <c r="A37" s="51"/>
      <c r="B37" s="51"/>
      <c r="C37" s="51"/>
      <c r="D37" s="51"/>
      <c r="E37" s="51"/>
      <c r="F37" s="51"/>
      <c r="G37" s="51"/>
      <c r="H37" s="51"/>
      <c r="I37" s="51"/>
      <c r="J37" s="185"/>
      <c r="L37" s="574"/>
      <c r="M37" s="574"/>
      <c r="N37" s="931" t="str">
        <f>CONCATENATE("Source : Heads of all Technical and Professional Institutions, ",District!A1)</f>
        <v>Source : Heads of all Technical and Professional Institutions, Malda</v>
      </c>
    </row>
    <row r="38" spans="1:14">
      <c r="A38" s="51"/>
      <c r="B38" s="51"/>
      <c r="C38" s="51"/>
      <c r="D38" s="51"/>
      <c r="E38" s="51"/>
      <c r="F38" s="51"/>
      <c r="G38" s="51"/>
      <c r="H38" s="51"/>
      <c r="I38" s="51"/>
      <c r="J38" s="139"/>
      <c r="K38" s="348"/>
      <c r="L38" s="348"/>
      <c r="M38" s="348"/>
      <c r="N38" s="348"/>
    </row>
    <row r="39" spans="1:14">
      <c r="A39" s="51"/>
      <c r="B39" s="51"/>
      <c r="C39" s="51"/>
      <c r="D39" s="51"/>
      <c r="E39" s="51"/>
      <c r="F39" s="51"/>
      <c r="G39" s="51"/>
      <c r="H39" s="51"/>
      <c r="I39" s="51"/>
      <c r="J39" s="51"/>
      <c r="K39" s="51"/>
      <c r="L39" s="51"/>
      <c r="M39" s="51"/>
      <c r="N39" s="51"/>
    </row>
    <row r="40" spans="1:14">
      <c r="A40" s="51"/>
      <c r="B40" s="51"/>
      <c r="C40" s="51"/>
      <c r="D40" s="51"/>
      <c r="E40" s="51"/>
      <c r="F40" s="51"/>
      <c r="G40" s="51"/>
      <c r="H40" s="51"/>
      <c r="I40" s="51"/>
      <c r="J40" s="51"/>
      <c r="K40" s="51"/>
      <c r="L40" s="51"/>
      <c r="M40" s="51"/>
      <c r="N40" s="51"/>
    </row>
    <row r="41" spans="1:14">
      <c r="A41" s="51"/>
      <c r="B41" s="51"/>
      <c r="C41" s="51"/>
      <c r="D41" s="51"/>
      <c r="E41" s="51"/>
      <c r="F41" s="51"/>
      <c r="G41" s="51"/>
      <c r="H41" s="51"/>
      <c r="I41" s="51"/>
      <c r="J41" s="51"/>
      <c r="K41" s="51"/>
      <c r="L41" s="51"/>
      <c r="M41" s="51"/>
      <c r="N41" s="51"/>
    </row>
    <row r="42" spans="1:14">
      <c r="A42" s="51"/>
      <c r="B42" s="51"/>
      <c r="C42" s="51"/>
      <c r="D42" s="51"/>
      <c r="E42" s="51"/>
      <c r="F42" s="51"/>
      <c r="G42" s="51"/>
      <c r="H42" s="51"/>
      <c r="I42" s="51"/>
      <c r="J42" s="51"/>
      <c r="K42" s="51"/>
      <c r="L42" s="51"/>
      <c r="M42" s="51"/>
      <c r="N42" s="51"/>
    </row>
  </sheetData>
  <mergeCells count="15">
    <mergeCell ref="A1:N1"/>
    <mergeCell ref="A2:N2"/>
    <mergeCell ref="A7:D7"/>
    <mergeCell ref="G5:H5"/>
    <mergeCell ref="A4:D6"/>
    <mergeCell ref="E4:N4"/>
    <mergeCell ref="K5:L5"/>
    <mergeCell ref="I5:J5"/>
    <mergeCell ref="M5:N5"/>
    <mergeCell ref="B36:C36"/>
    <mergeCell ref="B18:D18"/>
    <mergeCell ref="B35:D35"/>
    <mergeCell ref="E5:F5"/>
    <mergeCell ref="B8:D8"/>
    <mergeCell ref="C17:D17"/>
  </mergeCells>
  <phoneticPr fontId="0" type="noConversion"/>
  <conditionalFormatting sqref="F6:L7 A1:D1048576 E1:E7 O1:IV1048576 F1:N4 E8:L65536 G5 I5 K5 M5:M65536 N6:N65536">
    <cfRule type="cellIs" dxfId="16" priority="1" stopIfTrue="1" operator="equal">
      <formula>".."</formula>
    </cfRule>
  </conditionalFormatting>
  <printOptions horizontalCentered="1"/>
  <pageMargins left="0.1" right="0.1" top="0.52" bottom="0.1" header="0.38" footer="0.1"/>
  <pageSetup paperSize="9" orientation="landscape" blackAndWhite="1" horizontalDpi="4294967295" verticalDpi="180" r:id="rId1"/>
  <headerFooter alignWithMargins="0"/>
</worksheet>
</file>

<file path=xl/worksheets/sheet31.xml><?xml version="1.0" encoding="utf-8"?>
<worksheet xmlns="http://schemas.openxmlformats.org/spreadsheetml/2006/main" xmlns:r="http://schemas.openxmlformats.org/officeDocument/2006/relationships">
  <sheetPr codeName="Sheet31"/>
  <dimension ref="A1:Q31"/>
  <sheetViews>
    <sheetView topLeftCell="A7" workbookViewId="0">
      <selection activeCell="M5" sqref="M5"/>
    </sheetView>
  </sheetViews>
  <sheetFormatPr defaultRowHeight="12.75"/>
  <cols>
    <col min="1" max="1" width="3.140625" customWidth="1"/>
    <col min="4" max="4" width="23.140625" customWidth="1"/>
    <col min="5" max="14" width="8.5703125" customWidth="1"/>
  </cols>
  <sheetData>
    <row r="1" spans="1:17" ht="12.75" customHeight="1">
      <c r="A1" s="1430" t="s">
        <v>1361</v>
      </c>
      <c r="B1" s="1430"/>
      <c r="C1" s="1430"/>
      <c r="D1" s="1430"/>
      <c r="E1" s="1430"/>
      <c r="F1" s="1430"/>
      <c r="G1" s="1430"/>
      <c r="H1" s="1430"/>
      <c r="I1" s="1430"/>
      <c r="J1" s="1430"/>
      <c r="K1" s="1430"/>
      <c r="L1" s="1430"/>
      <c r="M1" s="1430"/>
      <c r="N1" s="1430"/>
    </row>
    <row r="2" spans="1:17" ht="33" customHeight="1">
      <c r="A2" s="1534" t="str">
        <f>CONCATENATE(" Students by sex in different type of Special and Non-formal Educational Institutions
 in the district of ",District!A1)</f>
        <v xml:space="preserve"> Students by sex in different type of Special and Non-formal Educational Institutions
 in the district of Malda</v>
      </c>
      <c r="B2" s="1534"/>
      <c r="C2" s="1534"/>
      <c r="D2" s="1534"/>
      <c r="E2" s="1534"/>
      <c r="F2" s="1534"/>
      <c r="G2" s="1534"/>
      <c r="H2" s="1534"/>
      <c r="I2" s="1534"/>
      <c r="J2" s="1534"/>
      <c r="K2" s="1534"/>
      <c r="L2" s="1534"/>
      <c r="M2" s="1534"/>
      <c r="N2" s="1534"/>
    </row>
    <row r="3" spans="1:17" ht="12.75" customHeight="1">
      <c r="B3" s="5"/>
      <c r="K3" s="7"/>
      <c r="M3" s="16"/>
      <c r="N3" s="170" t="s">
        <v>1253</v>
      </c>
    </row>
    <row r="4" spans="1:17" ht="15" customHeight="1">
      <c r="A4" s="1359" t="s">
        <v>1414</v>
      </c>
      <c r="B4" s="1548"/>
      <c r="C4" s="1548"/>
      <c r="D4" s="1360"/>
      <c r="E4" s="1573" t="s">
        <v>1089</v>
      </c>
      <c r="F4" s="1574"/>
      <c r="G4" s="1574"/>
      <c r="H4" s="1574"/>
      <c r="I4" s="1574"/>
      <c r="J4" s="1574"/>
      <c r="K4" s="1611"/>
      <c r="L4" s="1611"/>
      <c r="M4" s="1574"/>
      <c r="N4" s="1575"/>
    </row>
    <row r="5" spans="1:17" ht="15" customHeight="1">
      <c r="A5" s="1381"/>
      <c r="B5" s="1382"/>
      <c r="C5" s="1382"/>
      <c r="D5" s="1604"/>
      <c r="E5" s="1598" t="str">
        <f>District!A12</f>
        <v>2009-10</v>
      </c>
      <c r="F5" s="1599"/>
      <c r="G5" s="1598" t="str">
        <f>District!C12</f>
        <v>2010-11</v>
      </c>
      <c r="H5" s="1599"/>
      <c r="I5" s="1598" t="str">
        <f>District!E12</f>
        <v>2011-12</v>
      </c>
      <c r="J5" s="1599"/>
      <c r="K5" s="1598" t="str">
        <f>District!G12</f>
        <v>2012-13</v>
      </c>
      <c r="L5" s="1599"/>
      <c r="M5" s="1598" t="str">
        <f>District!I12</f>
        <v>2013-14</v>
      </c>
      <c r="N5" s="1599"/>
    </row>
    <row r="6" spans="1:17" ht="15" customHeight="1">
      <c r="A6" s="1361"/>
      <c r="B6" s="1383"/>
      <c r="C6" s="1383"/>
      <c r="D6" s="1362"/>
      <c r="E6" s="215" t="s">
        <v>1265</v>
      </c>
      <c r="F6" s="216" t="s">
        <v>1266</v>
      </c>
      <c r="G6" s="215" t="s">
        <v>1265</v>
      </c>
      <c r="H6" s="216" t="s">
        <v>1266</v>
      </c>
      <c r="I6" s="296" t="s">
        <v>1265</v>
      </c>
      <c r="J6" s="298" t="s">
        <v>1266</v>
      </c>
      <c r="K6" s="217" t="s">
        <v>1265</v>
      </c>
      <c r="L6" s="216" t="s">
        <v>1266</v>
      </c>
      <c r="M6" s="217" t="s">
        <v>1265</v>
      </c>
      <c r="N6" s="216" t="s">
        <v>1266</v>
      </c>
    </row>
    <row r="7" spans="1:17" ht="15" customHeight="1">
      <c r="A7" s="1353" t="s">
        <v>1208</v>
      </c>
      <c r="B7" s="1425"/>
      <c r="C7" s="1425"/>
      <c r="D7" s="1425"/>
      <c r="E7" s="218" t="s">
        <v>1209</v>
      </c>
      <c r="F7" s="153" t="s">
        <v>1210</v>
      </c>
      <c r="G7" s="218" t="s">
        <v>1211</v>
      </c>
      <c r="H7" s="153" t="s">
        <v>1212</v>
      </c>
      <c r="I7" s="218" t="s">
        <v>1213</v>
      </c>
      <c r="J7" s="153" t="s">
        <v>1214</v>
      </c>
      <c r="K7" s="218" t="s">
        <v>1244</v>
      </c>
      <c r="L7" s="153" t="s">
        <v>1245</v>
      </c>
      <c r="M7" s="152" t="s">
        <v>1246</v>
      </c>
      <c r="N7" s="153" t="s">
        <v>1247</v>
      </c>
    </row>
    <row r="8" spans="1:17" ht="19.5" customHeight="1">
      <c r="A8" s="418">
        <v>1</v>
      </c>
      <c r="B8" s="1612" t="s">
        <v>1657</v>
      </c>
      <c r="C8" s="1612"/>
      <c r="D8" s="1613"/>
      <c r="E8" s="49">
        <v>42668</v>
      </c>
      <c r="F8" s="123">
        <v>43445</v>
      </c>
      <c r="G8" s="49">
        <v>42630</v>
      </c>
      <c r="H8" s="123">
        <v>43197</v>
      </c>
      <c r="I8" s="49">
        <v>41860</v>
      </c>
      <c r="J8" s="123">
        <v>42090</v>
      </c>
      <c r="K8" s="49">
        <v>41307</v>
      </c>
      <c r="L8" s="123">
        <v>42465</v>
      </c>
      <c r="M8" s="49">
        <v>38882</v>
      </c>
      <c r="N8" s="123">
        <v>39578</v>
      </c>
      <c r="Q8" s="7"/>
    </row>
    <row r="9" spans="1:17" ht="19.5" customHeight="1">
      <c r="A9" s="418">
        <v>2</v>
      </c>
      <c r="B9" s="1609" t="s">
        <v>56</v>
      </c>
      <c r="C9" s="1609"/>
      <c r="D9" s="1610"/>
      <c r="E9" s="507">
        <v>10202</v>
      </c>
      <c r="F9" s="98">
        <v>13760</v>
      </c>
      <c r="G9" s="507">
        <v>10316</v>
      </c>
      <c r="H9" s="98">
        <v>14407</v>
      </c>
      <c r="I9" s="507">
        <v>10425</v>
      </c>
      <c r="J9" s="98">
        <v>14464</v>
      </c>
      <c r="K9" s="507">
        <v>10741</v>
      </c>
      <c r="L9" s="98">
        <v>13896</v>
      </c>
      <c r="M9" s="507">
        <v>9342</v>
      </c>
      <c r="N9" s="98">
        <v>11928</v>
      </c>
    </row>
    <row r="10" spans="1:17" ht="19.5" customHeight="1">
      <c r="A10" s="418">
        <v>3</v>
      </c>
      <c r="B10" s="1609" t="s">
        <v>1658</v>
      </c>
      <c r="C10" s="1609"/>
      <c r="D10" s="1610"/>
      <c r="E10" s="727" t="s">
        <v>1509</v>
      </c>
      <c r="F10" s="628" t="s">
        <v>1509</v>
      </c>
      <c r="G10" s="727" t="s">
        <v>1509</v>
      </c>
      <c r="H10" s="628" t="s">
        <v>1509</v>
      </c>
      <c r="I10" s="727" t="s">
        <v>1509</v>
      </c>
      <c r="J10" s="628" t="s">
        <v>1509</v>
      </c>
      <c r="K10" s="507" t="s">
        <v>1509</v>
      </c>
      <c r="L10" s="98" t="s">
        <v>1509</v>
      </c>
      <c r="M10" s="507" t="s">
        <v>1509</v>
      </c>
      <c r="N10" s="98" t="s">
        <v>1509</v>
      </c>
    </row>
    <row r="11" spans="1:17" ht="19.5" customHeight="1">
      <c r="A11" s="418">
        <v>4</v>
      </c>
      <c r="B11" s="1609" t="s">
        <v>1328</v>
      </c>
      <c r="C11" s="1609"/>
      <c r="D11" s="1610"/>
      <c r="E11" s="1089" t="s">
        <v>1183</v>
      </c>
      <c r="F11" s="362" t="s">
        <v>1183</v>
      </c>
      <c r="G11" s="1089" t="s">
        <v>1183</v>
      </c>
      <c r="H11" s="362" t="s">
        <v>1183</v>
      </c>
      <c r="I11" s="1089" t="s">
        <v>1183</v>
      </c>
      <c r="J11" s="362" t="s">
        <v>1183</v>
      </c>
      <c r="K11" s="1089" t="s">
        <v>1183</v>
      </c>
      <c r="L11" s="1259" t="s">
        <v>1183</v>
      </c>
      <c r="M11" s="1089">
        <v>219</v>
      </c>
      <c r="N11" s="1259">
        <v>182</v>
      </c>
    </row>
    <row r="12" spans="1:17" ht="19.5" customHeight="1">
      <c r="A12" s="418">
        <v>5</v>
      </c>
      <c r="B12" s="1609" t="s">
        <v>1662</v>
      </c>
      <c r="C12" s="1609"/>
      <c r="D12" s="1610"/>
      <c r="E12" s="651" t="s">
        <v>1509</v>
      </c>
      <c r="F12" s="628" t="s">
        <v>1509</v>
      </c>
      <c r="G12" s="651" t="s">
        <v>1509</v>
      </c>
      <c r="H12" s="628" t="s">
        <v>1509</v>
      </c>
      <c r="I12" s="651" t="s">
        <v>1509</v>
      </c>
      <c r="J12" s="628" t="s">
        <v>1509</v>
      </c>
      <c r="K12" s="41" t="s">
        <v>1509</v>
      </c>
      <c r="L12" s="98" t="s">
        <v>1509</v>
      </c>
      <c r="M12" s="41" t="s">
        <v>1509</v>
      </c>
      <c r="N12" s="98" t="s">
        <v>1509</v>
      </c>
    </row>
    <row r="13" spans="1:17" ht="19.5" customHeight="1">
      <c r="A13" s="418">
        <v>6</v>
      </c>
      <c r="B13" s="1609" t="s">
        <v>1659</v>
      </c>
      <c r="C13" s="1609"/>
      <c r="D13" s="1610"/>
      <c r="E13" s="727" t="s">
        <v>1509</v>
      </c>
      <c r="F13" s="628" t="s">
        <v>1509</v>
      </c>
      <c r="G13" s="727" t="s">
        <v>1509</v>
      </c>
      <c r="H13" s="628" t="s">
        <v>1509</v>
      </c>
      <c r="I13" s="727" t="s">
        <v>1509</v>
      </c>
      <c r="J13" s="628" t="s">
        <v>1509</v>
      </c>
      <c r="K13" s="507" t="s">
        <v>1509</v>
      </c>
      <c r="L13" s="98" t="s">
        <v>1509</v>
      </c>
      <c r="M13" s="507" t="s">
        <v>1509</v>
      </c>
      <c r="N13" s="98" t="s">
        <v>1509</v>
      </c>
    </row>
    <row r="14" spans="1:17" ht="26.25" customHeight="1">
      <c r="A14" s="225">
        <v>7</v>
      </c>
      <c r="B14" s="1605" t="s">
        <v>1329</v>
      </c>
      <c r="C14" s="1605"/>
      <c r="D14" s="1606"/>
      <c r="E14" s="507">
        <v>425</v>
      </c>
      <c r="F14" s="98">
        <v>268</v>
      </c>
      <c r="G14" s="507">
        <v>464</v>
      </c>
      <c r="H14" s="98">
        <v>292</v>
      </c>
      <c r="I14" s="507">
        <v>454</v>
      </c>
      <c r="J14" s="98">
        <v>295</v>
      </c>
      <c r="K14" s="507">
        <v>410</v>
      </c>
      <c r="L14" s="98">
        <v>274</v>
      </c>
      <c r="M14" s="507">
        <v>390</v>
      </c>
      <c r="N14" s="98">
        <v>265</v>
      </c>
    </row>
    <row r="15" spans="1:17" ht="19.5" customHeight="1">
      <c r="A15" s="418">
        <v>8</v>
      </c>
      <c r="B15" s="1609" t="s">
        <v>1660</v>
      </c>
      <c r="C15" s="1609"/>
      <c r="D15" s="1610"/>
      <c r="E15" s="727" t="s">
        <v>1509</v>
      </c>
      <c r="F15" s="628" t="s">
        <v>1509</v>
      </c>
      <c r="G15" s="727" t="s">
        <v>1509</v>
      </c>
      <c r="H15" s="628" t="s">
        <v>1509</v>
      </c>
      <c r="I15" s="727" t="s">
        <v>1509</v>
      </c>
      <c r="J15" s="628" t="s">
        <v>1509</v>
      </c>
      <c r="K15" s="507" t="s">
        <v>1509</v>
      </c>
      <c r="L15" s="98" t="s">
        <v>1509</v>
      </c>
      <c r="M15" s="507" t="s">
        <v>1509</v>
      </c>
      <c r="N15" s="98" t="s">
        <v>1509</v>
      </c>
    </row>
    <row r="16" spans="1:17" ht="19.5" customHeight="1">
      <c r="A16" s="418">
        <v>9</v>
      </c>
      <c r="B16" s="1609" t="s">
        <v>1661</v>
      </c>
      <c r="C16" s="1609"/>
      <c r="D16" s="1610"/>
      <c r="E16" s="507">
        <v>84923</v>
      </c>
      <c r="F16" s="98">
        <v>81416</v>
      </c>
      <c r="G16" s="507">
        <v>89629</v>
      </c>
      <c r="H16" s="98">
        <v>86299</v>
      </c>
      <c r="I16" s="507">
        <v>90452</v>
      </c>
      <c r="J16" s="98">
        <v>84812</v>
      </c>
      <c r="K16" s="41">
        <v>83851</v>
      </c>
      <c r="L16" s="628">
        <v>80736</v>
      </c>
      <c r="M16" s="41">
        <v>86492</v>
      </c>
      <c r="N16" s="628">
        <v>84888</v>
      </c>
    </row>
    <row r="17" spans="1:15" ht="19.5" customHeight="1">
      <c r="A17" s="418">
        <v>10</v>
      </c>
      <c r="B17" s="1609" t="s">
        <v>1531</v>
      </c>
      <c r="C17" s="1609"/>
      <c r="D17" s="1610"/>
      <c r="E17" s="41">
        <v>90</v>
      </c>
      <c r="F17" s="628" t="s">
        <v>1509</v>
      </c>
      <c r="G17" s="41">
        <v>70</v>
      </c>
      <c r="H17" s="628" t="s">
        <v>1509</v>
      </c>
      <c r="I17" s="41">
        <v>110</v>
      </c>
      <c r="J17" s="628" t="s">
        <v>1509</v>
      </c>
      <c r="K17" s="41">
        <v>90</v>
      </c>
      <c r="L17" s="98" t="s">
        <v>1509</v>
      </c>
      <c r="M17" s="41">
        <v>54</v>
      </c>
      <c r="N17" s="98" t="s">
        <v>1509</v>
      </c>
    </row>
    <row r="18" spans="1:15" ht="50.25" customHeight="1">
      <c r="A18" s="225">
        <v>11</v>
      </c>
      <c r="B18" s="1605" t="s">
        <v>30</v>
      </c>
      <c r="C18" s="1605"/>
      <c r="D18" s="1606"/>
      <c r="E18" s="651" t="s">
        <v>1509</v>
      </c>
      <c r="F18" s="98">
        <v>41</v>
      </c>
      <c r="G18" s="651">
        <v>1</v>
      </c>
      <c r="H18" s="98">
        <v>28</v>
      </c>
      <c r="I18" s="41" t="s">
        <v>1509</v>
      </c>
      <c r="J18" s="98">
        <v>48</v>
      </c>
      <c r="K18" s="41">
        <v>3</v>
      </c>
      <c r="L18" s="98">
        <v>55</v>
      </c>
      <c r="M18" s="41">
        <v>3</v>
      </c>
      <c r="N18" s="98">
        <v>72</v>
      </c>
    </row>
    <row r="19" spans="1:15" ht="19.5" customHeight="1">
      <c r="A19" s="495">
        <v>12</v>
      </c>
      <c r="B19" s="1607" t="s">
        <v>1490</v>
      </c>
      <c r="C19" s="1607"/>
      <c r="D19" s="1608"/>
      <c r="E19" s="727" t="s">
        <v>1509</v>
      </c>
      <c r="F19" s="628" t="s">
        <v>1509</v>
      </c>
      <c r="G19" s="727" t="s">
        <v>1509</v>
      </c>
      <c r="H19" s="628" t="s">
        <v>1509</v>
      </c>
      <c r="I19" s="727" t="s">
        <v>1509</v>
      </c>
      <c r="J19" s="628" t="s">
        <v>1509</v>
      </c>
      <c r="K19" s="507" t="s">
        <v>1509</v>
      </c>
      <c r="L19" s="98" t="s">
        <v>1509</v>
      </c>
      <c r="M19" s="507" t="s">
        <v>1509</v>
      </c>
      <c r="N19" s="98" t="s">
        <v>1509</v>
      </c>
    </row>
    <row r="20" spans="1:15" ht="19.5" customHeight="1">
      <c r="A20" s="45"/>
      <c r="B20" s="1615" t="s">
        <v>1415</v>
      </c>
      <c r="C20" s="1615"/>
      <c r="D20" s="1616"/>
      <c r="E20" s="182">
        <f t="shared" ref="E20:N20" si="0">SUM(E8:E19)</f>
        <v>138308</v>
      </c>
      <c r="F20" s="183">
        <f t="shared" si="0"/>
        <v>138930</v>
      </c>
      <c r="G20" s="182">
        <f t="shared" si="0"/>
        <v>143110</v>
      </c>
      <c r="H20" s="183">
        <f t="shared" si="0"/>
        <v>144223</v>
      </c>
      <c r="I20" s="182">
        <f t="shared" si="0"/>
        <v>143301</v>
      </c>
      <c r="J20" s="183">
        <f t="shared" si="0"/>
        <v>141709</v>
      </c>
      <c r="K20" s="182">
        <f t="shared" si="0"/>
        <v>136402</v>
      </c>
      <c r="L20" s="183">
        <f t="shared" si="0"/>
        <v>137426</v>
      </c>
      <c r="M20" s="182">
        <f t="shared" si="0"/>
        <v>135382</v>
      </c>
      <c r="N20" s="183">
        <f t="shared" si="0"/>
        <v>136913</v>
      </c>
    </row>
    <row r="21" spans="1:15" ht="22.5" customHeight="1">
      <c r="A21" s="51"/>
      <c r="B21" s="51"/>
      <c r="C21" s="51"/>
      <c r="D21" s="51"/>
      <c r="E21" s="51"/>
      <c r="H21" s="928" t="s">
        <v>1546</v>
      </c>
      <c r="I21" s="1614" t="s">
        <v>31</v>
      </c>
      <c r="J21" s="1614"/>
      <c r="K21" s="1614"/>
      <c r="L21" s="1614"/>
      <c r="M21" s="1614"/>
      <c r="N21" s="1614"/>
      <c r="O21" s="676"/>
    </row>
    <row r="22" spans="1:15">
      <c r="A22" s="51"/>
      <c r="B22" s="51"/>
      <c r="C22" s="51"/>
      <c r="D22" s="51"/>
      <c r="E22" s="51"/>
      <c r="H22" s="25"/>
      <c r="I22" s="929" t="s">
        <v>1413</v>
      </c>
      <c r="J22" s="25"/>
      <c r="K22" s="25"/>
      <c r="L22" s="926"/>
      <c r="M22" s="926"/>
      <c r="N22" s="926"/>
      <c r="O22" s="186"/>
    </row>
    <row r="23" spans="1:15">
      <c r="A23" s="51"/>
      <c r="B23" s="51"/>
      <c r="C23" s="51"/>
      <c r="D23" s="51"/>
      <c r="E23" s="51"/>
      <c r="H23" s="25"/>
      <c r="I23" s="917" t="s">
        <v>1412</v>
      </c>
      <c r="J23" s="920"/>
      <c r="K23" s="25"/>
      <c r="L23" s="926"/>
      <c r="M23" s="926"/>
      <c r="N23" s="926"/>
      <c r="O23" s="51"/>
    </row>
    <row r="24" spans="1:15">
      <c r="A24" s="51"/>
      <c r="B24" s="51"/>
      <c r="C24" s="51"/>
      <c r="D24" s="51"/>
      <c r="E24" s="51"/>
      <c r="H24" s="25"/>
      <c r="I24" s="917" t="s">
        <v>741</v>
      </c>
      <c r="J24" s="920"/>
      <c r="K24" s="25"/>
      <c r="L24" s="917"/>
      <c r="M24" s="917"/>
      <c r="N24" s="917"/>
      <c r="O24" s="51"/>
    </row>
    <row r="25" spans="1:15">
      <c r="A25" s="51"/>
      <c r="B25" s="51"/>
      <c r="C25" s="51"/>
      <c r="D25" s="51"/>
      <c r="E25" s="51"/>
      <c r="H25" s="25"/>
      <c r="I25" s="917" t="s">
        <v>730</v>
      </c>
      <c r="J25" s="25"/>
      <c r="K25" s="25"/>
      <c r="L25" s="917"/>
      <c r="M25" s="917"/>
      <c r="N25" s="917"/>
      <c r="O25" s="51"/>
    </row>
    <row r="26" spans="1:15">
      <c r="A26" s="51"/>
      <c r="B26" s="51"/>
      <c r="C26" s="51"/>
      <c r="D26" s="51"/>
      <c r="E26" s="51"/>
      <c r="H26" s="25"/>
      <c r="I26" s="917" t="s">
        <v>32</v>
      </c>
      <c r="J26" s="920"/>
      <c r="K26" s="25"/>
      <c r="L26" s="926"/>
      <c r="M26" s="926"/>
      <c r="N26" s="926"/>
      <c r="O26" s="2"/>
    </row>
    <row r="27" spans="1:15">
      <c r="A27" s="51"/>
      <c r="B27" s="51"/>
      <c r="C27" s="51"/>
      <c r="D27" s="51"/>
      <c r="E27" s="51"/>
      <c r="H27" s="25"/>
      <c r="I27" s="917" t="s">
        <v>33</v>
      </c>
      <c r="J27" s="25"/>
      <c r="K27" s="25"/>
      <c r="L27" s="926"/>
      <c r="M27" s="926"/>
      <c r="N27" s="926"/>
      <c r="O27" s="186"/>
    </row>
    <row r="28" spans="1:15">
      <c r="A28" s="51"/>
      <c r="B28" s="51"/>
      <c r="C28" s="51"/>
      <c r="D28" s="51"/>
      <c r="E28" s="51"/>
      <c r="H28" s="25"/>
      <c r="I28" s="917" t="s">
        <v>731</v>
      </c>
      <c r="J28" s="25"/>
      <c r="K28" s="25"/>
      <c r="L28" s="926"/>
      <c r="M28" s="926"/>
      <c r="N28" s="926"/>
      <c r="O28" s="186"/>
    </row>
    <row r="29" spans="1:15">
      <c r="A29" s="51"/>
      <c r="B29" s="51"/>
      <c r="C29" s="51"/>
      <c r="D29" s="51"/>
      <c r="E29" s="51"/>
      <c r="F29" s="51"/>
      <c r="G29" s="51"/>
    </row>
    <row r="30" spans="1:15">
      <c r="A30" s="51"/>
      <c r="B30" s="51"/>
      <c r="C30" s="51"/>
      <c r="D30" s="51"/>
      <c r="E30" s="51"/>
      <c r="F30" s="51"/>
      <c r="G30" s="51"/>
    </row>
    <row r="31" spans="1:15">
      <c r="A31" s="51"/>
      <c r="B31" s="51"/>
      <c r="C31" s="51"/>
      <c r="D31" s="51"/>
      <c r="E31" s="51"/>
      <c r="F31" s="51"/>
      <c r="G31" s="51"/>
    </row>
  </sheetData>
  <mergeCells count="24">
    <mergeCell ref="I21:N21"/>
    <mergeCell ref="B14:D14"/>
    <mergeCell ref="B15:D15"/>
    <mergeCell ref="B11:D11"/>
    <mergeCell ref="B17:D17"/>
    <mergeCell ref="B12:D12"/>
    <mergeCell ref="B20:D20"/>
    <mergeCell ref="B13:D13"/>
    <mergeCell ref="M5:N5"/>
    <mergeCell ref="B8:D8"/>
    <mergeCell ref="B9:D9"/>
    <mergeCell ref="I5:J5"/>
    <mergeCell ref="E5:F5"/>
    <mergeCell ref="G5:H5"/>
    <mergeCell ref="A1:N1"/>
    <mergeCell ref="B18:D18"/>
    <mergeCell ref="B19:D19"/>
    <mergeCell ref="A2:N2"/>
    <mergeCell ref="B10:D10"/>
    <mergeCell ref="E4:N4"/>
    <mergeCell ref="B16:D16"/>
    <mergeCell ref="K5:L5"/>
    <mergeCell ref="A7:D7"/>
    <mergeCell ref="A4:D6"/>
  </mergeCells>
  <phoneticPr fontId="0" type="noConversion"/>
  <conditionalFormatting sqref="M5 A1:D1048576 E1:E7 M6:N65536 O1:IV1048576 F1:N4 F6:L7 G5 I5 K5 E8:L65536">
    <cfRule type="cellIs" dxfId="15" priority="1" stopIfTrue="1" operator="equal">
      <formula>".."</formula>
    </cfRule>
  </conditionalFormatting>
  <printOptions horizontalCentered="1"/>
  <pageMargins left="0.38" right="0.1" top="0.7" bottom="0.1" header="0.7" footer="0.1"/>
  <pageSetup paperSize="9" orientation="landscape" blackAndWhite="1" horizontalDpi="4294967295" verticalDpi="180" r:id="rId1"/>
  <headerFooter alignWithMargins="0"/>
</worksheet>
</file>

<file path=xl/worksheets/sheet32.xml><?xml version="1.0" encoding="utf-8"?>
<worksheet xmlns="http://schemas.openxmlformats.org/spreadsheetml/2006/main" xmlns:r="http://schemas.openxmlformats.org/officeDocument/2006/relationships">
  <sheetPr codeName="Sheet32"/>
  <dimension ref="A1:I44"/>
  <sheetViews>
    <sheetView topLeftCell="A4" workbookViewId="0">
      <selection activeCell="M5" sqref="M5"/>
    </sheetView>
  </sheetViews>
  <sheetFormatPr defaultRowHeight="12.75"/>
  <cols>
    <col min="1" max="1" width="2.42578125" customWidth="1"/>
    <col min="2" max="2" width="3" customWidth="1"/>
    <col min="3" max="3" width="1.5703125" customWidth="1"/>
    <col min="4" max="4" width="59.85546875" customWidth="1"/>
    <col min="5" max="9" width="14" customWidth="1"/>
  </cols>
  <sheetData>
    <row r="1" spans="1:9" ht="12.75" customHeight="1">
      <c r="A1" s="1363" t="s">
        <v>1362</v>
      </c>
      <c r="B1" s="1363"/>
      <c r="C1" s="1363"/>
      <c r="D1" s="1363"/>
      <c r="E1" s="1363"/>
      <c r="F1" s="1363"/>
      <c r="G1" s="1363"/>
      <c r="H1" s="1363"/>
      <c r="I1" s="1363"/>
    </row>
    <row r="2" spans="1:9" ht="16.5">
      <c r="A2" s="1534" t="str">
        <f>CONCATENATE("Teachers in different type of General Educational Institutions in the district of ",District!A1)</f>
        <v>Teachers in different type of General Educational Institutions in the district of Malda</v>
      </c>
      <c r="B2" s="1534"/>
      <c r="C2" s="1534"/>
      <c r="D2" s="1534"/>
      <c r="E2" s="1534"/>
      <c r="F2" s="1534"/>
      <c r="G2" s="1534"/>
      <c r="H2" s="1534"/>
      <c r="I2" s="1534"/>
    </row>
    <row r="3" spans="1:9">
      <c r="B3" s="4"/>
      <c r="C3" s="4"/>
      <c r="D3" s="4"/>
      <c r="E3" s="4"/>
      <c r="F3" s="4"/>
      <c r="G3" s="4"/>
      <c r="H3" s="4"/>
      <c r="I3" s="159" t="s">
        <v>1253</v>
      </c>
    </row>
    <row r="4" spans="1:9">
      <c r="A4" s="1359" t="s">
        <v>1414</v>
      </c>
      <c r="B4" s="1548"/>
      <c r="C4" s="1548"/>
      <c r="D4" s="1360"/>
      <c r="E4" s="1549" t="s">
        <v>1089</v>
      </c>
      <c r="F4" s="1550"/>
      <c r="G4" s="1550"/>
      <c r="H4" s="1550"/>
      <c r="I4" s="1551"/>
    </row>
    <row r="5" spans="1:9">
      <c r="A5" s="1361"/>
      <c r="B5" s="1383"/>
      <c r="C5" s="1383"/>
      <c r="D5" s="1362"/>
      <c r="E5" s="626" t="str">
        <f>District!A10</f>
        <v>2009-10</v>
      </c>
      <c r="F5" s="626" t="str">
        <f>District!B10</f>
        <v>2010-11</v>
      </c>
      <c r="G5" s="626" t="str">
        <f>District!C10</f>
        <v>2011-12</v>
      </c>
      <c r="H5" s="626" t="str">
        <f>District!D10</f>
        <v>2012-13</v>
      </c>
      <c r="I5" s="626" t="str">
        <f>District!E10</f>
        <v>2013-14</v>
      </c>
    </row>
    <row r="6" spans="1:9">
      <c r="A6" s="1576" t="s">
        <v>1208</v>
      </c>
      <c r="B6" s="1577"/>
      <c r="C6" s="1577"/>
      <c r="D6" s="1578"/>
      <c r="E6" s="167" t="s">
        <v>1209</v>
      </c>
      <c r="F6" s="167" t="s">
        <v>1210</v>
      </c>
      <c r="G6" s="167" t="s">
        <v>1211</v>
      </c>
      <c r="H6" s="167" t="s">
        <v>1212</v>
      </c>
      <c r="I6" s="164" t="s">
        <v>1213</v>
      </c>
    </row>
    <row r="7" spans="1:9">
      <c r="A7" s="192">
        <v>1</v>
      </c>
      <c r="B7" s="1555" t="s">
        <v>976</v>
      </c>
      <c r="C7" s="1555"/>
      <c r="D7" s="1556"/>
      <c r="E7" s="103">
        <f>SUM(E8,E13,E18,E23)</f>
        <v>10871</v>
      </c>
      <c r="F7" s="103">
        <f>SUM(F8,F13,F18,F23)</f>
        <v>12823</v>
      </c>
      <c r="G7" s="103">
        <f>SUM(G8,G13,G18,G23)</f>
        <v>13945</v>
      </c>
      <c r="H7" s="103">
        <f>SUM(H8,H13,H18,H23)</f>
        <v>13823</v>
      </c>
      <c r="I7" s="103">
        <f>SUM(I8,I13,I18,I23)</f>
        <v>13810</v>
      </c>
    </row>
    <row r="8" spans="1:9" ht="14.25" customHeight="1">
      <c r="A8" s="31"/>
      <c r="B8" s="189" t="s">
        <v>1565</v>
      </c>
      <c r="C8" s="1617" t="s">
        <v>527</v>
      </c>
      <c r="D8" s="1618"/>
      <c r="E8" s="208">
        <f>SUM(E9:E12)</f>
        <v>5999</v>
      </c>
      <c r="F8" s="208">
        <f>SUM(F9:F12)</f>
        <v>6259</v>
      </c>
      <c r="G8" s="208">
        <f>SUM(G9:G12)</f>
        <v>6437</v>
      </c>
      <c r="H8" s="208">
        <f>SUM(H9:H12)</f>
        <v>5811</v>
      </c>
      <c r="I8" s="208">
        <f>SUM(I9:I12)</f>
        <v>5882</v>
      </c>
    </row>
    <row r="9" spans="1:9">
      <c r="A9" s="31"/>
      <c r="B9" s="7"/>
      <c r="C9" s="7"/>
      <c r="D9" s="177" t="s">
        <v>34</v>
      </c>
      <c r="E9" s="116">
        <v>5973</v>
      </c>
      <c r="F9" s="116">
        <v>6240</v>
      </c>
      <c r="G9" s="116">
        <v>6419</v>
      </c>
      <c r="H9" s="608">
        <v>5792</v>
      </c>
      <c r="I9" s="608">
        <v>5859</v>
      </c>
    </row>
    <row r="10" spans="1:9">
      <c r="A10" s="31"/>
      <c r="B10" s="7"/>
      <c r="C10" s="7"/>
      <c r="D10" s="177" t="s">
        <v>1561</v>
      </c>
      <c r="E10" s="116">
        <v>26</v>
      </c>
      <c r="F10" s="116">
        <v>19</v>
      </c>
      <c r="G10" s="116">
        <v>18</v>
      </c>
      <c r="H10" s="116">
        <v>19</v>
      </c>
      <c r="I10" s="116">
        <v>23</v>
      </c>
    </row>
    <row r="11" spans="1:9">
      <c r="A11" s="31"/>
      <c r="B11" s="7"/>
      <c r="C11" s="7"/>
      <c r="D11" s="177" t="s">
        <v>1562</v>
      </c>
      <c r="E11" s="116" t="s">
        <v>1509</v>
      </c>
      <c r="F11" s="116" t="s">
        <v>1509</v>
      </c>
      <c r="G11" s="116" t="s">
        <v>1509</v>
      </c>
      <c r="H11" s="116" t="s">
        <v>1509</v>
      </c>
      <c r="I11" s="116" t="s">
        <v>1509</v>
      </c>
    </row>
    <row r="12" spans="1:9">
      <c r="A12" s="31"/>
      <c r="B12" s="7"/>
      <c r="C12" s="7"/>
      <c r="D12" s="177" t="s">
        <v>217</v>
      </c>
      <c r="E12" s="116" t="s">
        <v>1509</v>
      </c>
      <c r="F12" s="116" t="s">
        <v>1509</v>
      </c>
      <c r="G12" s="116" t="s">
        <v>1509</v>
      </c>
      <c r="H12" s="116" t="s">
        <v>1509</v>
      </c>
      <c r="I12" s="116" t="s">
        <v>1509</v>
      </c>
    </row>
    <row r="13" spans="1:9" ht="14.25" customHeight="1">
      <c r="A13" s="31"/>
      <c r="B13" s="189" t="s">
        <v>1563</v>
      </c>
      <c r="C13" s="1619" t="s">
        <v>526</v>
      </c>
      <c r="D13" s="1620"/>
      <c r="E13" s="208">
        <f>SUM(E14:E17)</f>
        <v>78</v>
      </c>
      <c r="F13" s="208">
        <f>SUM(F14:F17)</f>
        <v>75</v>
      </c>
      <c r="G13" s="208">
        <f>SUM(G14:G17)</f>
        <v>403</v>
      </c>
      <c r="H13" s="208">
        <f>SUM(H14:H17)</f>
        <v>547</v>
      </c>
      <c r="I13" s="208">
        <f>SUM(I14:I17)</f>
        <v>537</v>
      </c>
    </row>
    <row r="14" spans="1:9">
      <c r="A14" s="31"/>
      <c r="B14" s="7"/>
      <c r="C14" s="7"/>
      <c r="D14" s="177" t="s">
        <v>24</v>
      </c>
      <c r="E14" s="116">
        <v>78</v>
      </c>
      <c r="F14" s="116">
        <v>72</v>
      </c>
      <c r="G14" s="116">
        <v>357</v>
      </c>
      <c r="H14" s="116">
        <v>493</v>
      </c>
      <c r="I14" s="116">
        <v>482</v>
      </c>
    </row>
    <row r="15" spans="1:9">
      <c r="A15" s="31"/>
      <c r="B15" s="7"/>
      <c r="C15" s="7"/>
      <c r="D15" s="177" t="s">
        <v>1295</v>
      </c>
      <c r="E15" s="116" t="s">
        <v>1509</v>
      </c>
      <c r="F15" s="534">
        <v>3</v>
      </c>
      <c r="G15" s="534">
        <v>46</v>
      </c>
      <c r="H15" s="534">
        <v>54</v>
      </c>
      <c r="I15" s="534">
        <v>55</v>
      </c>
    </row>
    <row r="16" spans="1:9">
      <c r="A16" s="31"/>
      <c r="B16" s="7"/>
      <c r="C16" s="7"/>
      <c r="D16" s="177" t="s">
        <v>1562</v>
      </c>
      <c r="E16" s="116" t="s">
        <v>1509</v>
      </c>
      <c r="F16" s="534" t="s">
        <v>1509</v>
      </c>
      <c r="G16" s="534" t="s">
        <v>1509</v>
      </c>
      <c r="H16" s="534" t="s">
        <v>1509</v>
      </c>
      <c r="I16" s="534" t="s">
        <v>1509</v>
      </c>
    </row>
    <row r="17" spans="1:9">
      <c r="A17" s="31"/>
      <c r="B17" s="7"/>
      <c r="C17" s="7"/>
      <c r="D17" s="177" t="s">
        <v>217</v>
      </c>
      <c r="E17" s="116" t="s">
        <v>1509</v>
      </c>
      <c r="F17" s="116" t="s">
        <v>1509</v>
      </c>
      <c r="G17" s="116" t="s">
        <v>1509</v>
      </c>
      <c r="H17" s="116" t="s">
        <v>1509</v>
      </c>
      <c r="I17" s="116" t="s">
        <v>1509</v>
      </c>
    </row>
    <row r="18" spans="1:9" ht="14.25" customHeight="1">
      <c r="A18" s="31"/>
      <c r="B18" s="189" t="s">
        <v>1564</v>
      </c>
      <c r="C18" s="1617" t="s">
        <v>525</v>
      </c>
      <c r="D18" s="1618"/>
      <c r="E18" s="208">
        <f>SUM(E19:E22)</f>
        <v>2724</v>
      </c>
      <c r="F18" s="208">
        <f>SUM(F19:F22)</f>
        <v>3098</v>
      </c>
      <c r="G18" s="208">
        <f>SUM(G19:G22)</f>
        <v>3313</v>
      </c>
      <c r="H18" s="208">
        <f>SUM(H19:H22)</f>
        <v>2798</v>
      </c>
      <c r="I18" s="208">
        <f>SUM(I19:I22)</f>
        <v>2774</v>
      </c>
    </row>
    <row r="19" spans="1:9">
      <c r="A19" s="31"/>
      <c r="B19" s="7"/>
      <c r="C19" s="7"/>
      <c r="D19" s="177" t="s">
        <v>24</v>
      </c>
      <c r="E19" s="116">
        <v>1854</v>
      </c>
      <c r="F19" s="116">
        <v>1982</v>
      </c>
      <c r="G19" s="116">
        <v>2001</v>
      </c>
      <c r="H19" s="116">
        <v>1781</v>
      </c>
      <c r="I19" s="116">
        <v>1680</v>
      </c>
    </row>
    <row r="20" spans="1:9">
      <c r="A20" s="31"/>
      <c r="B20" s="7"/>
      <c r="C20" s="7"/>
      <c r="D20" s="177" t="s">
        <v>1294</v>
      </c>
      <c r="E20" s="116">
        <v>828</v>
      </c>
      <c r="F20" s="116">
        <v>1074</v>
      </c>
      <c r="G20" s="116">
        <v>1312</v>
      </c>
      <c r="H20" s="608">
        <v>1017</v>
      </c>
      <c r="I20" s="608">
        <v>1094</v>
      </c>
    </row>
    <row r="21" spans="1:9">
      <c r="A21" s="31"/>
      <c r="B21" s="7"/>
      <c r="C21" s="7"/>
      <c r="D21" s="177" t="s">
        <v>1562</v>
      </c>
      <c r="E21" s="116">
        <v>42</v>
      </c>
      <c r="F21" s="116">
        <v>42</v>
      </c>
      <c r="G21" s="116" t="s">
        <v>1509</v>
      </c>
      <c r="H21" s="116" t="s">
        <v>1509</v>
      </c>
      <c r="I21" s="116" t="s">
        <v>1509</v>
      </c>
    </row>
    <row r="22" spans="1:9">
      <c r="A22" s="31"/>
      <c r="B22" s="7"/>
      <c r="C22" s="7"/>
      <c r="D22" s="177" t="s">
        <v>217</v>
      </c>
      <c r="E22" s="116" t="s">
        <v>1509</v>
      </c>
      <c r="F22" s="116" t="s">
        <v>1509</v>
      </c>
      <c r="G22" s="116" t="s">
        <v>1509</v>
      </c>
      <c r="H22" s="116" t="s">
        <v>1509</v>
      </c>
      <c r="I22" s="116" t="s">
        <v>1509</v>
      </c>
    </row>
    <row r="23" spans="1:9" ht="25.5" customHeight="1">
      <c r="A23" s="31"/>
      <c r="B23" s="189" t="s">
        <v>1566</v>
      </c>
      <c r="C23" s="1617" t="s">
        <v>528</v>
      </c>
      <c r="D23" s="1618"/>
      <c r="E23" s="208">
        <f>SUM(E24:E28)</f>
        <v>2070</v>
      </c>
      <c r="F23" s="208">
        <f>SUM(F24:F28)</f>
        <v>3391</v>
      </c>
      <c r="G23" s="208">
        <f>SUM(G24:G28)</f>
        <v>3792</v>
      </c>
      <c r="H23" s="208">
        <f>SUM(H24:H28)</f>
        <v>4667</v>
      </c>
      <c r="I23" s="208">
        <f>SUM(I24:I28)</f>
        <v>4617</v>
      </c>
    </row>
    <row r="24" spans="1:9">
      <c r="A24" s="31"/>
      <c r="B24" s="7"/>
      <c r="C24" s="7"/>
      <c r="D24" s="177" t="s">
        <v>1532</v>
      </c>
      <c r="E24" s="116">
        <v>1771</v>
      </c>
      <c r="F24" s="116">
        <v>3080</v>
      </c>
      <c r="G24" s="116">
        <v>3437</v>
      </c>
      <c r="H24" s="116">
        <v>4308</v>
      </c>
      <c r="I24" s="116">
        <v>4234</v>
      </c>
    </row>
    <row r="25" spans="1:9">
      <c r="A25" s="31"/>
      <c r="B25" s="7"/>
      <c r="C25" s="7"/>
      <c r="D25" s="177" t="s">
        <v>1533</v>
      </c>
      <c r="E25" s="116">
        <v>8</v>
      </c>
      <c r="F25" s="116">
        <v>8</v>
      </c>
      <c r="G25" s="116">
        <v>8</v>
      </c>
      <c r="H25" s="116">
        <v>6</v>
      </c>
      <c r="I25" s="116">
        <v>6</v>
      </c>
    </row>
    <row r="26" spans="1:9">
      <c r="A26" s="31"/>
      <c r="B26" s="7"/>
      <c r="C26" s="7"/>
      <c r="D26" s="177" t="s">
        <v>1562</v>
      </c>
      <c r="E26" s="116">
        <v>134</v>
      </c>
      <c r="F26" s="116">
        <v>132</v>
      </c>
      <c r="G26" s="116">
        <v>162</v>
      </c>
      <c r="H26" s="116">
        <v>172</v>
      </c>
      <c r="I26" s="116">
        <v>208</v>
      </c>
    </row>
    <row r="27" spans="1:9">
      <c r="A27" s="31"/>
      <c r="B27" s="7"/>
      <c r="C27" s="7"/>
      <c r="D27" s="177" t="s">
        <v>217</v>
      </c>
      <c r="E27" s="116" t="s">
        <v>1509</v>
      </c>
      <c r="F27" s="116" t="s">
        <v>1509</v>
      </c>
      <c r="G27" s="116" t="s">
        <v>1509</v>
      </c>
      <c r="H27" s="116" t="s">
        <v>1509</v>
      </c>
      <c r="I27" s="116" t="s">
        <v>1509</v>
      </c>
    </row>
    <row r="28" spans="1:9">
      <c r="A28" s="31"/>
      <c r="B28" s="7"/>
      <c r="C28" s="7"/>
      <c r="D28" s="177" t="s">
        <v>1573</v>
      </c>
      <c r="E28" s="116">
        <v>157</v>
      </c>
      <c r="F28" s="116">
        <v>171</v>
      </c>
      <c r="G28" s="116">
        <v>185</v>
      </c>
      <c r="H28" s="116">
        <v>181</v>
      </c>
      <c r="I28" s="116">
        <v>169</v>
      </c>
    </row>
    <row r="29" spans="1:9">
      <c r="A29" s="194">
        <v>2</v>
      </c>
      <c r="B29" s="199" t="s">
        <v>977</v>
      </c>
      <c r="C29" s="199"/>
      <c r="D29" s="95"/>
      <c r="E29" s="349">
        <v>244</v>
      </c>
      <c r="F29" s="349">
        <v>251</v>
      </c>
      <c r="G29" s="349">
        <v>293</v>
      </c>
      <c r="H29" s="349">
        <v>279</v>
      </c>
      <c r="I29" s="349">
        <v>264</v>
      </c>
    </row>
    <row r="30" spans="1:9" ht="25.5" customHeight="1">
      <c r="A30" s="204">
        <v>3</v>
      </c>
      <c r="B30" s="1552" t="s">
        <v>522</v>
      </c>
      <c r="C30" s="1553"/>
      <c r="D30" s="1554"/>
      <c r="E30" s="349">
        <v>31</v>
      </c>
      <c r="F30" s="349">
        <v>31</v>
      </c>
      <c r="G30" s="349">
        <v>63</v>
      </c>
      <c r="H30" s="349">
        <v>59</v>
      </c>
      <c r="I30" s="349">
        <v>56</v>
      </c>
    </row>
    <row r="31" spans="1:9">
      <c r="A31" s="226">
        <v>4</v>
      </c>
      <c r="B31" s="1557" t="s">
        <v>92</v>
      </c>
      <c r="C31" s="1557"/>
      <c r="D31" s="1558"/>
      <c r="E31" s="650">
        <v>93</v>
      </c>
      <c r="F31" s="650">
        <v>93</v>
      </c>
      <c r="G31" s="650">
        <v>90</v>
      </c>
      <c r="H31" s="650">
        <v>101</v>
      </c>
      <c r="I31" s="650">
        <v>97</v>
      </c>
    </row>
    <row r="32" spans="1:9">
      <c r="C32" s="51"/>
      <c r="D32" s="51"/>
      <c r="F32" s="918" t="s">
        <v>947</v>
      </c>
      <c r="G32" s="917" t="s">
        <v>1610</v>
      </c>
      <c r="H32" s="139"/>
      <c r="I32" s="139"/>
    </row>
    <row r="33" spans="3:9">
      <c r="C33" s="51"/>
      <c r="D33" s="51"/>
      <c r="F33" s="918" t="s">
        <v>948</v>
      </c>
      <c r="G33" s="917" t="s">
        <v>1611</v>
      </c>
      <c r="H33" s="139"/>
      <c r="I33" s="139"/>
    </row>
    <row r="34" spans="3:9">
      <c r="C34" s="51"/>
      <c r="D34" s="51"/>
      <c r="F34" s="918" t="s">
        <v>955</v>
      </c>
      <c r="G34" s="926" t="s">
        <v>950</v>
      </c>
      <c r="H34" s="186"/>
      <c r="I34" s="186"/>
    </row>
    <row r="35" spans="3:9">
      <c r="C35" s="51"/>
      <c r="D35" s="51"/>
      <c r="F35" s="918" t="s">
        <v>951</v>
      </c>
      <c r="G35" s="926" t="s">
        <v>1419</v>
      </c>
      <c r="H35" s="186"/>
      <c r="I35" s="186"/>
    </row>
    <row r="36" spans="3:9">
      <c r="C36" s="51"/>
      <c r="D36" s="51"/>
      <c r="F36" s="918" t="s">
        <v>952</v>
      </c>
      <c r="G36" s="917" t="s">
        <v>957</v>
      </c>
      <c r="H36" s="139"/>
      <c r="I36" s="186"/>
    </row>
    <row r="37" spans="3:9">
      <c r="C37" s="51"/>
      <c r="D37" s="51"/>
      <c r="F37" s="918" t="s">
        <v>953</v>
      </c>
      <c r="G37" s="917" t="s">
        <v>958</v>
      </c>
      <c r="H37" s="139"/>
    </row>
    <row r="38" spans="3:9">
      <c r="C38" s="51"/>
      <c r="D38" s="51"/>
      <c r="F38" s="918" t="s">
        <v>954</v>
      </c>
      <c r="G38" s="917" t="s">
        <v>1609</v>
      </c>
      <c r="H38" s="139"/>
      <c r="I38" s="139"/>
    </row>
    <row r="39" spans="3:9">
      <c r="C39" s="51"/>
      <c r="D39" s="51"/>
      <c r="E39" s="139"/>
      <c r="F39" s="139"/>
      <c r="I39" s="139"/>
    </row>
    <row r="40" spans="3:9">
      <c r="C40" s="51"/>
      <c r="D40" s="51"/>
      <c r="E40" s="139"/>
      <c r="I40" s="139"/>
    </row>
    <row r="41" spans="3:9">
      <c r="C41" s="51"/>
      <c r="D41" s="51"/>
      <c r="E41" s="51"/>
      <c r="F41" s="51"/>
      <c r="G41" s="51"/>
      <c r="H41" s="51"/>
      <c r="I41" s="51"/>
    </row>
    <row r="42" spans="3:9">
      <c r="C42" s="51"/>
      <c r="D42" s="51"/>
      <c r="E42" s="51"/>
      <c r="F42" s="51"/>
      <c r="G42" s="51"/>
      <c r="H42" s="51"/>
      <c r="I42" s="51"/>
    </row>
    <row r="43" spans="3:9">
      <c r="C43" s="51"/>
      <c r="D43" s="51"/>
      <c r="E43" s="51"/>
      <c r="F43" s="51"/>
      <c r="G43" s="51"/>
      <c r="H43" s="51"/>
      <c r="I43" s="51"/>
    </row>
    <row r="44" spans="3:9">
      <c r="C44" s="51"/>
      <c r="D44" s="51"/>
      <c r="E44" s="51"/>
      <c r="F44" s="51"/>
      <c r="G44" s="51"/>
      <c r="H44" s="51"/>
      <c r="I44" s="51"/>
    </row>
  </sheetData>
  <mergeCells count="12">
    <mergeCell ref="B31:D31"/>
    <mergeCell ref="B30:D30"/>
    <mergeCell ref="C8:D8"/>
    <mergeCell ref="C13:D13"/>
    <mergeCell ref="C18:D18"/>
    <mergeCell ref="C23:D23"/>
    <mergeCell ref="A1:I1"/>
    <mergeCell ref="B7:D7"/>
    <mergeCell ref="A6:D6"/>
    <mergeCell ref="A2:I2"/>
    <mergeCell ref="A4:D5"/>
    <mergeCell ref="E4:I4"/>
  </mergeCells>
  <phoneticPr fontId="0" type="noConversion"/>
  <printOptions horizontalCentered="1"/>
  <pageMargins left="0.14000000000000001" right="0.1" top="0.65" bottom="0.1" header="0.7" footer="0.1"/>
  <pageSetup paperSize="9" orientation="landscape" blackAndWhite="1" horizontalDpi="4294967295" verticalDpi="180" r:id="rId1"/>
  <headerFooter alignWithMargins="0"/>
</worksheet>
</file>

<file path=xl/worksheets/sheet33.xml><?xml version="1.0" encoding="utf-8"?>
<worksheet xmlns="http://schemas.openxmlformats.org/spreadsheetml/2006/main" xmlns:r="http://schemas.openxmlformats.org/officeDocument/2006/relationships">
  <sheetPr codeName="Sheet33"/>
  <dimension ref="A1:I45"/>
  <sheetViews>
    <sheetView workbookViewId="0">
      <selection activeCell="L18" sqref="L18"/>
    </sheetView>
  </sheetViews>
  <sheetFormatPr defaultRowHeight="12.75"/>
  <cols>
    <col min="1" max="1" width="2.5703125" customWidth="1"/>
    <col min="2" max="2" width="3.140625" customWidth="1"/>
    <col min="3" max="3" width="1.42578125" customWidth="1"/>
    <col min="4" max="4" width="55.7109375" customWidth="1"/>
    <col min="5" max="9" width="12.5703125" customWidth="1"/>
  </cols>
  <sheetData>
    <row r="1" spans="1:9" ht="12.75" customHeight="1">
      <c r="A1" s="1430" t="s">
        <v>1363</v>
      </c>
      <c r="B1" s="1430"/>
      <c r="C1" s="1430"/>
      <c r="D1" s="1430"/>
      <c r="E1" s="1430"/>
      <c r="F1" s="1430"/>
      <c r="G1" s="1430"/>
      <c r="H1" s="1430"/>
      <c r="I1" s="1430"/>
    </row>
    <row r="2" spans="1:9" ht="32.25" customHeight="1">
      <c r="A2" s="1534" t="str">
        <f>CONCATENATE(" Teachers in different type of Professional &amp; Technical Educational Institutions 
in the district of ",District!A1)</f>
        <v xml:space="preserve"> Teachers in different type of Professional &amp; Technical Educational Institutions 
in the district of Malda</v>
      </c>
      <c r="B2" s="1534"/>
      <c r="C2" s="1534"/>
      <c r="D2" s="1534"/>
      <c r="E2" s="1534"/>
      <c r="F2" s="1534"/>
      <c r="G2" s="1534"/>
      <c r="H2" s="1534"/>
      <c r="I2" s="1534"/>
    </row>
    <row r="3" spans="1:9">
      <c r="I3" s="170" t="s">
        <v>1253</v>
      </c>
    </row>
    <row r="4" spans="1:9">
      <c r="A4" s="1359" t="s">
        <v>1414</v>
      </c>
      <c r="B4" s="1548"/>
      <c r="C4" s="1548"/>
      <c r="D4" s="1360"/>
      <c r="E4" s="1549" t="s">
        <v>1089</v>
      </c>
      <c r="F4" s="1550"/>
      <c r="G4" s="1550"/>
      <c r="H4" s="1550"/>
      <c r="I4" s="1551"/>
    </row>
    <row r="5" spans="1:9">
      <c r="A5" s="1361"/>
      <c r="B5" s="1383"/>
      <c r="C5" s="1383"/>
      <c r="D5" s="1362"/>
      <c r="E5" s="511" t="str">
        <f>District!A10</f>
        <v>2009-10</v>
      </c>
      <c r="F5" s="511" t="str">
        <f>District!B10</f>
        <v>2010-11</v>
      </c>
      <c r="G5" s="511" t="str">
        <f>District!C10</f>
        <v>2011-12</v>
      </c>
      <c r="H5" s="511" t="str">
        <f>District!D10</f>
        <v>2012-13</v>
      </c>
      <c r="I5" s="511" t="str">
        <f>District!E10</f>
        <v>2013-14</v>
      </c>
    </row>
    <row r="6" spans="1:9">
      <c r="A6" s="1576" t="s">
        <v>1208</v>
      </c>
      <c r="B6" s="1577"/>
      <c r="C6" s="1577"/>
      <c r="D6" s="1578"/>
      <c r="E6" s="164" t="s">
        <v>1209</v>
      </c>
      <c r="F6" s="164" t="s">
        <v>1210</v>
      </c>
      <c r="G6" s="164" t="s">
        <v>1211</v>
      </c>
      <c r="H6" s="167" t="s">
        <v>1212</v>
      </c>
      <c r="I6" s="164" t="s">
        <v>1213</v>
      </c>
    </row>
    <row r="7" spans="1:9">
      <c r="A7" s="228">
        <v>1</v>
      </c>
      <c r="B7" s="1555" t="s">
        <v>855</v>
      </c>
      <c r="C7" s="1555"/>
      <c r="D7" s="1556"/>
      <c r="E7" s="201">
        <f>SUM(E8,E13,E16)</f>
        <v>61</v>
      </c>
      <c r="F7" s="201">
        <f>SUM(F8,F13,F16)</f>
        <v>61</v>
      </c>
      <c r="G7" s="201">
        <f>SUM(G8,G13,G16)</f>
        <v>51</v>
      </c>
      <c r="H7" s="201">
        <f>SUM(H8,H13,H16)</f>
        <v>49</v>
      </c>
      <c r="I7" s="201">
        <f>SUM(I8,I13,I16)</f>
        <v>46</v>
      </c>
    </row>
    <row r="8" spans="1:9">
      <c r="A8" s="47"/>
      <c r="B8" s="229" t="s">
        <v>1565</v>
      </c>
      <c r="C8" s="190" t="s">
        <v>1575</v>
      </c>
      <c r="D8" s="53"/>
      <c r="E8" s="198">
        <f>SUM(E9:E12)</f>
        <v>28</v>
      </c>
      <c r="F8" s="198">
        <f>SUM(F9:F12)</f>
        <v>28</v>
      </c>
      <c r="G8" s="198">
        <f>SUM(G9:G12)</f>
        <v>24</v>
      </c>
      <c r="H8" s="198">
        <f>SUM(H9:H12)</f>
        <v>22</v>
      </c>
      <c r="I8" s="198">
        <f>SUM(I9:I12)</f>
        <v>22</v>
      </c>
    </row>
    <row r="9" spans="1:9">
      <c r="A9" s="47"/>
      <c r="B9" s="21"/>
      <c r="C9" s="21"/>
      <c r="D9" s="232" t="s">
        <v>1579</v>
      </c>
      <c r="E9" s="629" t="s">
        <v>1509</v>
      </c>
      <c r="F9" s="629" t="s">
        <v>1509</v>
      </c>
      <c r="G9" s="629" t="s">
        <v>1509</v>
      </c>
      <c r="H9" s="1258" t="s">
        <v>1509</v>
      </c>
      <c r="I9" s="1258" t="s">
        <v>1509</v>
      </c>
    </row>
    <row r="10" spans="1:9">
      <c r="A10" s="47"/>
      <c r="B10" s="21"/>
      <c r="C10" s="21"/>
      <c r="D10" s="232" t="s">
        <v>318</v>
      </c>
      <c r="E10" s="629" t="s">
        <v>1509</v>
      </c>
      <c r="F10" s="629" t="s">
        <v>1509</v>
      </c>
      <c r="G10" s="629" t="s">
        <v>1509</v>
      </c>
      <c r="H10" s="1258" t="s">
        <v>1509</v>
      </c>
      <c r="I10" s="1258" t="s">
        <v>1509</v>
      </c>
    </row>
    <row r="11" spans="1:9">
      <c r="A11" s="47"/>
      <c r="B11" s="21"/>
      <c r="C11" s="21"/>
      <c r="D11" s="232" t="s">
        <v>1580</v>
      </c>
      <c r="E11" s="84">
        <v>28</v>
      </c>
      <c r="F11" s="84">
        <v>28</v>
      </c>
      <c r="G11" s="84">
        <v>24</v>
      </c>
      <c r="H11" s="84">
        <v>22</v>
      </c>
      <c r="I11" s="84">
        <v>22</v>
      </c>
    </row>
    <row r="12" spans="1:9">
      <c r="A12" s="47"/>
      <c r="B12" s="21"/>
      <c r="C12" s="21"/>
      <c r="D12" s="177" t="s">
        <v>93</v>
      </c>
      <c r="E12" s="629" t="s">
        <v>1509</v>
      </c>
      <c r="F12" s="629" t="s">
        <v>1509</v>
      </c>
      <c r="G12" s="629" t="s">
        <v>1509</v>
      </c>
      <c r="H12" s="1258" t="s">
        <v>1509</v>
      </c>
      <c r="I12" s="1258" t="s">
        <v>1509</v>
      </c>
    </row>
    <row r="13" spans="1:9">
      <c r="A13" s="47"/>
      <c r="B13" s="229" t="s">
        <v>1563</v>
      </c>
      <c r="C13" s="190" t="s">
        <v>1581</v>
      </c>
      <c r="D13" s="53"/>
      <c r="E13" s="198">
        <f>SUM(E14:E15)</f>
        <v>30</v>
      </c>
      <c r="F13" s="198">
        <f>SUM(F14:F15)</f>
        <v>30</v>
      </c>
      <c r="G13" s="198">
        <f>SUM(G14:G15)</f>
        <v>24</v>
      </c>
      <c r="H13" s="198">
        <f>SUM(H14:H15)</f>
        <v>24</v>
      </c>
      <c r="I13" s="198">
        <f>SUM(I14:I15)</f>
        <v>20</v>
      </c>
    </row>
    <row r="14" spans="1:9" ht="13.5" customHeight="1">
      <c r="A14" s="47"/>
      <c r="B14" s="21"/>
      <c r="C14" s="21"/>
      <c r="D14" s="233" t="s">
        <v>1582</v>
      </c>
      <c r="E14" s="84">
        <v>16</v>
      </c>
      <c r="F14" s="84">
        <v>16</v>
      </c>
      <c r="G14" s="84">
        <v>10</v>
      </c>
      <c r="H14" s="84">
        <v>11</v>
      </c>
      <c r="I14" s="84">
        <v>9</v>
      </c>
    </row>
    <row r="15" spans="1:9">
      <c r="A15" s="47"/>
      <c r="B15" s="21"/>
      <c r="C15" s="21"/>
      <c r="D15" s="232" t="s">
        <v>1583</v>
      </c>
      <c r="E15" s="84">
        <v>14</v>
      </c>
      <c r="F15" s="84">
        <v>14</v>
      </c>
      <c r="G15" s="84">
        <v>14</v>
      </c>
      <c r="H15" s="84">
        <v>13</v>
      </c>
      <c r="I15" s="84">
        <v>11</v>
      </c>
    </row>
    <row r="16" spans="1:9" ht="26.25" customHeight="1">
      <c r="A16" s="47"/>
      <c r="B16" s="230" t="s">
        <v>1564</v>
      </c>
      <c r="C16" s="1617" t="s">
        <v>29</v>
      </c>
      <c r="D16" s="1618"/>
      <c r="E16" s="762">
        <v>3</v>
      </c>
      <c r="F16" s="762">
        <v>3</v>
      </c>
      <c r="G16" s="349">
        <v>3</v>
      </c>
      <c r="H16" s="349">
        <v>3</v>
      </c>
      <c r="I16" s="349">
        <v>4</v>
      </c>
    </row>
    <row r="17" spans="1:9">
      <c r="A17" s="231">
        <v>2</v>
      </c>
      <c r="B17" s="1571" t="s">
        <v>856</v>
      </c>
      <c r="C17" s="1571"/>
      <c r="D17" s="1572"/>
      <c r="E17" s="201">
        <f>SUM(E18,E25,E28)</f>
        <v>95</v>
      </c>
      <c r="F17" s="201">
        <f>SUM(F18,F25,F28)</f>
        <v>202</v>
      </c>
      <c r="G17" s="201">
        <f>SUM(G18,G25,G28)</f>
        <v>252</v>
      </c>
      <c r="H17" s="201">
        <f>SUM(H18,H25,H28)</f>
        <v>333</v>
      </c>
      <c r="I17" s="201">
        <f>SUM(I18,I25,I28)</f>
        <v>382</v>
      </c>
    </row>
    <row r="18" spans="1:9">
      <c r="A18" s="47"/>
      <c r="B18" s="229" t="s">
        <v>1565</v>
      </c>
      <c r="C18" s="190" t="s">
        <v>1584</v>
      </c>
      <c r="D18" s="53"/>
      <c r="E18" s="198">
        <f>SUM(E19:E24)</f>
        <v>88</v>
      </c>
      <c r="F18" s="198">
        <f>SUM(F19:F24)</f>
        <v>195</v>
      </c>
      <c r="G18" s="198">
        <f>SUM(G19:G24)</f>
        <v>195</v>
      </c>
      <c r="H18" s="198">
        <f>SUM(H19:H24)</f>
        <v>245</v>
      </c>
      <c r="I18" s="198">
        <f>SUM(I19:I24)</f>
        <v>273</v>
      </c>
    </row>
    <row r="19" spans="1:9" ht="12.75" customHeight="1">
      <c r="A19" s="47"/>
      <c r="B19" s="21"/>
      <c r="C19" s="21"/>
      <c r="D19" s="233" t="s">
        <v>1297</v>
      </c>
      <c r="E19" s="629" t="s">
        <v>1509</v>
      </c>
      <c r="F19" s="629">
        <v>110</v>
      </c>
      <c r="G19" s="629">
        <v>111</v>
      </c>
      <c r="H19" s="629">
        <v>153</v>
      </c>
      <c r="I19" s="629">
        <v>164</v>
      </c>
    </row>
    <row r="20" spans="1:9">
      <c r="A20" s="47"/>
      <c r="B20" s="21"/>
      <c r="C20" s="21"/>
      <c r="D20" s="232" t="s">
        <v>413</v>
      </c>
      <c r="E20" s="84">
        <v>65</v>
      </c>
      <c r="F20" s="84">
        <v>64</v>
      </c>
      <c r="G20" s="84">
        <v>62</v>
      </c>
      <c r="H20" s="84">
        <v>67</v>
      </c>
      <c r="I20" s="84">
        <v>67</v>
      </c>
    </row>
    <row r="21" spans="1:9">
      <c r="A21" s="47"/>
      <c r="B21" s="21"/>
      <c r="C21" s="21"/>
      <c r="D21" s="232" t="s">
        <v>412</v>
      </c>
      <c r="E21" s="629" t="s">
        <v>1509</v>
      </c>
      <c r="F21" s="629" t="s">
        <v>1509</v>
      </c>
      <c r="G21" s="629" t="s">
        <v>1509</v>
      </c>
      <c r="H21" s="1258" t="s">
        <v>1509</v>
      </c>
      <c r="I21" s="1258" t="s">
        <v>1509</v>
      </c>
    </row>
    <row r="22" spans="1:9">
      <c r="A22" s="47"/>
      <c r="B22" s="21"/>
      <c r="C22" s="21"/>
      <c r="D22" s="232" t="s">
        <v>411</v>
      </c>
      <c r="E22" s="84">
        <v>23</v>
      </c>
      <c r="F22" s="84">
        <v>21</v>
      </c>
      <c r="G22" s="84">
        <v>22</v>
      </c>
      <c r="H22" s="84">
        <v>25</v>
      </c>
      <c r="I22" s="84">
        <v>42</v>
      </c>
    </row>
    <row r="23" spans="1:9">
      <c r="A23" s="47"/>
      <c r="B23" s="21"/>
      <c r="C23" s="21"/>
      <c r="D23" s="232" t="s">
        <v>1585</v>
      </c>
      <c r="E23" s="629" t="s">
        <v>1509</v>
      </c>
      <c r="F23" s="629" t="s">
        <v>1509</v>
      </c>
      <c r="G23" s="629" t="s">
        <v>1509</v>
      </c>
      <c r="H23" s="1258" t="s">
        <v>1509</v>
      </c>
      <c r="I23" s="1258" t="s">
        <v>1509</v>
      </c>
    </row>
    <row r="24" spans="1:9" ht="27" customHeight="1">
      <c r="A24" s="47"/>
      <c r="B24" s="21"/>
      <c r="C24" s="21"/>
      <c r="D24" s="233" t="s">
        <v>987</v>
      </c>
      <c r="E24" s="534" t="s">
        <v>1509</v>
      </c>
      <c r="F24" s="534" t="s">
        <v>1509</v>
      </c>
      <c r="G24" s="534" t="s">
        <v>1509</v>
      </c>
      <c r="H24" s="132" t="s">
        <v>1509</v>
      </c>
      <c r="I24" s="132" t="s">
        <v>1509</v>
      </c>
    </row>
    <row r="25" spans="1:9">
      <c r="A25" s="47"/>
      <c r="B25" s="229" t="s">
        <v>1563</v>
      </c>
      <c r="C25" s="190" t="s">
        <v>1586</v>
      </c>
      <c r="D25" s="53"/>
      <c r="E25" s="198">
        <f>SUM(E26:E27)</f>
        <v>7</v>
      </c>
      <c r="F25" s="198">
        <f>SUM(F26:F27)</f>
        <v>7</v>
      </c>
      <c r="G25" s="198">
        <f>SUM(G26:G27)</f>
        <v>57</v>
      </c>
      <c r="H25" s="1277">
        <f>SUM(H26:H27)</f>
        <v>88</v>
      </c>
      <c r="I25" s="1277">
        <f>SUM(I26:I27)</f>
        <v>109</v>
      </c>
    </row>
    <row r="26" spans="1:9">
      <c r="A26" s="47"/>
      <c r="B26" s="21"/>
      <c r="C26" s="21"/>
      <c r="D26" s="232" t="s">
        <v>414</v>
      </c>
      <c r="E26" s="84">
        <v>7</v>
      </c>
      <c r="F26" s="84">
        <v>7</v>
      </c>
      <c r="G26" s="84">
        <v>57</v>
      </c>
      <c r="H26" s="84">
        <v>88</v>
      </c>
      <c r="I26" s="84">
        <v>109</v>
      </c>
    </row>
    <row r="27" spans="1:9">
      <c r="A27" s="47"/>
      <c r="B27" s="21"/>
      <c r="C27" s="21"/>
      <c r="D27" s="232" t="s">
        <v>1587</v>
      </c>
      <c r="E27" s="629" t="s">
        <v>1509</v>
      </c>
      <c r="F27" s="629" t="s">
        <v>1509</v>
      </c>
      <c r="G27" s="629" t="s">
        <v>1509</v>
      </c>
      <c r="H27" s="1258" t="s">
        <v>1509</v>
      </c>
      <c r="I27" s="1258" t="s">
        <v>1509</v>
      </c>
    </row>
    <row r="28" spans="1:9">
      <c r="A28" s="47"/>
      <c r="B28" s="229" t="s">
        <v>1564</v>
      </c>
      <c r="C28" s="190" t="s">
        <v>965</v>
      </c>
      <c r="D28" s="53"/>
      <c r="E28" s="629" t="s">
        <v>1509</v>
      </c>
      <c r="F28" s="629" t="s">
        <v>1509</v>
      </c>
      <c r="G28" s="629" t="s">
        <v>1509</v>
      </c>
      <c r="H28" s="1258" t="s">
        <v>1509</v>
      </c>
      <c r="I28" s="1258" t="s">
        <v>1509</v>
      </c>
    </row>
    <row r="29" spans="1:9">
      <c r="A29" s="47"/>
      <c r="B29" s="21"/>
      <c r="C29" s="21"/>
      <c r="D29" s="232" t="s">
        <v>1588</v>
      </c>
      <c r="E29" s="629" t="s">
        <v>1509</v>
      </c>
      <c r="F29" s="629" t="s">
        <v>1509</v>
      </c>
      <c r="G29" s="629" t="s">
        <v>1509</v>
      </c>
      <c r="H29" s="1258" t="s">
        <v>1509</v>
      </c>
      <c r="I29" s="1258" t="s">
        <v>1509</v>
      </c>
    </row>
    <row r="30" spans="1:9">
      <c r="A30" s="47"/>
      <c r="B30" s="21"/>
      <c r="C30" s="21"/>
      <c r="D30" s="232" t="s">
        <v>1589</v>
      </c>
      <c r="E30" s="629" t="s">
        <v>1509</v>
      </c>
      <c r="F30" s="629" t="s">
        <v>1509</v>
      </c>
      <c r="G30" s="629" t="s">
        <v>1509</v>
      </c>
      <c r="H30" s="1258" t="s">
        <v>1509</v>
      </c>
      <c r="I30" s="1258" t="s">
        <v>1509</v>
      </c>
    </row>
    <row r="31" spans="1:9">
      <c r="A31" s="47"/>
      <c r="B31" s="21"/>
      <c r="C31" s="21"/>
      <c r="D31" s="232" t="s">
        <v>1656</v>
      </c>
      <c r="E31" s="629" t="s">
        <v>1509</v>
      </c>
      <c r="F31" s="629" t="s">
        <v>1509</v>
      </c>
      <c r="G31" s="629" t="s">
        <v>1509</v>
      </c>
      <c r="H31" s="1258" t="s">
        <v>1509</v>
      </c>
      <c r="I31" s="1258" t="s">
        <v>1509</v>
      </c>
    </row>
    <row r="32" spans="1:9">
      <c r="A32" s="47"/>
      <c r="B32" s="21"/>
      <c r="C32" s="21"/>
      <c r="D32" s="232" t="s">
        <v>1653</v>
      </c>
      <c r="E32" s="629" t="s">
        <v>1509</v>
      </c>
      <c r="F32" s="629" t="s">
        <v>1509</v>
      </c>
      <c r="G32" s="629" t="s">
        <v>1509</v>
      </c>
      <c r="H32" s="1258" t="s">
        <v>1509</v>
      </c>
      <c r="I32" s="1258" t="s">
        <v>1509</v>
      </c>
    </row>
    <row r="33" spans="1:9">
      <c r="A33" s="47"/>
      <c r="B33" s="21"/>
      <c r="C33" s="21"/>
      <c r="D33" s="232" t="s">
        <v>1655</v>
      </c>
      <c r="E33" s="629" t="s">
        <v>1509</v>
      </c>
      <c r="F33" s="629" t="s">
        <v>1509</v>
      </c>
      <c r="G33" s="629" t="s">
        <v>1509</v>
      </c>
      <c r="H33" s="1258" t="s">
        <v>1509</v>
      </c>
      <c r="I33" s="1258" t="s">
        <v>1509</v>
      </c>
    </row>
    <row r="34" spans="1:9">
      <c r="A34" s="231">
        <v>3</v>
      </c>
      <c r="B34" s="1557" t="s">
        <v>920</v>
      </c>
      <c r="C34" s="1557"/>
      <c r="D34" s="1558"/>
      <c r="E34" s="1044" t="s">
        <v>1509</v>
      </c>
      <c r="F34" s="1044" t="s">
        <v>1509</v>
      </c>
      <c r="G34" s="814" t="s">
        <v>1509</v>
      </c>
      <c r="H34" s="1257" t="s">
        <v>1509</v>
      </c>
      <c r="I34" s="1257" t="s">
        <v>1509</v>
      </c>
    </row>
    <row r="35" spans="1:9">
      <c r="A35" s="42"/>
      <c r="B35" s="1621" t="s">
        <v>1233</v>
      </c>
      <c r="C35" s="1621"/>
      <c r="D35" s="1345"/>
      <c r="E35" s="161">
        <f>SUM(E7,E17,E34)</f>
        <v>156</v>
      </c>
      <c r="F35" s="161">
        <f>SUM(F7,F17,F34)</f>
        <v>263</v>
      </c>
      <c r="G35" s="161">
        <f>SUM(G7,G17,G34)</f>
        <v>303</v>
      </c>
      <c r="H35" s="1288">
        <f>SUM(H7,H17,H34)</f>
        <v>382</v>
      </c>
      <c r="I35" s="1288">
        <f>SUM(I7,I17,I34)</f>
        <v>428</v>
      </c>
    </row>
    <row r="36" spans="1:9">
      <c r="A36" s="51"/>
      <c r="B36" s="51"/>
      <c r="C36" s="51"/>
      <c r="D36" s="51"/>
      <c r="E36" s="51"/>
      <c r="F36" s="185"/>
      <c r="H36" s="573"/>
      <c r="I36" s="927" t="str">
        <f>CONCATENATE("Source : Heads of all Technical and Professional Institutions, ",District!A1)</f>
        <v>Source : Heads of all Technical and Professional Institutions, Malda</v>
      </c>
    </row>
    <row r="37" spans="1:9">
      <c r="A37" s="51"/>
      <c r="B37" s="51"/>
      <c r="C37" s="51"/>
      <c r="D37" s="51"/>
      <c r="E37" s="51"/>
      <c r="F37" s="139"/>
      <c r="G37" s="348"/>
      <c r="H37" s="348"/>
      <c r="I37" s="348"/>
    </row>
    <row r="38" spans="1:9">
      <c r="A38" s="51"/>
      <c r="B38" s="51"/>
      <c r="C38" s="51"/>
      <c r="D38" s="51"/>
      <c r="E38" s="51"/>
      <c r="F38" s="51"/>
      <c r="G38" s="51"/>
      <c r="H38" s="51"/>
      <c r="I38" s="51"/>
    </row>
    <row r="39" spans="1:9">
      <c r="A39" s="51"/>
      <c r="B39" s="51"/>
      <c r="C39" s="51"/>
      <c r="D39" s="51"/>
      <c r="E39" s="51"/>
      <c r="F39" s="51"/>
      <c r="G39" s="51"/>
      <c r="H39" s="51"/>
      <c r="I39" s="51"/>
    </row>
    <row r="40" spans="1:9">
      <c r="A40" s="51"/>
      <c r="B40" s="51"/>
      <c r="C40" s="51"/>
      <c r="D40" s="51"/>
      <c r="E40" s="51"/>
      <c r="F40" s="51"/>
      <c r="G40" s="51"/>
      <c r="H40" s="51"/>
      <c r="I40" s="51"/>
    </row>
    <row r="41" spans="1:9">
      <c r="A41" s="51"/>
      <c r="B41" s="51"/>
      <c r="C41" s="51"/>
      <c r="D41" s="51"/>
      <c r="E41" s="51"/>
      <c r="F41" s="51"/>
      <c r="G41" s="51"/>
      <c r="H41" s="51"/>
      <c r="I41" s="51"/>
    </row>
    <row r="42" spans="1:9">
      <c r="A42" s="51"/>
      <c r="B42" s="51"/>
      <c r="C42" s="51"/>
      <c r="D42" s="51"/>
      <c r="E42" s="51"/>
      <c r="F42" s="51"/>
      <c r="G42" s="51"/>
      <c r="H42" s="51"/>
      <c r="I42" s="51"/>
    </row>
    <row r="43" spans="1:9">
      <c r="A43" s="51"/>
      <c r="B43" s="51"/>
      <c r="C43" s="51"/>
      <c r="D43" s="51"/>
      <c r="E43" s="51"/>
      <c r="F43" s="51"/>
      <c r="G43" s="51"/>
      <c r="H43" s="51"/>
      <c r="I43" s="51"/>
    </row>
    <row r="44" spans="1:9">
      <c r="A44" s="51"/>
      <c r="B44" s="51"/>
      <c r="C44" s="51"/>
      <c r="D44" s="51"/>
      <c r="E44" s="51"/>
      <c r="F44" s="51"/>
      <c r="G44" s="51"/>
      <c r="H44" s="51"/>
      <c r="I44" s="51"/>
    </row>
    <row r="45" spans="1:9">
      <c r="A45" s="51"/>
      <c r="B45" s="51"/>
      <c r="C45" s="51"/>
      <c r="D45" s="51"/>
      <c r="E45" s="51"/>
      <c r="F45" s="51"/>
      <c r="G45" s="51"/>
      <c r="H45" s="51"/>
      <c r="I45" s="51"/>
    </row>
  </sheetData>
  <mergeCells count="10">
    <mergeCell ref="A1:I1"/>
    <mergeCell ref="A2:I2"/>
    <mergeCell ref="A6:D6"/>
    <mergeCell ref="B35:D35"/>
    <mergeCell ref="B7:D7"/>
    <mergeCell ref="A4:D5"/>
    <mergeCell ref="E4:I4"/>
    <mergeCell ref="C16:D16"/>
    <mergeCell ref="B17:D17"/>
    <mergeCell ref="B34:D34"/>
  </mergeCells>
  <phoneticPr fontId="0" type="noConversion"/>
  <printOptions horizontalCentered="1"/>
  <pageMargins left="0.1" right="0.1" top="0.6" bottom="0.1" header="0.6" footer="0.1"/>
  <pageSetup paperSize="9" orientation="landscape" blackAndWhite="1" horizontalDpi="4294967295" verticalDpi="180" r:id="rId1"/>
  <headerFooter alignWithMargins="0"/>
</worksheet>
</file>

<file path=xl/worksheets/sheet34.xml><?xml version="1.0" encoding="utf-8"?>
<worksheet xmlns="http://schemas.openxmlformats.org/spreadsheetml/2006/main" xmlns:r="http://schemas.openxmlformats.org/officeDocument/2006/relationships">
  <sheetPr codeName="Sheet34"/>
  <dimension ref="A1:K27"/>
  <sheetViews>
    <sheetView workbookViewId="0">
      <selection activeCell="M5" sqref="M5"/>
    </sheetView>
  </sheetViews>
  <sheetFormatPr defaultRowHeight="12.75"/>
  <cols>
    <col min="1" max="1" width="4.85546875" customWidth="1"/>
    <col min="2" max="2" width="14.140625" customWidth="1"/>
    <col min="3" max="3" width="12.28515625" customWidth="1"/>
    <col min="4" max="4" width="24.85546875" customWidth="1"/>
    <col min="5" max="9" width="14.85546875" customWidth="1"/>
  </cols>
  <sheetData>
    <row r="1" spans="1:9" ht="12.75" customHeight="1">
      <c r="A1" s="1363" t="s">
        <v>1364</v>
      </c>
      <c r="B1" s="1363"/>
      <c r="C1" s="1363"/>
      <c r="D1" s="1363"/>
      <c r="E1" s="1363"/>
      <c r="F1" s="1363"/>
      <c r="G1" s="1363"/>
      <c r="H1" s="1363"/>
      <c r="I1" s="1363"/>
    </row>
    <row r="2" spans="1:9" ht="17.25" customHeight="1">
      <c r="A2" s="1534" t="str">
        <f>CONCATENATE(" Teachers in different type of Special and Non-formal Educational Institutions in the district of ",District!A1)</f>
        <v xml:space="preserve"> Teachers in different type of Special and Non-formal Educational Institutions in the district of Malda</v>
      </c>
      <c r="B2" s="1534"/>
      <c r="C2" s="1534"/>
      <c r="D2" s="1534"/>
      <c r="E2" s="1534"/>
      <c r="F2" s="1534"/>
      <c r="G2" s="1534"/>
      <c r="H2" s="1534"/>
      <c r="I2" s="1534"/>
    </row>
    <row r="3" spans="1:9" ht="13.5" customHeight="1">
      <c r="B3" s="7"/>
      <c r="C3" s="7"/>
      <c r="D3" s="7"/>
      <c r="E3" s="4"/>
      <c r="F3" s="4"/>
      <c r="G3" s="4"/>
      <c r="H3" s="4"/>
      <c r="I3" s="159" t="s">
        <v>1253</v>
      </c>
    </row>
    <row r="4" spans="1:9" ht="15" customHeight="1">
      <c r="A4" s="1359" t="s">
        <v>1414</v>
      </c>
      <c r="B4" s="1548"/>
      <c r="C4" s="1548"/>
      <c r="D4" s="1360"/>
      <c r="E4" s="1573" t="s">
        <v>1089</v>
      </c>
      <c r="F4" s="1574"/>
      <c r="G4" s="1574"/>
      <c r="H4" s="1574"/>
      <c r="I4" s="1575"/>
    </row>
    <row r="5" spans="1:9" ht="15" customHeight="1">
      <c r="A5" s="1361"/>
      <c r="B5" s="1383"/>
      <c r="C5" s="1383"/>
      <c r="D5" s="1362"/>
      <c r="E5" s="511" t="str">
        <f>District!A10</f>
        <v>2009-10</v>
      </c>
      <c r="F5" s="511" t="str">
        <f>District!B10</f>
        <v>2010-11</v>
      </c>
      <c r="G5" s="511" t="str">
        <f>District!C10</f>
        <v>2011-12</v>
      </c>
      <c r="H5" s="511" t="str">
        <f>District!D10</f>
        <v>2012-13</v>
      </c>
      <c r="I5" s="511" t="str">
        <f>District!E10</f>
        <v>2013-14</v>
      </c>
    </row>
    <row r="6" spans="1:9" ht="15" customHeight="1">
      <c r="A6" s="1623" t="s">
        <v>1208</v>
      </c>
      <c r="B6" s="1624"/>
      <c r="C6" s="1624"/>
      <c r="D6" s="1625"/>
      <c r="E6" s="151" t="s">
        <v>1209</v>
      </c>
      <c r="F6" s="151" t="s">
        <v>1210</v>
      </c>
      <c r="G6" s="151" t="s">
        <v>1211</v>
      </c>
      <c r="H6" s="151" t="s">
        <v>1212</v>
      </c>
      <c r="I6" s="153" t="s">
        <v>1213</v>
      </c>
    </row>
    <row r="7" spans="1:9" ht="19.5" customHeight="1">
      <c r="A7" s="496">
        <v>1</v>
      </c>
      <c r="B7" s="1626" t="s">
        <v>1657</v>
      </c>
      <c r="C7" s="1626"/>
      <c r="D7" s="1627"/>
      <c r="E7" s="115">
        <v>2174</v>
      </c>
      <c r="F7" s="115">
        <v>2223</v>
      </c>
      <c r="G7" s="115">
        <v>2211</v>
      </c>
      <c r="H7" s="115">
        <v>2200</v>
      </c>
      <c r="I7" s="115">
        <v>2175</v>
      </c>
    </row>
    <row r="8" spans="1:9" ht="19.5" customHeight="1">
      <c r="A8" s="418">
        <v>2</v>
      </c>
      <c r="B8" s="1609" t="s">
        <v>56</v>
      </c>
      <c r="C8" s="1609"/>
      <c r="D8" s="1610"/>
      <c r="E8" s="116">
        <v>488</v>
      </c>
      <c r="F8" s="116">
        <v>495</v>
      </c>
      <c r="G8" s="116">
        <v>495</v>
      </c>
      <c r="H8" s="116">
        <v>495</v>
      </c>
      <c r="I8" s="116">
        <v>491</v>
      </c>
    </row>
    <row r="9" spans="1:9" ht="19.5" customHeight="1">
      <c r="A9" s="418">
        <v>3</v>
      </c>
      <c r="B9" s="1609" t="s">
        <v>1658</v>
      </c>
      <c r="C9" s="1609"/>
      <c r="D9" s="1610"/>
      <c r="E9" s="534" t="s">
        <v>1509</v>
      </c>
      <c r="F9" s="534" t="s">
        <v>1509</v>
      </c>
      <c r="G9" s="116" t="s">
        <v>1509</v>
      </c>
      <c r="H9" s="132" t="s">
        <v>1509</v>
      </c>
      <c r="I9" s="132" t="s">
        <v>1509</v>
      </c>
    </row>
    <row r="10" spans="1:9" ht="19.5" customHeight="1">
      <c r="A10" s="418">
        <v>4</v>
      </c>
      <c r="B10" s="1609" t="s">
        <v>1328</v>
      </c>
      <c r="C10" s="1609"/>
      <c r="D10" s="1610"/>
      <c r="E10" s="132" t="s">
        <v>1183</v>
      </c>
      <c r="F10" s="132" t="s">
        <v>1183</v>
      </c>
      <c r="G10" s="849" t="s">
        <v>1509</v>
      </c>
      <c r="H10" s="132" t="s">
        <v>1183</v>
      </c>
      <c r="I10" s="132">
        <v>13</v>
      </c>
    </row>
    <row r="11" spans="1:9" ht="19.5" customHeight="1">
      <c r="A11" s="418">
        <v>5</v>
      </c>
      <c r="B11" s="1609" t="s">
        <v>1662</v>
      </c>
      <c r="C11" s="1609"/>
      <c r="D11" s="1610"/>
      <c r="E11" s="534" t="s">
        <v>1509</v>
      </c>
      <c r="F11" s="534" t="s">
        <v>1509</v>
      </c>
      <c r="G11" s="116" t="s">
        <v>1509</v>
      </c>
      <c r="H11" s="132" t="s">
        <v>1509</v>
      </c>
      <c r="I11" s="132" t="s">
        <v>1509</v>
      </c>
    </row>
    <row r="12" spans="1:9" ht="19.5" customHeight="1">
      <c r="A12" s="418">
        <v>6</v>
      </c>
      <c r="B12" s="1609" t="s">
        <v>1659</v>
      </c>
      <c r="C12" s="1609"/>
      <c r="D12" s="1610"/>
      <c r="E12" s="534" t="s">
        <v>1509</v>
      </c>
      <c r="F12" s="534" t="s">
        <v>1509</v>
      </c>
      <c r="G12" s="116" t="s">
        <v>1509</v>
      </c>
      <c r="H12" s="132" t="s">
        <v>1509</v>
      </c>
      <c r="I12" s="132" t="s">
        <v>1509</v>
      </c>
    </row>
    <row r="13" spans="1:9" ht="27" customHeight="1">
      <c r="A13" s="225">
        <v>7</v>
      </c>
      <c r="B13" s="1605" t="s">
        <v>1329</v>
      </c>
      <c r="C13" s="1605"/>
      <c r="D13" s="1606"/>
      <c r="E13" s="116">
        <v>88</v>
      </c>
      <c r="F13" s="116">
        <v>99</v>
      </c>
      <c r="G13" s="116">
        <v>98</v>
      </c>
      <c r="H13" s="116">
        <v>89</v>
      </c>
      <c r="I13" s="116">
        <v>89</v>
      </c>
    </row>
    <row r="14" spans="1:9" ht="19.5" customHeight="1">
      <c r="A14" s="418">
        <v>8</v>
      </c>
      <c r="B14" s="1609" t="s">
        <v>1660</v>
      </c>
      <c r="C14" s="1609"/>
      <c r="D14" s="1610"/>
      <c r="E14" s="534" t="s">
        <v>1509</v>
      </c>
      <c r="F14" s="534" t="s">
        <v>1509</v>
      </c>
      <c r="G14" s="116" t="s">
        <v>1509</v>
      </c>
      <c r="H14" s="132" t="s">
        <v>1509</v>
      </c>
      <c r="I14" s="132" t="s">
        <v>1509</v>
      </c>
    </row>
    <row r="15" spans="1:9" ht="19.5" customHeight="1">
      <c r="A15" s="418">
        <v>9</v>
      </c>
      <c r="B15" s="1609" t="s">
        <v>1661</v>
      </c>
      <c r="C15" s="1609"/>
      <c r="D15" s="1610"/>
      <c r="E15" s="116">
        <v>4866</v>
      </c>
      <c r="F15" s="116">
        <v>4881</v>
      </c>
      <c r="G15" s="116">
        <v>5504</v>
      </c>
      <c r="H15" s="116">
        <v>5468</v>
      </c>
      <c r="I15" s="116">
        <v>5330</v>
      </c>
    </row>
    <row r="16" spans="1:9" ht="19.5" customHeight="1">
      <c r="A16" s="418">
        <v>10</v>
      </c>
      <c r="B16" s="1609" t="s">
        <v>1531</v>
      </c>
      <c r="C16" s="1609"/>
      <c r="D16" s="1610"/>
      <c r="E16" s="132" t="s">
        <v>1183</v>
      </c>
      <c r="F16" s="132" t="s">
        <v>1183</v>
      </c>
      <c r="G16" s="849" t="s">
        <v>1509</v>
      </c>
      <c r="H16" s="849" t="s">
        <v>1183</v>
      </c>
      <c r="I16" s="849" t="s">
        <v>1183</v>
      </c>
    </row>
    <row r="17" spans="1:11" ht="40.5" customHeight="1">
      <c r="A17" s="225">
        <v>11</v>
      </c>
      <c r="B17" s="1605" t="s">
        <v>30</v>
      </c>
      <c r="C17" s="1605"/>
      <c r="D17" s="1606"/>
      <c r="E17" s="116">
        <v>2</v>
      </c>
      <c r="F17" s="116">
        <v>2</v>
      </c>
      <c r="G17" s="116">
        <v>2</v>
      </c>
      <c r="H17" s="116">
        <v>2</v>
      </c>
      <c r="I17" s="116">
        <v>2</v>
      </c>
    </row>
    <row r="18" spans="1:11" ht="19.5" customHeight="1">
      <c r="A18" s="495">
        <v>12</v>
      </c>
      <c r="B18" s="1607" t="s">
        <v>1490</v>
      </c>
      <c r="C18" s="1607"/>
      <c r="D18" s="1608"/>
      <c r="E18" s="534" t="s">
        <v>1509</v>
      </c>
      <c r="F18" s="534" t="s">
        <v>1509</v>
      </c>
      <c r="G18" s="116" t="s">
        <v>1509</v>
      </c>
      <c r="H18" s="132" t="s">
        <v>1509</v>
      </c>
      <c r="I18" s="132" t="s">
        <v>1509</v>
      </c>
    </row>
    <row r="19" spans="1:11" ht="19.5" customHeight="1">
      <c r="A19" s="1344" t="s">
        <v>1233</v>
      </c>
      <c r="B19" s="1621"/>
      <c r="C19" s="1621"/>
      <c r="D19" s="1345"/>
      <c r="E19" s="183">
        <f>SUM(E7:E18)</f>
        <v>7618</v>
      </c>
      <c r="F19" s="183">
        <f>SUM(F7:F18)</f>
        <v>7700</v>
      </c>
      <c r="G19" s="183">
        <f>SUM(G7:G18)</f>
        <v>8310</v>
      </c>
      <c r="H19" s="183">
        <f>SUM(H7:H18)</f>
        <v>8254</v>
      </c>
      <c r="I19" s="183">
        <f>SUM(I7:I18)</f>
        <v>8100</v>
      </c>
    </row>
    <row r="20" spans="1:11" ht="23.25" customHeight="1">
      <c r="F20" s="928" t="s">
        <v>947</v>
      </c>
      <c r="G20" s="1622" t="s">
        <v>28</v>
      </c>
      <c r="H20" s="1622"/>
      <c r="I20" s="1622"/>
      <c r="J20" s="676"/>
      <c r="K20" s="676"/>
    </row>
    <row r="21" spans="1:11">
      <c r="F21" s="847" t="s">
        <v>948</v>
      </c>
      <c r="G21" s="929" t="s">
        <v>960</v>
      </c>
      <c r="H21" s="25"/>
      <c r="I21" s="25"/>
      <c r="J21" s="186"/>
      <c r="K21" s="186"/>
    </row>
    <row r="22" spans="1:11">
      <c r="F22" s="847" t="s">
        <v>955</v>
      </c>
      <c r="G22" s="917" t="s">
        <v>961</v>
      </c>
      <c r="H22" s="920"/>
      <c r="I22" s="25"/>
      <c r="J22" s="186"/>
      <c r="K22" s="186"/>
    </row>
    <row r="23" spans="1:11">
      <c r="F23" s="847" t="s">
        <v>951</v>
      </c>
      <c r="G23" s="917" t="s">
        <v>962</v>
      </c>
      <c r="H23" s="920"/>
      <c r="I23" s="25"/>
      <c r="J23" s="139"/>
      <c r="K23" s="139"/>
    </row>
    <row r="24" spans="1:11">
      <c r="F24" s="847" t="s">
        <v>952</v>
      </c>
      <c r="G24" s="917" t="s">
        <v>963</v>
      </c>
      <c r="H24" s="25"/>
      <c r="I24" s="25"/>
      <c r="J24" s="139"/>
      <c r="K24" s="139"/>
    </row>
    <row r="25" spans="1:11" ht="12.75" customHeight="1">
      <c r="F25" s="908" t="s">
        <v>953</v>
      </c>
      <c r="G25" s="1538" t="s">
        <v>26</v>
      </c>
      <c r="H25" s="1539"/>
      <c r="I25" s="1539"/>
      <c r="J25" s="186"/>
      <c r="K25" s="186"/>
    </row>
    <row r="26" spans="1:11">
      <c r="F26" s="847" t="s">
        <v>954</v>
      </c>
      <c r="G26" s="917" t="s">
        <v>27</v>
      </c>
      <c r="H26" s="25"/>
      <c r="I26" s="25"/>
      <c r="J26" s="186"/>
      <c r="K26" s="186"/>
    </row>
    <row r="27" spans="1:11">
      <c r="F27" s="847" t="s">
        <v>959</v>
      </c>
      <c r="G27" s="917" t="s">
        <v>964</v>
      </c>
      <c r="H27" s="25"/>
      <c r="I27" s="25"/>
    </row>
  </sheetData>
  <mergeCells count="20">
    <mergeCell ref="G20:I20"/>
    <mergeCell ref="A2:I2"/>
    <mergeCell ref="A6:D6"/>
    <mergeCell ref="A1:I1"/>
    <mergeCell ref="B9:D9"/>
    <mergeCell ref="A4:D5"/>
    <mergeCell ref="E4:I4"/>
    <mergeCell ref="B8:D8"/>
    <mergeCell ref="B12:D12"/>
    <mergeCell ref="B7:D7"/>
    <mergeCell ref="G25:I25"/>
    <mergeCell ref="B10:D10"/>
    <mergeCell ref="B11:D11"/>
    <mergeCell ref="A19:D19"/>
    <mergeCell ref="B18:D18"/>
    <mergeCell ref="B13:D13"/>
    <mergeCell ref="B14:D14"/>
    <mergeCell ref="B15:D15"/>
    <mergeCell ref="B17:D17"/>
    <mergeCell ref="B16:D16"/>
  </mergeCells>
  <phoneticPr fontId="0" type="noConversion"/>
  <conditionalFormatting sqref="A1:XFD1048576">
    <cfRule type="cellIs" dxfId="14" priority="1" stopIfTrue="1" operator="equal">
      <formula>".."</formula>
    </cfRule>
  </conditionalFormatting>
  <printOptions horizontalCentered="1"/>
  <pageMargins left="0.1" right="0.1" top="0.91" bottom="0.26" header="0.7" footer="0.1"/>
  <pageSetup paperSize="9" orientation="landscape" blackAndWhite="1" horizontalDpi="4294967295" verticalDpi="180" r:id="rId1"/>
  <headerFooter alignWithMargins="0"/>
</worksheet>
</file>

<file path=xl/worksheets/sheet35.xml><?xml version="1.0" encoding="utf-8"?>
<worksheet xmlns="http://schemas.openxmlformats.org/spreadsheetml/2006/main" xmlns:r="http://schemas.openxmlformats.org/officeDocument/2006/relationships">
  <sheetPr codeName="Sheet93"/>
  <dimension ref="A1:AB27"/>
  <sheetViews>
    <sheetView workbookViewId="0">
      <selection activeCell="M5" sqref="M5"/>
    </sheetView>
  </sheetViews>
  <sheetFormatPr defaultRowHeight="12.75"/>
  <cols>
    <col min="1" max="1" width="21.85546875" style="11" customWidth="1"/>
    <col min="2" max="2" width="10.140625" style="11" customWidth="1"/>
    <col min="3" max="4" width="9.140625" style="11"/>
    <col min="5" max="5" width="10" style="11" customWidth="1"/>
    <col min="6" max="7" width="9.140625" style="11"/>
    <col min="8" max="8" width="10" style="11" customWidth="1"/>
    <col min="9" max="10" width="9.140625" style="11"/>
    <col min="11" max="11" width="10" style="11" customWidth="1"/>
    <col min="12" max="13" width="9.140625" style="11"/>
    <col min="14" max="14" width="2" style="11" customWidth="1"/>
    <col min="15" max="15" width="22.140625" style="11" customWidth="1"/>
    <col min="16" max="16" width="11.42578125" style="11" customWidth="1"/>
    <col min="17" max="17" width="11" style="11" customWidth="1"/>
    <col min="18" max="18" width="10.5703125" style="11" customWidth="1"/>
    <col min="19" max="19" width="11.28515625" style="11" customWidth="1"/>
    <col min="20" max="20" width="10.140625" style="11" customWidth="1"/>
    <col min="21" max="21" width="9.7109375" style="11" customWidth="1"/>
    <col min="22" max="22" width="10.5703125" style="11" customWidth="1"/>
    <col min="23" max="23" width="10.28515625" style="11" customWidth="1"/>
    <col min="24" max="24" width="10" style="11" customWidth="1"/>
    <col min="25" max="16384" width="9.140625" style="11"/>
  </cols>
  <sheetData>
    <row r="1" spans="1:28" ht="12.75" customHeight="1">
      <c r="A1" s="1628" t="s">
        <v>1365</v>
      </c>
      <c r="B1" s="1628"/>
      <c r="C1" s="1628"/>
      <c r="D1" s="1628"/>
      <c r="E1" s="1628"/>
      <c r="F1" s="1628"/>
      <c r="G1" s="1628"/>
      <c r="H1" s="1628"/>
      <c r="I1" s="1628"/>
      <c r="J1" s="1628"/>
      <c r="K1" s="1628"/>
      <c r="L1" s="1628"/>
      <c r="M1" s="1628"/>
      <c r="Y1" s="538"/>
      <c r="Z1" s="538"/>
      <c r="AA1" s="538"/>
      <c r="AB1" s="538"/>
    </row>
    <row r="2" spans="1:28" ht="18" customHeight="1">
      <c r="A2" s="1629" t="str">
        <f>CONCATENATE(" Institutions, Students &amp; Teachers in the district of ",District!A1,"  for the year ", District!B3)</f>
        <v xml:space="preserve"> Institutions, Students &amp; Teachers in the district of Malda  for the year 2013-14</v>
      </c>
      <c r="B2" s="1629"/>
      <c r="C2" s="1629"/>
      <c r="D2" s="1629"/>
      <c r="E2" s="1629"/>
      <c r="F2" s="1629"/>
      <c r="G2" s="1629"/>
      <c r="H2" s="1629"/>
      <c r="I2" s="1629"/>
      <c r="J2" s="1629"/>
      <c r="K2" s="1629"/>
      <c r="L2" s="1629"/>
      <c r="M2" s="1629"/>
      <c r="N2" s="522"/>
      <c r="O2" s="1628" t="s">
        <v>1366</v>
      </c>
      <c r="P2" s="1628"/>
      <c r="Q2" s="1628"/>
      <c r="R2" s="1628"/>
      <c r="S2" s="1628"/>
      <c r="T2" s="1628"/>
      <c r="U2" s="1628"/>
      <c r="V2" s="1628"/>
      <c r="W2" s="1628"/>
      <c r="X2" s="1628"/>
    </row>
    <row r="3" spans="1:28" ht="18" customHeight="1">
      <c r="M3" s="589" t="s">
        <v>1253</v>
      </c>
      <c r="N3" s="235"/>
      <c r="O3" s="235"/>
      <c r="X3" s="589" t="s">
        <v>1253</v>
      </c>
    </row>
    <row r="4" spans="1:28" ht="28.5" customHeight="1">
      <c r="A4" s="1346" t="s">
        <v>410</v>
      </c>
      <c r="B4" s="1630" t="s">
        <v>1491</v>
      </c>
      <c r="C4" s="1630"/>
      <c r="D4" s="1390"/>
      <c r="E4" s="1630" t="s">
        <v>1492</v>
      </c>
      <c r="F4" s="1630"/>
      <c r="G4" s="1390"/>
      <c r="H4" s="1389" t="s">
        <v>1493</v>
      </c>
      <c r="I4" s="1630"/>
      <c r="J4" s="1390"/>
      <c r="K4" s="1389" t="s">
        <v>1494</v>
      </c>
      <c r="L4" s="1630"/>
      <c r="M4" s="1390"/>
      <c r="N4" s="521"/>
      <c r="O4" s="1346" t="s">
        <v>854</v>
      </c>
      <c r="P4" s="1630" t="s">
        <v>914</v>
      </c>
      <c r="Q4" s="1630"/>
      <c r="R4" s="1390"/>
      <c r="S4" s="1389" t="s">
        <v>725</v>
      </c>
      <c r="T4" s="1630"/>
      <c r="U4" s="1390"/>
      <c r="V4" s="1630" t="s">
        <v>215</v>
      </c>
      <c r="W4" s="1630"/>
      <c r="X4" s="1390"/>
    </row>
    <row r="5" spans="1:28" ht="18" customHeight="1">
      <c r="A5" s="1347"/>
      <c r="B5" s="585" t="s">
        <v>1663</v>
      </c>
      <c r="C5" s="585" t="s">
        <v>1664</v>
      </c>
      <c r="D5" s="586" t="s">
        <v>1665</v>
      </c>
      <c r="E5" s="584" t="s">
        <v>1663</v>
      </c>
      <c r="F5" s="585" t="s">
        <v>1664</v>
      </c>
      <c r="G5" s="586" t="s">
        <v>1665</v>
      </c>
      <c r="H5" s="585" t="s">
        <v>1663</v>
      </c>
      <c r="I5" s="585" t="s">
        <v>1664</v>
      </c>
      <c r="J5" s="586" t="s">
        <v>1665</v>
      </c>
      <c r="K5" s="584" t="s">
        <v>1663</v>
      </c>
      <c r="L5" s="585" t="s">
        <v>1664</v>
      </c>
      <c r="M5" s="586" t="s">
        <v>1665</v>
      </c>
      <c r="N5" s="527"/>
      <c r="O5" s="1347"/>
      <c r="P5" s="585" t="s">
        <v>1663</v>
      </c>
      <c r="Q5" s="585" t="s">
        <v>1664</v>
      </c>
      <c r="R5" s="586" t="s">
        <v>1665</v>
      </c>
      <c r="S5" s="584" t="s">
        <v>1663</v>
      </c>
      <c r="T5" s="585" t="s">
        <v>1664</v>
      </c>
      <c r="U5" s="586" t="s">
        <v>1665</v>
      </c>
      <c r="V5" s="585" t="s">
        <v>1663</v>
      </c>
      <c r="W5" s="585" t="s">
        <v>1664</v>
      </c>
      <c r="X5" s="586" t="s">
        <v>1665</v>
      </c>
    </row>
    <row r="6" spans="1:28" ht="18" customHeight="1">
      <c r="A6" s="151" t="s">
        <v>1208</v>
      </c>
      <c r="B6" s="152" t="s">
        <v>1209</v>
      </c>
      <c r="C6" s="152" t="s">
        <v>1210</v>
      </c>
      <c r="D6" s="153" t="s">
        <v>1211</v>
      </c>
      <c r="E6" s="218" t="s">
        <v>1212</v>
      </c>
      <c r="F6" s="152" t="s">
        <v>1213</v>
      </c>
      <c r="G6" s="153" t="s">
        <v>1214</v>
      </c>
      <c r="H6" s="152" t="s">
        <v>1244</v>
      </c>
      <c r="I6" s="152" t="s">
        <v>1245</v>
      </c>
      <c r="J6" s="153" t="s">
        <v>1246</v>
      </c>
      <c r="K6" s="218" t="s">
        <v>1247</v>
      </c>
      <c r="L6" s="152" t="s">
        <v>1271</v>
      </c>
      <c r="M6" s="153" t="s">
        <v>1272</v>
      </c>
      <c r="N6" s="528"/>
      <c r="O6" s="151" t="s">
        <v>1208</v>
      </c>
      <c r="P6" s="152" t="s">
        <v>1273</v>
      </c>
      <c r="Q6" s="152" t="s">
        <v>1274</v>
      </c>
      <c r="R6" s="153" t="s">
        <v>1275</v>
      </c>
      <c r="S6" s="218" t="s">
        <v>1276</v>
      </c>
      <c r="T6" s="152" t="s">
        <v>1278</v>
      </c>
      <c r="U6" s="153" t="s">
        <v>1277</v>
      </c>
      <c r="V6" s="152" t="s">
        <v>1666</v>
      </c>
      <c r="W6" s="152" t="s">
        <v>1667</v>
      </c>
      <c r="X6" s="153" t="s">
        <v>1668</v>
      </c>
    </row>
    <row r="7" spans="1:28" ht="18" customHeight="1">
      <c r="A7" s="424" t="s">
        <v>1155</v>
      </c>
      <c r="B7" s="384">
        <f t="shared" ref="B7:M7" si="0">SUM(B8:B13)</f>
        <v>608</v>
      </c>
      <c r="C7" s="384">
        <f t="shared" si="0"/>
        <v>130248</v>
      </c>
      <c r="D7" s="403">
        <f t="shared" si="0"/>
        <v>1642</v>
      </c>
      <c r="E7" s="383">
        <f t="shared" si="0"/>
        <v>69</v>
      </c>
      <c r="F7" s="384">
        <f t="shared" si="0"/>
        <v>14113</v>
      </c>
      <c r="G7" s="403">
        <f t="shared" si="0"/>
        <v>198</v>
      </c>
      <c r="H7" s="384">
        <f t="shared" si="0"/>
        <v>54</v>
      </c>
      <c r="I7" s="384">
        <f t="shared" si="0"/>
        <v>84638</v>
      </c>
      <c r="J7" s="1278">
        <f t="shared" si="0"/>
        <v>1042</v>
      </c>
      <c r="K7" s="383">
        <f t="shared" si="0"/>
        <v>65</v>
      </c>
      <c r="L7" s="1278">
        <f t="shared" si="0"/>
        <v>122173</v>
      </c>
      <c r="M7" s="1281">
        <f t="shared" si="0"/>
        <v>1366</v>
      </c>
      <c r="N7" s="384"/>
      <c r="O7" s="424" t="s">
        <v>1155</v>
      </c>
      <c r="P7" s="384">
        <f t="shared" ref="P7:X7" si="1">SUM(P8:P13)</f>
        <v>3</v>
      </c>
      <c r="Q7" s="1278">
        <f t="shared" si="1"/>
        <v>9846</v>
      </c>
      <c r="R7" s="403">
        <f t="shared" si="1"/>
        <v>47</v>
      </c>
      <c r="S7" s="462">
        <f t="shared" si="1"/>
        <v>1</v>
      </c>
      <c r="T7" s="462">
        <f t="shared" si="1"/>
        <v>100</v>
      </c>
      <c r="U7" s="403">
        <f t="shared" si="1"/>
        <v>10</v>
      </c>
      <c r="V7" s="384">
        <f t="shared" si="1"/>
        <v>1794</v>
      </c>
      <c r="W7" s="384">
        <f t="shared" si="1"/>
        <v>105051</v>
      </c>
      <c r="X7" s="403">
        <f t="shared" si="1"/>
        <v>2580</v>
      </c>
      <c r="Z7" s="630"/>
    </row>
    <row r="8" spans="1:28" ht="18" customHeight="1">
      <c r="A8" s="425" t="s">
        <v>1051</v>
      </c>
      <c r="B8" s="410">
        <v>105</v>
      </c>
      <c r="C8" s="410">
        <v>20206</v>
      </c>
      <c r="D8" s="406">
        <v>254</v>
      </c>
      <c r="E8" s="289">
        <v>16</v>
      </c>
      <c r="F8" s="835">
        <v>2009</v>
      </c>
      <c r="G8" s="406">
        <v>35</v>
      </c>
      <c r="H8" s="410">
        <v>7</v>
      </c>
      <c r="I8" s="410">
        <v>12641</v>
      </c>
      <c r="J8" s="1040">
        <v>98</v>
      </c>
      <c r="K8" s="289">
        <v>7</v>
      </c>
      <c r="L8" s="835">
        <v>14921</v>
      </c>
      <c r="M8" s="1040">
        <v>197</v>
      </c>
      <c r="N8" s="410"/>
      <c r="O8" s="425" t="s">
        <v>1051</v>
      </c>
      <c r="P8" s="410">
        <v>1</v>
      </c>
      <c r="Q8" s="290">
        <v>1635</v>
      </c>
      <c r="R8" s="290">
        <v>13</v>
      </c>
      <c r="S8" s="374" t="s">
        <v>1509</v>
      </c>
      <c r="T8" s="290" t="s">
        <v>1509</v>
      </c>
      <c r="U8" s="362" t="s">
        <v>1509</v>
      </c>
      <c r="V8" s="290">
        <v>286</v>
      </c>
      <c r="W8" s="290">
        <v>16904</v>
      </c>
      <c r="X8" s="362">
        <v>411</v>
      </c>
      <c r="Z8" s="630"/>
    </row>
    <row r="9" spans="1:28" ht="18" customHeight="1">
      <c r="A9" s="425" t="s">
        <v>495</v>
      </c>
      <c r="B9" s="410">
        <v>109</v>
      </c>
      <c r="C9" s="410">
        <v>28907</v>
      </c>
      <c r="D9" s="406">
        <v>237</v>
      </c>
      <c r="E9" s="289">
        <v>12</v>
      </c>
      <c r="F9" s="835">
        <v>2668</v>
      </c>
      <c r="G9" s="406">
        <v>30</v>
      </c>
      <c r="H9" s="835">
        <v>12</v>
      </c>
      <c r="I9" s="410">
        <v>16431</v>
      </c>
      <c r="J9" s="1040">
        <v>177</v>
      </c>
      <c r="K9" s="289">
        <v>13</v>
      </c>
      <c r="L9" s="835">
        <v>19540</v>
      </c>
      <c r="M9" s="1040">
        <v>224</v>
      </c>
      <c r="N9" s="410"/>
      <c r="O9" s="425" t="s">
        <v>495</v>
      </c>
      <c r="P9" s="290" t="s">
        <v>1509</v>
      </c>
      <c r="Q9" s="290" t="s">
        <v>1509</v>
      </c>
      <c r="R9" s="290" t="s">
        <v>1509</v>
      </c>
      <c r="S9" s="374" t="s">
        <v>1509</v>
      </c>
      <c r="T9" s="290" t="s">
        <v>1509</v>
      </c>
      <c r="U9" s="362" t="s">
        <v>1509</v>
      </c>
      <c r="V9" s="290">
        <v>309</v>
      </c>
      <c r="W9" s="290">
        <v>16914</v>
      </c>
      <c r="X9" s="362">
        <v>406</v>
      </c>
      <c r="Z9" s="630"/>
    </row>
    <row r="10" spans="1:28" ht="18" customHeight="1">
      <c r="A10" s="425" t="s">
        <v>531</v>
      </c>
      <c r="B10" s="410">
        <v>102</v>
      </c>
      <c r="C10" s="410">
        <v>13175</v>
      </c>
      <c r="D10" s="406">
        <v>329</v>
      </c>
      <c r="E10" s="289">
        <v>14</v>
      </c>
      <c r="F10" s="410">
        <v>2060</v>
      </c>
      <c r="G10" s="406">
        <v>39</v>
      </c>
      <c r="H10" s="290">
        <v>7</v>
      </c>
      <c r="I10" s="290">
        <v>9201</v>
      </c>
      <c r="J10" s="1259">
        <v>149</v>
      </c>
      <c r="K10" s="374">
        <v>10</v>
      </c>
      <c r="L10" s="1089">
        <v>18006</v>
      </c>
      <c r="M10" s="1259">
        <v>250</v>
      </c>
      <c r="N10" s="290"/>
      <c r="O10" s="425" t="s">
        <v>531</v>
      </c>
      <c r="P10" s="290">
        <v>1</v>
      </c>
      <c r="Q10" s="290">
        <v>3147</v>
      </c>
      <c r="R10" s="290">
        <v>13</v>
      </c>
      <c r="S10" s="374">
        <v>1</v>
      </c>
      <c r="T10" s="290">
        <v>100</v>
      </c>
      <c r="U10" s="362">
        <v>10</v>
      </c>
      <c r="V10" s="290">
        <v>299</v>
      </c>
      <c r="W10" s="290">
        <v>18169</v>
      </c>
      <c r="X10" s="362">
        <v>472</v>
      </c>
      <c r="Z10" s="630"/>
    </row>
    <row r="11" spans="1:28" ht="18" customHeight="1">
      <c r="A11" s="425" t="s">
        <v>532</v>
      </c>
      <c r="B11" s="410">
        <v>86</v>
      </c>
      <c r="C11" s="410">
        <v>19693</v>
      </c>
      <c r="D11" s="406">
        <v>198</v>
      </c>
      <c r="E11" s="289">
        <v>6</v>
      </c>
      <c r="F11" s="290">
        <v>1133</v>
      </c>
      <c r="G11" s="362">
        <v>15</v>
      </c>
      <c r="H11" s="290">
        <v>11</v>
      </c>
      <c r="I11" s="290">
        <v>15527</v>
      </c>
      <c r="J11" s="1259">
        <v>223</v>
      </c>
      <c r="K11" s="374">
        <v>9</v>
      </c>
      <c r="L11" s="1089">
        <v>13288</v>
      </c>
      <c r="M11" s="1259">
        <v>123</v>
      </c>
      <c r="N11" s="290"/>
      <c r="O11" s="425" t="s">
        <v>532</v>
      </c>
      <c r="P11" s="290" t="s">
        <v>1509</v>
      </c>
      <c r="Q11" s="290" t="s">
        <v>1509</v>
      </c>
      <c r="R11" s="290" t="s">
        <v>1509</v>
      </c>
      <c r="S11" s="374" t="s">
        <v>1509</v>
      </c>
      <c r="T11" s="290" t="s">
        <v>1509</v>
      </c>
      <c r="U11" s="362" t="s">
        <v>1509</v>
      </c>
      <c r="V11" s="290">
        <v>291</v>
      </c>
      <c r="W11" s="290">
        <v>18217</v>
      </c>
      <c r="X11" s="362">
        <v>484</v>
      </c>
      <c r="Z11" s="630"/>
    </row>
    <row r="12" spans="1:28" ht="18" customHeight="1">
      <c r="A12" s="425" t="s">
        <v>533</v>
      </c>
      <c r="B12" s="410">
        <v>121</v>
      </c>
      <c r="C12" s="410">
        <v>28975</v>
      </c>
      <c r="D12" s="406">
        <v>360</v>
      </c>
      <c r="E12" s="289">
        <v>14</v>
      </c>
      <c r="F12" s="835">
        <v>4845</v>
      </c>
      <c r="G12" s="406">
        <v>56</v>
      </c>
      <c r="H12" s="410">
        <v>11</v>
      </c>
      <c r="I12" s="410">
        <v>22052</v>
      </c>
      <c r="J12" s="1040">
        <v>234</v>
      </c>
      <c r="K12" s="289">
        <v>11</v>
      </c>
      <c r="L12" s="835">
        <v>27935</v>
      </c>
      <c r="M12" s="1040">
        <v>274</v>
      </c>
      <c r="N12" s="410"/>
      <c r="O12" s="425" t="s">
        <v>533</v>
      </c>
      <c r="P12" s="290">
        <v>1</v>
      </c>
      <c r="Q12" s="290">
        <v>5064</v>
      </c>
      <c r="R12" s="290">
        <v>21</v>
      </c>
      <c r="S12" s="374" t="s">
        <v>1509</v>
      </c>
      <c r="T12" s="290" t="s">
        <v>1509</v>
      </c>
      <c r="U12" s="362" t="s">
        <v>1509</v>
      </c>
      <c r="V12" s="290">
        <v>354</v>
      </c>
      <c r="W12" s="290">
        <v>19621</v>
      </c>
      <c r="X12" s="362">
        <v>424</v>
      </c>
      <c r="Z12" s="630"/>
    </row>
    <row r="13" spans="1:28" ht="18" customHeight="1">
      <c r="A13" s="425" t="s">
        <v>573</v>
      </c>
      <c r="B13" s="410">
        <v>85</v>
      </c>
      <c r="C13" s="410">
        <v>19292</v>
      </c>
      <c r="D13" s="406">
        <v>264</v>
      </c>
      <c r="E13" s="289">
        <v>7</v>
      </c>
      <c r="F13" s="410">
        <v>1398</v>
      </c>
      <c r="G13" s="406">
        <v>23</v>
      </c>
      <c r="H13" s="410">
        <v>6</v>
      </c>
      <c r="I13" s="835">
        <v>8786</v>
      </c>
      <c r="J13" s="1040">
        <v>161</v>
      </c>
      <c r="K13" s="289">
        <v>15</v>
      </c>
      <c r="L13" s="835">
        <v>28483</v>
      </c>
      <c r="M13" s="1259">
        <v>298</v>
      </c>
      <c r="N13" s="290"/>
      <c r="O13" s="425" t="s">
        <v>573</v>
      </c>
      <c r="P13" s="410" t="s">
        <v>1509</v>
      </c>
      <c r="Q13" s="290" t="s">
        <v>1509</v>
      </c>
      <c r="R13" s="290" t="s">
        <v>1509</v>
      </c>
      <c r="S13" s="374" t="s">
        <v>1509</v>
      </c>
      <c r="T13" s="290" t="s">
        <v>1509</v>
      </c>
      <c r="U13" s="362" t="s">
        <v>1509</v>
      </c>
      <c r="V13" s="290">
        <v>255</v>
      </c>
      <c r="W13" s="290">
        <v>15226</v>
      </c>
      <c r="X13" s="362">
        <v>383</v>
      </c>
      <c r="Z13" s="630"/>
    </row>
    <row r="14" spans="1:28" ht="18" customHeight="1">
      <c r="A14" s="424" t="s">
        <v>1154</v>
      </c>
      <c r="B14" s="1278">
        <f t="shared" ref="B14:M14" si="2">SUM(B15:B25)</f>
        <v>1334</v>
      </c>
      <c r="C14" s="1278">
        <f t="shared" si="2"/>
        <v>198126</v>
      </c>
      <c r="D14" s="385">
        <f t="shared" si="2"/>
        <v>4240</v>
      </c>
      <c r="E14" s="384">
        <f t="shared" si="2"/>
        <v>116</v>
      </c>
      <c r="F14" s="384">
        <f t="shared" si="2"/>
        <v>28270</v>
      </c>
      <c r="G14" s="385">
        <f t="shared" si="2"/>
        <v>339</v>
      </c>
      <c r="H14" s="384">
        <f t="shared" si="2"/>
        <v>74</v>
      </c>
      <c r="I14" s="384">
        <f t="shared" si="2"/>
        <v>130124</v>
      </c>
      <c r="J14" s="1281">
        <f t="shared" si="2"/>
        <v>1732</v>
      </c>
      <c r="K14" s="384">
        <f t="shared" si="2"/>
        <v>143</v>
      </c>
      <c r="L14" s="1278">
        <f t="shared" si="2"/>
        <v>270490</v>
      </c>
      <c r="M14" s="1281">
        <f t="shared" si="2"/>
        <v>3251</v>
      </c>
      <c r="N14" s="384"/>
      <c r="O14" s="424" t="s">
        <v>1154</v>
      </c>
      <c r="P14" s="384">
        <f t="shared" ref="P14:U14" si="3">SUM(P15:P25)</f>
        <v>8</v>
      </c>
      <c r="Q14" s="384">
        <f t="shared" si="3"/>
        <v>33233</v>
      </c>
      <c r="R14" s="384">
        <f t="shared" si="3"/>
        <v>273</v>
      </c>
      <c r="S14" s="383">
        <f t="shared" si="3"/>
        <v>20</v>
      </c>
      <c r="T14" s="384">
        <f t="shared" si="3"/>
        <v>2947</v>
      </c>
      <c r="U14" s="385">
        <f t="shared" si="3"/>
        <v>418</v>
      </c>
      <c r="V14" s="384">
        <f>SUM(V15:V24)</f>
        <v>4518</v>
      </c>
      <c r="W14" s="384">
        <f>SUM(W15:W24)</f>
        <v>167244</v>
      </c>
      <c r="X14" s="385">
        <f>SUM(X15:X24)</f>
        <v>5520</v>
      </c>
      <c r="Y14" s="384"/>
      <c r="Z14" s="630"/>
    </row>
    <row r="15" spans="1:28" ht="18" customHeight="1">
      <c r="A15" s="425" t="s">
        <v>576</v>
      </c>
      <c r="B15" s="410">
        <v>219</v>
      </c>
      <c r="C15" s="410">
        <v>24283</v>
      </c>
      <c r="D15" s="406">
        <v>567</v>
      </c>
      <c r="E15" s="289">
        <v>24</v>
      </c>
      <c r="F15" s="410">
        <v>3116</v>
      </c>
      <c r="G15" s="406">
        <v>66</v>
      </c>
      <c r="H15" s="410">
        <v>17</v>
      </c>
      <c r="I15" s="410">
        <v>28245</v>
      </c>
      <c r="J15" s="1040">
        <v>343</v>
      </c>
      <c r="K15" s="289">
        <v>17</v>
      </c>
      <c r="L15" s="835">
        <v>31242</v>
      </c>
      <c r="M15" s="1040">
        <v>345</v>
      </c>
      <c r="N15" s="410"/>
      <c r="O15" s="425" t="s">
        <v>576</v>
      </c>
      <c r="P15" s="290">
        <v>1</v>
      </c>
      <c r="Q15" s="290">
        <v>4335</v>
      </c>
      <c r="R15" s="290">
        <v>22</v>
      </c>
      <c r="S15" s="374">
        <v>3</v>
      </c>
      <c r="T15" s="290">
        <v>300</v>
      </c>
      <c r="U15" s="362">
        <v>24</v>
      </c>
      <c r="V15" s="290">
        <v>936</v>
      </c>
      <c r="W15" s="290">
        <v>21840</v>
      </c>
      <c r="X15" s="362">
        <v>1049</v>
      </c>
      <c r="Z15" s="630"/>
    </row>
    <row r="16" spans="1:28" ht="18" customHeight="1">
      <c r="A16" s="425" t="s">
        <v>1510</v>
      </c>
      <c r="B16" s="410">
        <v>105</v>
      </c>
      <c r="C16" s="410">
        <v>9680</v>
      </c>
      <c r="D16" s="406">
        <v>237</v>
      </c>
      <c r="E16" s="289">
        <v>11</v>
      </c>
      <c r="F16" s="410">
        <v>1153</v>
      </c>
      <c r="G16" s="406">
        <v>30</v>
      </c>
      <c r="H16" s="835">
        <v>1</v>
      </c>
      <c r="I16" s="835">
        <v>1758</v>
      </c>
      <c r="J16" s="1040">
        <v>33</v>
      </c>
      <c r="K16" s="289">
        <v>11</v>
      </c>
      <c r="L16" s="835">
        <v>18420</v>
      </c>
      <c r="M16" s="1040">
        <v>258</v>
      </c>
      <c r="N16" s="410"/>
      <c r="O16" s="425" t="s">
        <v>1510</v>
      </c>
      <c r="P16" s="290">
        <v>1</v>
      </c>
      <c r="Q16" s="290">
        <v>4896</v>
      </c>
      <c r="R16" s="290">
        <v>26</v>
      </c>
      <c r="S16" s="374">
        <v>1</v>
      </c>
      <c r="T16" s="290">
        <v>100</v>
      </c>
      <c r="U16" s="362">
        <v>10</v>
      </c>
      <c r="V16" s="290">
        <v>370</v>
      </c>
      <c r="W16" s="290">
        <v>10264</v>
      </c>
      <c r="X16" s="362">
        <v>414</v>
      </c>
      <c r="Z16" s="630"/>
    </row>
    <row r="17" spans="1:26" ht="18" customHeight="1">
      <c r="A17" s="425" t="s">
        <v>577</v>
      </c>
      <c r="B17" s="410">
        <v>155</v>
      </c>
      <c r="C17" s="835">
        <v>16805</v>
      </c>
      <c r="D17" s="406">
        <v>425</v>
      </c>
      <c r="E17" s="289">
        <v>12</v>
      </c>
      <c r="F17" s="835">
        <v>1802</v>
      </c>
      <c r="G17" s="406">
        <v>33</v>
      </c>
      <c r="H17" s="290">
        <v>2</v>
      </c>
      <c r="I17" s="290">
        <v>4104</v>
      </c>
      <c r="J17" s="1259">
        <v>80</v>
      </c>
      <c r="K17" s="374">
        <v>12</v>
      </c>
      <c r="L17" s="1089">
        <v>29654</v>
      </c>
      <c r="M17" s="1259">
        <v>281</v>
      </c>
      <c r="N17" s="290"/>
      <c r="O17" s="425" t="s">
        <v>577</v>
      </c>
      <c r="P17" s="290" t="s">
        <v>1509</v>
      </c>
      <c r="Q17" s="290" t="s">
        <v>1509</v>
      </c>
      <c r="R17" s="290" t="s">
        <v>1509</v>
      </c>
      <c r="S17" s="374">
        <v>2</v>
      </c>
      <c r="T17" s="290">
        <v>147</v>
      </c>
      <c r="U17" s="362">
        <v>9</v>
      </c>
      <c r="V17" s="290">
        <v>649</v>
      </c>
      <c r="W17" s="290">
        <v>12955</v>
      </c>
      <c r="X17" s="362">
        <v>746</v>
      </c>
      <c r="Z17" s="630"/>
    </row>
    <row r="18" spans="1:26" ht="18" customHeight="1">
      <c r="A18" s="425" t="s">
        <v>578</v>
      </c>
      <c r="B18" s="410">
        <v>103</v>
      </c>
      <c r="C18" s="410">
        <v>13007</v>
      </c>
      <c r="D18" s="406">
        <v>319</v>
      </c>
      <c r="E18" s="289">
        <v>12</v>
      </c>
      <c r="F18" s="835">
        <v>2043</v>
      </c>
      <c r="G18" s="406">
        <v>34</v>
      </c>
      <c r="H18" s="1089">
        <v>4</v>
      </c>
      <c r="I18" s="1089">
        <v>3611</v>
      </c>
      <c r="J18" s="1259">
        <v>80</v>
      </c>
      <c r="K18" s="374">
        <v>6</v>
      </c>
      <c r="L18" s="1089">
        <v>11627</v>
      </c>
      <c r="M18" s="1259">
        <v>140</v>
      </c>
      <c r="N18" s="290"/>
      <c r="O18" s="425" t="s">
        <v>578</v>
      </c>
      <c r="P18" s="290" t="s">
        <v>1509</v>
      </c>
      <c r="Q18" s="290" t="s">
        <v>1509</v>
      </c>
      <c r="R18" s="290" t="s">
        <v>1509</v>
      </c>
      <c r="S18" s="374" t="s">
        <v>1509</v>
      </c>
      <c r="T18" s="290" t="s">
        <v>1509</v>
      </c>
      <c r="U18" s="362" t="s">
        <v>1509</v>
      </c>
      <c r="V18" s="290">
        <v>308</v>
      </c>
      <c r="W18" s="290">
        <v>12241</v>
      </c>
      <c r="X18" s="362">
        <v>387</v>
      </c>
      <c r="Z18" s="630"/>
    </row>
    <row r="19" spans="1:26" ht="18" customHeight="1">
      <c r="A19" s="425" t="s">
        <v>490</v>
      </c>
      <c r="B19" s="410">
        <v>140</v>
      </c>
      <c r="C19" s="410">
        <v>21948</v>
      </c>
      <c r="D19" s="406">
        <v>620</v>
      </c>
      <c r="E19" s="289">
        <v>8</v>
      </c>
      <c r="F19" s="410">
        <v>1354</v>
      </c>
      <c r="G19" s="406">
        <v>22</v>
      </c>
      <c r="H19" s="410">
        <v>11</v>
      </c>
      <c r="I19" s="410">
        <v>17722</v>
      </c>
      <c r="J19" s="1040">
        <v>220</v>
      </c>
      <c r="K19" s="289">
        <v>16</v>
      </c>
      <c r="L19" s="835">
        <v>25040</v>
      </c>
      <c r="M19" s="1259">
        <v>388</v>
      </c>
      <c r="N19" s="290"/>
      <c r="O19" s="425" t="s">
        <v>490</v>
      </c>
      <c r="P19" s="290" t="s">
        <v>1509</v>
      </c>
      <c r="Q19" s="290" t="s">
        <v>1509</v>
      </c>
      <c r="R19" s="290" t="s">
        <v>1509</v>
      </c>
      <c r="S19" s="374">
        <v>7</v>
      </c>
      <c r="T19" s="290">
        <v>1317</v>
      </c>
      <c r="U19" s="362">
        <v>146</v>
      </c>
      <c r="V19" s="290">
        <v>390</v>
      </c>
      <c r="W19" s="290">
        <v>13689</v>
      </c>
      <c r="X19" s="362">
        <v>449</v>
      </c>
    </row>
    <row r="20" spans="1:26" ht="18" customHeight="1">
      <c r="A20" s="425" t="s">
        <v>580</v>
      </c>
      <c r="B20" s="410">
        <v>152</v>
      </c>
      <c r="C20" s="410">
        <v>29064</v>
      </c>
      <c r="D20" s="406">
        <v>560</v>
      </c>
      <c r="E20" s="289">
        <v>9</v>
      </c>
      <c r="F20" s="410">
        <v>1813</v>
      </c>
      <c r="G20" s="406">
        <v>20</v>
      </c>
      <c r="H20" s="290">
        <v>6</v>
      </c>
      <c r="I20" s="290">
        <v>10513</v>
      </c>
      <c r="J20" s="1259">
        <v>181</v>
      </c>
      <c r="K20" s="374">
        <v>16</v>
      </c>
      <c r="L20" s="1089">
        <v>36315</v>
      </c>
      <c r="M20" s="1259">
        <v>319</v>
      </c>
      <c r="N20" s="290"/>
      <c r="O20" s="425" t="s">
        <v>580</v>
      </c>
      <c r="P20" s="290" t="s">
        <v>1509</v>
      </c>
      <c r="Q20" s="290" t="s">
        <v>1509</v>
      </c>
      <c r="R20" s="290" t="s">
        <v>1509</v>
      </c>
      <c r="S20" s="374" t="s">
        <v>1509</v>
      </c>
      <c r="T20" s="290" t="s">
        <v>1509</v>
      </c>
      <c r="U20" s="362" t="s">
        <v>1509</v>
      </c>
      <c r="V20" s="290">
        <v>367</v>
      </c>
      <c r="W20" s="290">
        <v>22586</v>
      </c>
      <c r="X20" s="362">
        <v>472</v>
      </c>
    </row>
    <row r="21" spans="1:26" ht="18" customHeight="1">
      <c r="A21" s="425" t="s">
        <v>585</v>
      </c>
      <c r="B21" s="410">
        <v>110</v>
      </c>
      <c r="C21" s="410">
        <v>25787</v>
      </c>
      <c r="D21" s="406">
        <v>324</v>
      </c>
      <c r="E21" s="289">
        <v>12</v>
      </c>
      <c r="F21" s="835">
        <v>5029</v>
      </c>
      <c r="G21" s="406">
        <v>32</v>
      </c>
      <c r="H21" s="410">
        <v>11</v>
      </c>
      <c r="I21" s="410">
        <v>30596</v>
      </c>
      <c r="J21" s="1040">
        <v>191</v>
      </c>
      <c r="K21" s="289">
        <v>14</v>
      </c>
      <c r="L21" s="835">
        <v>32028</v>
      </c>
      <c r="M21" s="1040">
        <v>313</v>
      </c>
      <c r="N21" s="410"/>
      <c r="O21" s="425" t="s">
        <v>585</v>
      </c>
      <c r="P21" s="290">
        <v>1</v>
      </c>
      <c r="Q21" s="290">
        <v>5250</v>
      </c>
      <c r="R21" s="290">
        <v>22</v>
      </c>
      <c r="S21" s="374">
        <v>1</v>
      </c>
      <c r="T21" s="290">
        <v>100</v>
      </c>
      <c r="U21" s="362">
        <v>9</v>
      </c>
      <c r="V21" s="290">
        <v>508</v>
      </c>
      <c r="W21" s="290">
        <v>24256</v>
      </c>
      <c r="X21" s="362">
        <v>642</v>
      </c>
    </row>
    <row r="22" spans="1:26" ht="18" customHeight="1">
      <c r="A22" s="425" t="s">
        <v>586</v>
      </c>
      <c r="B22" s="410">
        <v>130</v>
      </c>
      <c r="C22" s="410">
        <v>19278</v>
      </c>
      <c r="D22" s="406">
        <v>449</v>
      </c>
      <c r="E22" s="1280">
        <v>8</v>
      </c>
      <c r="F22" s="835">
        <v>4489</v>
      </c>
      <c r="G22" s="406">
        <v>30</v>
      </c>
      <c r="H22" s="290">
        <v>8</v>
      </c>
      <c r="I22" s="1089">
        <v>14598</v>
      </c>
      <c r="J22" s="1259">
        <v>260</v>
      </c>
      <c r="K22" s="374">
        <v>9</v>
      </c>
      <c r="L22" s="1089">
        <v>16981</v>
      </c>
      <c r="M22" s="1040">
        <v>255</v>
      </c>
      <c r="N22" s="410"/>
      <c r="O22" s="425" t="s">
        <v>586</v>
      </c>
      <c r="P22" s="290" t="s">
        <v>1509</v>
      </c>
      <c r="Q22" s="290" t="s">
        <v>1509</v>
      </c>
      <c r="R22" s="290" t="s">
        <v>1509</v>
      </c>
      <c r="S22" s="374">
        <v>2</v>
      </c>
      <c r="T22" s="290">
        <v>260</v>
      </c>
      <c r="U22" s="362">
        <v>14</v>
      </c>
      <c r="V22" s="290">
        <v>332</v>
      </c>
      <c r="W22" s="290">
        <v>15803</v>
      </c>
      <c r="X22" s="362">
        <v>466</v>
      </c>
    </row>
    <row r="23" spans="1:26" ht="18" customHeight="1">
      <c r="A23" s="425" t="s">
        <v>587</v>
      </c>
      <c r="B23" s="410">
        <v>121</v>
      </c>
      <c r="C23" s="410">
        <v>24494</v>
      </c>
      <c r="D23" s="406">
        <v>284</v>
      </c>
      <c r="E23" s="1280">
        <v>16</v>
      </c>
      <c r="F23" s="410">
        <v>6414</v>
      </c>
      <c r="G23" s="406">
        <v>45</v>
      </c>
      <c r="H23" s="410">
        <v>6</v>
      </c>
      <c r="I23" s="835">
        <v>10054</v>
      </c>
      <c r="J23" s="1040">
        <v>185</v>
      </c>
      <c r="K23" s="289">
        <v>16</v>
      </c>
      <c r="L23" s="835">
        <v>35469</v>
      </c>
      <c r="M23" s="1259">
        <v>325</v>
      </c>
      <c r="N23" s="290"/>
      <c r="O23" s="425" t="s">
        <v>587</v>
      </c>
      <c r="P23" s="290">
        <v>1</v>
      </c>
      <c r="Q23" s="290">
        <v>4464</v>
      </c>
      <c r="R23" s="290">
        <v>27</v>
      </c>
      <c r="S23" s="374" t="s">
        <v>1509</v>
      </c>
      <c r="T23" s="290" t="s">
        <v>1509</v>
      </c>
      <c r="U23" s="362" t="s">
        <v>1509</v>
      </c>
      <c r="V23" s="290">
        <v>484</v>
      </c>
      <c r="W23" s="290">
        <v>29213</v>
      </c>
      <c r="X23" s="362">
        <v>678</v>
      </c>
    </row>
    <row r="24" spans="1:26" ht="18" customHeight="1">
      <c r="A24" s="425" t="s">
        <v>1511</v>
      </c>
      <c r="B24" s="410">
        <v>21</v>
      </c>
      <c r="C24" s="410">
        <v>2483</v>
      </c>
      <c r="D24" s="406">
        <v>99</v>
      </c>
      <c r="E24" s="289" t="s">
        <v>1509</v>
      </c>
      <c r="F24" s="410" t="s">
        <v>1509</v>
      </c>
      <c r="G24" s="406" t="s">
        <v>1509</v>
      </c>
      <c r="H24" s="410">
        <v>1</v>
      </c>
      <c r="I24" s="410">
        <v>3076</v>
      </c>
      <c r="J24" s="1040">
        <v>44</v>
      </c>
      <c r="K24" s="289">
        <v>3</v>
      </c>
      <c r="L24" s="835">
        <v>7218</v>
      </c>
      <c r="M24" s="1040">
        <v>88</v>
      </c>
      <c r="N24" s="410"/>
      <c r="O24" s="425" t="s">
        <v>1511</v>
      </c>
      <c r="P24" s="290">
        <v>1</v>
      </c>
      <c r="Q24" s="290">
        <v>5335</v>
      </c>
      <c r="R24" s="290">
        <v>33</v>
      </c>
      <c r="S24" s="374" t="s">
        <v>1509</v>
      </c>
      <c r="T24" s="290" t="s">
        <v>1509</v>
      </c>
      <c r="U24" s="362" t="s">
        <v>1509</v>
      </c>
      <c r="V24" s="1633">
        <v>174</v>
      </c>
      <c r="W24" s="1635">
        <v>4397</v>
      </c>
      <c r="X24" s="1631">
        <v>217</v>
      </c>
    </row>
    <row r="25" spans="1:26" ht="18" customHeight="1">
      <c r="A25" s="425" t="s">
        <v>579</v>
      </c>
      <c r="B25" s="410">
        <v>78</v>
      </c>
      <c r="C25" s="410">
        <v>11297</v>
      </c>
      <c r="D25" s="406">
        <v>356</v>
      </c>
      <c r="E25" s="289">
        <v>4</v>
      </c>
      <c r="F25" s="410">
        <v>1057</v>
      </c>
      <c r="G25" s="406">
        <v>27</v>
      </c>
      <c r="H25" s="410">
        <v>7</v>
      </c>
      <c r="I25" s="410">
        <v>5847</v>
      </c>
      <c r="J25" s="1040">
        <v>115</v>
      </c>
      <c r="K25" s="289">
        <v>23</v>
      </c>
      <c r="L25" s="835">
        <v>26496</v>
      </c>
      <c r="M25" s="1259">
        <v>539</v>
      </c>
      <c r="N25" s="290"/>
      <c r="O25" s="425" t="s">
        <v>579</v>
      </c>
      <c r="P25" s="290">
        <v>3</v>
      </c>
      <c r="Q25" s="290">
        <v>8953</v>
      </c>
      <c r="R25" s="290">
        <v>143</v>
      </c>
      <c r="S25" s="374">
        <v>4</v>
      </c>
      <c r="T25" s="290">
        <v>723</v>
      </c>
      <c r="U25" s="362">
        <v>206</v>
      </c>
      <c r="V25" s="1634"/>
      <c r="W25" s="1636"/>
      <c r="X25" s="1632"/>
    </row>
    <row r="26" spans="1:26" s="771" customFormat="1" ht="18" customHeight="1">
      <c r="A26" s="832" t="s">
        <v>1233</v>
      </c>
      <c r="B26" s="766">
        <f t="shared" ref="B26:M26" si="4">SUM(B7,B14)</f>
        <v>1942</v>
      </c>
      <c r="C26" s="1279">
        <f t="shared" si="4"/>
        <v>328374</v>
      </c>
      <c r="D26" s="767">
        <f t="shared" si="4"/>
        <v>5882</v>
      </c>
      <c r="E26" s="765">
        <f t="shared" si="4"/>
        <v>185</v>
      </c>
      <c r="F26" s="766">
        <f t="shared" si="4"/>
        <v>42383</v>
      </c>
      <c r="G26" s="767">
        <f t="shared" si="4"/>
        <v>537</v>
      </c>
      <c r="H26" s="766">
        <f t="shared" si="4"/>
        <v>128</v>
      </c>
      <c r="I26" s="766">
        <f t="shared" si="4"/>
        <v>214762</v>
      </c>
      <c r="J26" s="767">
        <f t="shared" si="4"/>
        <v>2774</v>
      </c>
      <c r="K26" s="765">
        <f t="shared" si="4"/>
        <v>208</v>
      </c>
      <c r="L26" s="766">
        <f t="shared" si="4"/>
        <v>392663</v>
      </c>
      <c r="M26" s="767">
        <f t="shared" si="4"/>
        <v>4617</v>
      </c>
      <c r="N26" s="659"/>
      <c r="O26" s="832" t="s">
        <v>1233</v>
      </c>
      <c r="P26" s="766">
        <f t="shared" ref="P26:X26" si="5">SUM(P7,P14)</f>
        <v>11</v>
      </c>
      <c r="Q26" s="1279">
        <f t="shared" si="5"/>
        <v>43079</v>
      </c>
      <c r="R26" s="766">
        <f t="shared" si="5"/>
        <v>320</v>
      </c>
      <c r="S26" s="1282">
        <f t="shared" si="5"/>
        <v>21</v>
      </c>
      <c r="T26" s="1279">
        <f t="shared" si="5"/>
        <v>3047</v>
      </c>
      <c r="U26" s="1283">
        <f t="shared" si="5"/>
        <v>428</v>
      </c>
      <c r="V26" s="1279">
        <f t="shared" si="5"/>
        <v>6312</v>
      </c>
      <c r="W26" s="1279">
        <f t="shared" si="5"/>
        <v>272295</v>
      </c>
      <c r="X26" s="1283">
        <f t="shared" si="5"/>
        <v>8100</v>
      </c>
    </row>
    <row r="27" spans="1:26">
      <c r="V27" s="1284"/>
      <c r="W27" s="1284"/>
      <c r="X27" s="1306" t="s">
        <v>1388</v>
      </c>
    </row>
  </sheetData>
  <mergeCells count="15">
    <mergeCell ref="X24:X25"/>
    <mergeCell ref="K4:M4"/>
    <mergeCell ref="P4:R4"/>
    <mergeCell ref="V24:V25"/>
    <mergeCell ref="W24:W25"/>
    <mergeCell ref="S4:U4"/>
    <mergeCell ref="O4:O5"/>
    <mergeCell ref="A1:M1"/>
    <mergeCell ref="O2:X2"/>
    <mergeCell ref="A2:M2"/>
    <mergeCell ref="V4:X4"/>
    <mergeCell ref="B4:D4"/>
    <mergeCell ref="E4:G4"/>
    <mergeCell ref="A4:A5"/>
    <mergeCell ref="H4:J4"/>
  </mergeCells>
  <phoneticPr fontId="0" type="noConversion"/>
  <conditionalFormatting sqref="Y1:IV1048576 V1:X23 V26:X65536 Q8:X13 P15:X23 A1:U1048576">
    <cfRule type="cellIs" dxfId="13" priority="1" stopIfTrue="1" operator="equal">
      <formula>".."</formula>
    </cfRule>
  </conditionalFormatting>
  <printOptions horizontalCentered="1"/>
  <pageMargins left="0.1" right="0.1" top="0.7" bottom="0.1" header="0.7" footer="0.1"/>
  <pageSetup paperSize="9" orientation="landscape" blackAndWhite="1" horizontalDpi="4294967295" verticalDpi="180" r:id="rId1"/>
  <headerFooter alignWithMargins="0"/>
  <colBreaks count="1" manualBreakCount="1">
    <brk id="13" max="1048575" man="1"/>
  </colBreaks>
  <drawing r:id="rId2"/>
</worksheet>
</file>

<file path=xl/worksheets/sheet36.xml><?xml version="1.0" encoding="utf-8"?>
<worksheet xmlns="http://schemas.openxmlformats.org/spreadsheetml/2006/main" xmlns:r="http://schemas.openxmlformats.org/officeDocument/2006/relationships">
  <sheetPr codeName="Sheet45"/>
  <dimension ref="A1:K71"/>
  <sheetViews>
    <sheetView workbookViewId="0">
      <selection activeCell="K71" sqref="K71"/>
    </sheetView>
  </sheetViews>
  <sheetFormatPr defaultRowHeight="12.75"/>
  <cols>
    <col min="1" max="1" width="25.5703125" style="138" customWidth="1"/>
    <col min="2" max="10" width="11.5703125" style="138" customWidth="1"/>
    <col min="11" max="11" width="3.5703125" style="138" customWidth="1"/>
    <col min="12" max="16384" width="9.140625" style="138"/>
  </cols>
  <sheetData>
    <row r="1" spans="1:11" ht="13.5" customHeight="1">
      <c r="A1" s="1637" t="s">
        <v>1367</v>
      </c>
      <c r="B1" s="1637"/>
      <c r="C1" s="1637"/>
      <c r="D1" s="1637"/>
      <c r="E1" s="1637"/>
      <c r="F1" s="1637"/>
      <c r="G1" s="1637"/>
      <c r="H1" s="1637"/>
      <c r="I1" s="1637"/>
      <c r="J1" s="1637"/>
    </row>
    <row r="2" spans="1:11" ht="24" customHeight="1">
      <c r="A2" s="1638" t="str">
        <f>CONCATENATE("Literacy Rate by sex in rural and urban areas in the district of ",District!A1,", 2011")</f>
        <v>Literacy Rate by sex in rural and urban areas in the district of Malda, 2011</v>
      </c>
      <c r="B2" s="1638"/>
      <c r="C2" s="1638"/>
      <c r="D2" s="1638"/>
      <c r="E2" s="1638"/>
      <c r="F2" s="1638"/>
      <c r="G2" s="1638"/>
      <c r="H2" s="1638"/>
      <c r="I2" s="1638"/>
      <c r="J2" s="1638"/>
      <c r="K2" s="896"/>
    </row>
    <row r="3" spans="1:11" ht="14.25" customHeight="1">
      <c r="A3" s="896"/>
      <c r="B3" s="1127"/>
      <c r="C3" s="1127"/>
      <c r="D3" s="1127"/>
      <c r="E3" s="1127"/>
      <c r="F3" s="1127"/>
      <c r="G3" s="1127"/>
      <c r="H3" s="1127"/>
      <c r="I3" s="1127"/>
      <c r="J3" s="1297" t="s">
        <v>1647</v>
      </c>
      <c r="K3" s="896"/>
    </row>
    <row r="4" spans="1:11" ht="13.5" customHeight="1">
      <c r="A4" s="1346" t="s">
        <v>446</v>
      </c>
      <c r="B4" s="1391" t="s">
        <v>1268</v>
      </c>
      <c r="C4" s="1639"/>
      <c r="D4" s="1392"/>
      <c r="E4" s="1391" t="s">
        <v>1267</v>
      </c>
      <c r="F4" s="1639"/>
      <c r="G4" s="1392"/>
      <c r="H4" s="1391" t="s">
        <v>476</v>
      </c>
      <c r="I4" s="1639"/>
      <c r="J4" s="1392"/>
    </row>
    <row r="5" spans="1:11" ht="13.5" customHeight="1">
      <c r="A5" s="1347"/>
      <c r="B5" s="559" t="s">
        <v>1265</v>
      </c>
      <c r="C5" s="560" t="s">
        <v>1266</v>
      </c>
      <c r="D5" s="561" t="s">
        <v>1233</v>
      </c>
      <c r="E5" s="559" t="s">
        <v>1265</v>
      </c>
      <c r="F5" s="560" t="s">
        <v>1266</v>
      </c>
      <c r="G5" s="561" t="s">
        <v>1233</v>
      </c>
      <c r="H5" s="559" t="s">
        <v>1265</v>
      </c>
      <c r="I5" s="560" t="s">
        <v>1266</v>
      </c>
      <c r="J5" s="561" t="s">
        <v>1233</v>
      </c>
    </row>
    <row r="6" spans="1:11" ht="13.5" customHeight="1">
      <c r="A6" s="151" t="s">
        <v>1208</v>
      </c>
      <c r="B6" s="218" t="s">
        <v>1209</v>
      </c>
      <c r="C6" s="152" t="s">
        <v>1210</v>
      </c>
      <c r="D6" s="153" t="s">
        <v>1211</v>
      </c>
      <c r="E6" s="218" t="s">
        <v>1212</v>
      </c>
      <c r="F6" s="1216" t="s">
        <v>1213</v>
      </c>
      <c r="G6" s="153" t="s">
        <v>1214</v>
      </c>
      <c r="H6" s="154" t="s">
        <v>1244</v>
      </c>
      <c r="I6" s="219" t="s">
        <v>1245</v>
      </c>
      <c r="J6" s="155" t="s">
        <v>1246</v>
      </c>
    </row>
    <row r="7" spans="1:11" ht="18.95" customHeight="1">
      <c r="A7" s="397" t="s">
        <v>1155</v>
      </c>
      <c r="B7" s="1174">
        <v>60.97</v>
      </c>
      <c r="C7" s="1175">
        <v>54</v>
      </c>
      <c r="D7" s="1176">
        <v>57.59</v>
      </c>
      <c r="E7" s="1174">
        <v>82</v>
      </c>
      <c r="F7" s="1175">
        <v>73.989999999999995</v>
      </c>
      <c r="G7" s="1175">
        <v>78.040000000000006</v>
      </c>
      <c r="H7" s="1174">
        <v>61.06</v>
      </c>
      <c r="I7" s="1175">
        <v>54.09</v>
      </c>
      <c r="J7" s="1176">
        <v>57.68</v>
      </c>
    </row>
    <row r="8" spans="1:11" ht="18.95" customHeight="1">
      <c r="A8" s="181" t="s">
        <v>1051</v>
      </c>
      <c r="B8" s="386">
        <v>57.37</v>
      </c>
      <c r="C8" s="360">
        <v>47.21</v>
      </c>
      <c r="D8" s="104">
        <v>52.47</v>
      </c>
      <c r="E8" s="1201" t="s">
        <v>1509</v>
      </c>
      <c r="F8" s="1202" t="s">
        <v>1509</v>
      </c>
      <c r="G8" s="291" t="s">
        <v>1509</v>
      </c>
      <c r="H8" s="386">
        <v>57.37</v>
      </c>
      <c r="I8" s="360">
        <v>47.21</v>
      </c>
      <c r="J8" s="104">
        <v>52.47</v>
      </c>
    </row>
    <row r="9" spans="1:11" ht="18.95" customHeight="1">
      <c r="A9" s="181" t="s">
        <v>495</v>
      </c>
      <c r="B9" s="386">
        <v>57.21</v>
      </c>
      <c r="C9" s="360">
        <v>51.23</v>
      </c>
      <c r="D9" s="104">
        <v>54.34</v>
      </c>
      <c r="E9" s="1201" t="s">
        <v>1509</v>
      </c>
      <c r="F9" s="1202" t="s">
        <v>1509</v>
      </c>
      <c r="G9" s="291" t="s">
        <v>1509</v>
      </c>
      <c r="H9" s="386">
        <v>57.21</v>
      </c>
      <c r="I9" s="360">
        <v>51.23</v>
      </c>
      <c r="J9" s="104">
        <v>54.34</v>
      </c>
    </row>
    <row r="10" spans="1:11" ht="18.95" customHeight="1">
      <c r="A10" s="181" t="s">
        <v>531</v>
      </c>
      <c r="B10" s="386">
        <v>68.39</v>
      </c>
      <c r="C10" s="360">
        <v>60.85</v>
      </c>
      <c r="D10" s="104">
        <v>64.72</v>
      </c>
      <c r="E10" s="386">
        <v>82</v>
      </c>
      <c r="F10" s="360">
        <v>73.989999999999995</v>
      </c>
      <c r="G10" s="104">
        <v>78.040000000000006</v>
      </c>
      <c r="H10" s="386">
        <v>68.760000000000005</v>
      </c>
      <c r="I10" s="360">
        <v>61.22</v>
      </c>
      <c r="J10" s="104">
        <v>65.09</v>
      </c>
    </row>
    <row r="11" spans="1:11" ht="18.95" customHeight="1">
      <c r="A11" s="181" t="s">
        <v>532</v>
      </c>
      <c r="B11" s="386">
        <v>59.97</v>
      </c>
      <c r="C11" s="360">
        <v>54.66</v>
      </c>
      <c r="D11" s="104">
        <v>57.38</v>
      </c>
      <c r="E11" s="1201" t="s">
        <v>1509</v>
      </c>
      <c r="F11" s="1202" t="s">
        <v>1509</v>
      </c>
      <c r="G11" s="291" t="s">
        <v>1509</v>
      </c>
      <c r="H11" s="386">
        <v>59.97</v>
      </c>
      <c r="I11" s="360">
        <v>54.66</v>
      </c>
      <c r="J11" s="104">
        <v>57.38</v>
      </c>
    </row>
    <row r="12" spans="1:11" ht="18.95" customHeight="1">
      <c r="A12" s="181" t="s">
        <v>533</v>
      </c>
      <c r="B12" s="386">
        <v>64.17</v>
      </c>
      <c r="C12" s="360">
        <v>55.81</v>
      </c>
      <c r="D12" s="104">
        <v>60.13</v>
      </c>
      <c r="E12" s="1201" t="s">
        <v>1509</v>
      </c>
      <c r="F12" s="1202" t="s">
        <v>1509</v>
      </c>
      <c r="G12" s="291" t="s">
        <v>1509</v>
      </c>
      <c r="H12" s="386">
        <v>64.17</v>
      </c>
      <c r="I12" s="360">
        <v>55.81</v>
      </c>
      <c r="J12" s="104">
        <v>60.13</v>
      </c>
    </row>
    <row r="13" spans="1:11" ht="18.95" customHeight="1">
      <c r="A13" s="181" t="s">
        <v>573</v>
      </c>
      <c r="B13" s="386">
        <v>58.31</v>
      </c>
      <c r="C13" s="360">
        <v>53.98</v>
      </c>
      <c r="D13" s="104">
        <v>56.19</v>
      </c>
      <c r="E13" s="1201" t="s">
        <v>1509</v>
      </c>
      <c r="F13" s="1202" t="s">
        <v>1509</v>
      </c>
      <c r="G13" s="291" t="s">
        <v>1509</v>
      </c>
      <c r="H13" s="386">
        <v>58.31</v>
      </c>
      <c r="I13" s="360">
        <v>53.98</v>
      </c>
      <c r="J13" s="104">
        <v>56.19</v>
      </c>
    </row>
    <row r="14" spans="1:11" ht="18.95" customHeight="1">
      <c r="A14" s="397" t="s">
        <v>1154</v>
      </c>
      <c r="B14" s="463">
        <v>66.23</v>
      </c>
      <c r="C14" s="464">
        <v>54.46</v>
      </c>
      <c r="D14" s="465">
        <v>60.49</v>
      </c>
      <c r="E14" s="463">
        <v>78.89</v>
      </c>
      <c r="F14" s="464">
        <v>74.03</v>
      </c>
      <c r="G14" s="382">
        <v>76.56</v>
      </c>
      <c r="H14" s="387">
        <v>68.84</v>
      </c>
      <c r="I14" s="381">
        <v>58.38</v>
      </c>
      <c r="J14" s="382">
        <v>63.76</v>
      </c>
    </row>
    <row r="15" spans="1:11" ht="18.95" customHeight="1">
      <c r="A15" s="181" t="s">
        <v>576</v>
      </c>
      <c r="B15" s="386">
        <v>69</v>
      </c>
      <c r="C15" s="360">
        <v>55.03</v>
      </c>
      <c r="D15" s="104">
        <v>62.13</v>
      </c>
      <c r="E15" s="386">
        <v>91.82</v>
      </c>
      <c r="F15" s="360">
        <v>86.12</v>
      </c>
      <c r="G15" s="104">
        <v>88.99</v>
      </c>
      <c r="H15" s="386">
        <v>69.790000000000006</v>
      </c>
      <c r="I15" s="360">
        <v>56.13</v>
      </c>
      <c r="J15" s="104">
        <v>63.07</v>
      </c>
    </row>
    <row r="16" spans="1:11" ht="18.95" customHeight="1">
      <c r="A16" s="181" t="s">
        <v>1510</v>
      </c>
      <c r="B16" s="386">
        <v>75.52</v>
      </c>
      <c r="C16" s="360">
        <v>60.2</v>
      </c>
      <c r="D16" s="104">
        <v>68.09</v>
      </c>
      <c r="E16" s="792" t="s">
        <v>1509</v>
      </c>
      <c r="F16" s="792" t="s">
        <v>1509</v>
      </c>
      <c r="G16" s="291" t="s">
        <v>1509</v>
      </c>
      <c r="H16" s="386">
        <v>75.52</v>
      </c>
      <c r="I16" s="360">
        <v>60.2</v>
      </c>
      <c r="J16" s="104">
        <v>68.09</v>
      </c>
    </row>
    <row r="17" spans="1:10" ht="18.95" customHeight="1">
      <c r="A17" s="181" t="s">
        <v>577</v>
      </c>
      <c r="B17" s="386">
        <v>64.05</v>
      </c>
      <c r="C17" s="360">
        <v>47.35</v>
      </c>
      <c r="D17" s="104">
        <v>55.79</v>
      </c>
      <c r="E17" s="386">
        <v>85.12</v>
      </c>
      <c r="F17" s="360">
        <v>74.91</v>
      </c>
      <c r="G17" s="104">
        <v>80.12</v>
      </c>
      <c r="H17" s="386">
        <v>66.69</v>
      </c>
      <c r="I17" s="360">
        <v>50.74</v>
      </c>
      <c r="J17" s="104">
        <v>58.81</v>
      </c>
    </row>
    <row r="18" spans="1:10" ht="18.95" customHeight="1">
      <c r="A18" s="181" t="s">
        <v>578</v>
      </c>
      <c r="B18" s="386">
        <v>63.65</v>
      </c>
      <c r="C18" s="360">
        <v>51.83</v>
      </c>
      <c r="D18" s="104">
        <v>57.9</v>
      </c>
      <c r="E18" s="386">
        <v>75.62</v>
      </c>
      <c r="F18" s="360">
        <v>65.569999999999993</v>
      </c>
      <c r="G18" s="104">
        <v>70.72</v>
      </c>
      <c r="H18" s="386">
        <v>65.25</v>
      </c>
      <c r="I18" s="360">
        <v>53.66</v>
      </c>
      <c r="J18" s="104">
        <v>59.61</v>
      </c>
    </row>
    <row r="19" spans="1:10" ht="18.95" customHeight="1">
      <c r="A19" s="181" t="s">
        <v>490</v>
      </c>
      <c r="B19" s="386">
        <v>67.209999999999994</v>
      </c>
      <c r="C19" s="360">
        <v>59.1</v>
      </c>
      <c r="D19" s="104">
        <v>63.26</v>
      </c>
      <c r="E19" s="386">
        <v>65.09</v>
      </c>
      <c r="F19" s="360">
        <v>57.21</v>
      </c>
      <c r="G19" s="104">
        <v>61.27</v>
      </c>
      <c r="H19" s="386">
        <v>66.959999999999994</v>
      </c>
      <c r="I19" s="360">
        <v>58.88</v>
      </c>
      <c r="J19" s="104">
        <v>63.03</v>
      </c>
    </row>
    <row r="20" spans="1:10" ht="18.95" customHeight="1">
      <c r="A20" s="181" t="s">
        <v>580</v>
      </c>
      <c r="B20" s="386">
        <v>64.180000000000007</v>
      </c>
      <c r="C20" s="360">
        <v>50.89</v>
      </c>
      <c r="D20" s="104">
        <v>57.77</v>
      </c>
      <c r="E20" s="1201" t="s">
        <v>1509</v>
      </c>
      <c r="F20" s="1202" t="s">
        <v>1509</v>
      </c>
      <c r="G20" s="1202" t="s">
        <v>1509</v>
      </c>
      <c r="H20" s="386">
        <v>64.180000000000007</v>
      </c>
      <c r="I20" s="360">
        <v>50.89</v>
      </c>
      <c r="J20" s="104">
        <v>57.77</v>
      </c>
    </row>
    <row r="21" spans="1:10" ht="18.95" customHeight="1">
      <c r="A21" s="181" t="s">
        <v>585</v>
      </c>
      <c r="B21" s="386">
        <v>66.709999999999994</v>
      </c>
      <c r="C21" s="360">
        <v>60.2</v>
      </c>
      <c r="D21" s="104">
        <v>63.52</v>
      </c>
      <c r="E21" s="386">
        <v>71.150000000000006</v>
      </c>
      <c r="F21" s="360">
        <v>66.67</v>
      </c>
      <c r="G21" s="104">
        <v>68.97</v>
      </c>
      <c r="H21" s="386">
        <v>68.13</v>
      </c>
      <c r="I21" s="360">
        <v>62.25</v>
      </c>
      <c r="J21" s="104">
        <v>65.25</v>
      </c>
    </row>
    <row r="22" spans="1:10" ht="18.95" customHeight="1">
      <c r="A22" s="181" t="s">
        <v>586</v>
      </c>
      <c r="B22" s="386">
        <v>69.86</v>
      </c>
      <c r="C22" s="360">
        <v>60.13</v>
      </c>
      <c r="D22" s="104">
        <v>65.12</v>
      </c>
      <c r="E22" s="386">
        <v>55.37</v>
      </c>
      <c r="F22" s="360">
        <v>49.42</v>
      </c>
      <c r="G22" s="104">
        <v>52.45</v>
      </c>
      <c r="H22" s="386">
        <v>69.599999999999994</v>
      </c>
      <c r="I22" s="360">
        <v>59.93</v>
      </c>
      <c r="J22" s="104">
        <v>64.89</v>
      </c>
    </row>
    <row r="23" spans="1:10" ht="18.95" customHeight="1">
      <c r="A23" s="181" t="s">
        <v>587</v>
      </c>
      <c r="B23" s="386">
        <v>59.54</v>
      </c>
      <c r="C23" s="360">
        <v>47.61</v>
      </c>
      <c r="D23" s="104">
        <v>53.75</v>
      </c>
      <c r="E23" s="386">
        <v>63.86</v>
      </c>
      <c r="F23" s="360">
        <v>53.05</v>
      </c>
      <c r="G23" s="104">
        <v>58.55</v>
      </c>
      <c r="H23" s="386">
        <v>59.91</v>
      </c>
      <c r="I23" s="360">
        <v>48.07</v>
      </c>
      <c r="J23" s="104">
        <v>54.16</v>
      </c>
    </row>
    <row r="24" spans="1:10" ht="18.95" customHeight="1">
      <c r="A24" s="181" t="s">
        <v>1511</v>
      </c>
      <c r="B24" s="1224" t="s">
        <v>1509</v>
      </c>
      <c r="C24" s="792" t="s">
        <v>1509</v>
      </c>
      <c r="D24" s="291" t="s">
        <v>1509</v>
      </c>
      <c r="E24" s="386">
        <v>75.5</v>
      </c>
      <c r="F24" s="360">
        <v>75.73</v>
      </c>
      <c r="G24" s="104">
        <v>75.599999999999994</v>
      </c>
      <c r="H24" s="386">
        <v>75.5</v>
      </c>
      <c r="I24" s="360">
        <v>75.73</v>
      </c>
      <c r="J24" s="104">
        <v>75.599999999999994</v>
      </c>
    </row>
    <row r="25" spans="1:10" ht="18.95" customHeight="1">
      <c r="A25" s="181" t="s">
        <v>579</v>
      </c>
      <c r="B25" s="1224" t="s">
        <v>1509</v>
      </c>
      <c r="C25" s="792" t="s">
        <v>1509</v>
      </c>
      <c r="D25" s="291" t="s">
        <v>1509</v>
      </c>
      <c r="E25" s="386">
        <v>88.77</v>
      </c>
      <c r="F25" s="360">
        <v>84.04</v>
      </c>
      <c r="G25" s="104">
        <v>86.46</v>
      </c>
      <c r="H25" s="386">
        <v>88.77</v>
      </c>
      <c r="I25" s="360">
        <v>84.04</v>
      </c>
      <c r="J25" s="104">
        <v>86.46</v>
      </c>
    </row>
    <row r="26" spans="1:10" ht="16.5" customHeight="1">
      <c r="A26" s="1222" t="s">
        <v>899</v>
      </c>
      <c r="B26" s="1225">
        <v>64.19</v>
      </c>
      <c r="C26" s="1226">
        <v>54.29</v>
      </c>
      <c r="D26" s="1226">
        <v>59.37</v>
      </c>
      <c r="E26" s="1225">
        <v>78.92</v>
      </c>
      <c r="F26" s="1226">
        <v>74.03</v>
      </c>
      <c r="G26" s="1227">
        <v>76.58</v>
      </c>
      <c r="H26" s="1226">
        <v>66.239999999999995</v>
      </c>
      <c r="I26" s="1226">
        <v>56.96</v>
      </c>
      <c r="J26" s="1227">
        <v>61.73</v>
      </c>
    </row>
    <row r="27" spans="1:10">
      <c r="A27" s="1209" t="s">
        <v>279</v>
      </c>
      <c r="B27" s="1210"/>
      <c r="C27" s="1210"/>
      <c r="D27" s="91"/>
      <c r="E27" s="91"/>
      <c r="F27" s="91"/>
      <c r="G27" s="144"/>
      <c r="H27" s="1188"/>
      <c r="I27" s="1188"/>
      <c r="J27" s="1211" t="s">
        <v>900</v>
      </c>
    </row>
    <row r="28" spans="1:10">
      <c r="A28" s="1212"/>
      <c r="B28" s="91"/>
      <c r="C28" s="91"/>
      <c r="D28" s="91"/>
      <c r="E28" s="91"/>
      <c r="F28" s="91"/>
      <c r="G28" s="144"/>
      <c r="H28" s="144"/>
      <c r="I28" s="144"/>
      <c r="J28" s="144"/>
    </row>
    <row r="29" spans="1:10">
      <c r="A29" s="91"/>
      <c r="B29" s="91"/>
      <c r="C29" s="91"/>
      <c r="D29" s="91"/>
      <c r="E29" s="91"/>
      <c r="F29" s="91"/>
      <c r="H29" s="144"/>
      <c r="I29" s="144"/>
      <c r="J29" s="144"/>
    </row>
    <row r="30" spans="1:10">
      <c r="A30" s="91"/>
      <c r="B30" s="91"/>
      <c r="C30" s="91"/>
      <c r="D30" s="91"/>
      <c r="E30" s="91"/>
      <c r="F30" s="91"/>
      <c r="G30" s="144"/>
      <c r="H30" s="144"/>
      <c r="I30" s="144"/>
      <c r="J30" s="144"/>
    </row>
    <row r="31" spans="1:10">
      <c r="A31" s="91"/>
      <c r="B31" s="91"/>
      <c r="C31" s="91"/>
      <c r="D31" s="91"/>
      <c r="E31" s="91"/>
      <c r="F31" s="91"/>
      <c r="G31" s="144"/>
      <c r="H31" s="144"/>
      <c r="I31" s="144"/>
      <c r="J31" s="144"/>
    </row>
    <row r="32" spans="1:10">
      <c r="A32" s="91"/>
      <c r="B32" s="91"/>
      <c r="C32" s="91"/>
      <c r="D32" s="91"/>
      <c r="E32" s="91"/>
      <c r="F32" s="91"/>
      <c r="G32" s="144"/>
      <c r="H32" s="144"/>
      <c r="I32" s="144"/>
      <c r="J32" s="144"/>
    </row>
    <row r="33" spans="1:10">
      <c r="A33" s="91"/>
      <c r="B33" s="91"/>
      <c r="C33" s="91"/>
      <c r="D33" s="91"/>
      <c r="E33" s="91"/>
      <c r="F33" s="91"/>
      <c r="G33" s="144"/>
      <c r="H33" s="144"/>
      <c r="I33" s="144"/>
      <c r="J33" s="144"/>
    </row>
    <row r="34" spans="1:10">
      <c r="A34" s="91"/>
      <c r="B34" s="91"/>
      <c r="C34" s="91"/>
      <c r="D34" s="91"/>
      <c r="E34" s="91"/>
      <c r="F34" s="91"/>
      <c r="G34" s="144"/>
      <c r="H34" s="144"/>
      <c r="I34" s="144"/>
      <c r="J34" s="144"/>
    </row>
    <row r="35" spans="1:10">
      <c r="A35" s="91"/>
      <c r="B35" s="91"/>
      <c r="C35" s="91"/>
      <c r="D35" s="91"/>
      <c r="E35" s="91"/>
      <c r="F35" s="91"/>
      <c r="G35" s="144"/>
      <c r="H35" s="144"/>
      <c r="I35" s="144"/>
      <c r="J35" s="144"/>
    </row>
    <row r="36" spans="1:10">
      <c r="A36" s="91"/>
      <c r="B36" s="91"/>
      <c r="C36" s="91"/>
      <c r="D36" s="91"/>
      <c r="E36" s="91"/>
      <c r="F36" s="91"/>
      <c r="G36" s="144"/>
      <c r="H36" s="144"/>
      <c r="I36" s="144"/>
      <c r="J36" s="144"/>
    </row>
    <row r="37" spans="1:10">
      <c r="A37" s="91"/>
      <c r="B37" s="91"/>
      <c r="C37" s="91"/>
      <c r="D37" s="91"/>
      <c r="E37" s="91"/>
      <c r="F37" s="91"/>
      <c r="G37" s="144"/>
      <c r="H37" s="144"/>
      <c r="I37" s="144"/>
      <c r="J37" s="144"/>
    </row>
    <row r="38" spans="1:10">
      <c r="A38" s="91"/>
      <c r="B38" s="91"/>
      <c r="C38" s="91"/>
      <c r="D38" s="91"/>
      <c r="E38" s="91"/>
      <c r="F38" s="91"/>
      <c r="G38" s="144"/>
      <c r="H38" s="144"/>
      <c r="I38" s="144"/>
      <c r="J38" s="144"/>
    </row>
    <row r="39" spans="1:10">
      <c r="A39" s="91"/>
      <c r="B39" s="91"/>
      <c r="C39" s="91"/>
      <c r="D39" s="91"/>
      <c r="E39" s="91"/>
      <c r="F39" s="91"/>
      <c r="G39" s="144"/>
      <c r="H39" s="144"/>
      <c r="I39" s="144"/>
      <c r="J39" s="144"/>
    </row>
    <row r="40" spans="1:10">
      <c r="A40" s="91"/>
      <c r="B40" s="91"/>
      <c r="C40" s="91"/>
      <c r="D40" s="91"/>
      <c r="E40" s="91"/>
      <c r="F40" s="91"/>
      <c r="G40" s="144"/>
      <c r="H40" s="144"/>
      <c r="I40" s="144"/>
      <c r="J40" s="144"/>
    </row>
    <row r="41" spans="1:10">
      <c r="A41" s="91"/>
      <c r="B41" s="91"/>
      <c r="C41" s="91"/>
      <c r="D41" s="91"/>
      <c r="E41" s="91"/>
      <c r="F41" s="91"/>
      <c r="G41" s="144"/>
      <c r="H41" s="144"/>
      <c r="I41" s="144"/>
      <c r="J41" s="144"/>
    </row>
    <row r="42" spans="1:10">
      <c r="A42" s="91"/>
      <c r="B42" s="91"/>
      <c r="C42" s="91"/>
      <c r="D42" s="91"/>
      <c r="E42" s="91"/>
      <c r="F42" s="91"/>
      <c r="G42" s="144"/>
      <c r="H42" s="144"/>
      <c r="I42" s="144"/>
      <c r="J42" s="144"/>
    </row>
    <row r="43" spans="1:10">
      <c r="A43" s="91"/>
      <c r="B43" s="91"/>
      <c r="C43" s="91"/>
      <c r="D43" s="91"/>
      <c r="E43" s="91"/>
      <c r="F43" s="91"/>
      <c r="G43" s="144"/>
      <c r="H43" s="144"/>
      <c r="I43" s="144"/>
      <c r="J43" s="144"/>
    </row>
    <row r="44" spans="1:10">
      <c r="A44" s="91"/>
      <c r="B44" s="91"/>
      <c r="C44" s="91"/>
      <c r="D44" s="91"/>
      <c r="E44" s="91"/>
      <c r="F44" s="91"/>
      <c r="G44" s="144"/>
      <c r="H44" s="144"/>
      <c r="I44" s="144"/>
      <c r="J44" s="144"/>
    </row>
    <row r="45" spans="1:10">
      <c r="A45" s="91"/>
      <c r="B45" s="91"/>
      <c r="C45" s="91"/>
      <c r="D45" s="91"/>
      <c r="E45" s="91"/>
      <c r="F45" s="91"/>
      <c r="G45" s="144"/>
      <c r="H45" s="144"/>
      <c r="I45" s="144"/>
      <c r="J45" s="144"/>
    </row>
    <row r="46" spans="1:10">
      <c r="A46" s="91"/>
      <c r="B46" s="91"/>
      <c r="C46" s="91"/>
      <c r="D46" s="91"/>
      <c r="E46" s="91"/>
      <c r="F46" s="91"/>
      <c r="G46" s="144"/>
      <c r="H46" s="144"/>
      <c r="I46" s="144"/>
      <c r="J46" s="144"/>
    </row>
    <row r="47" spans="1:10">
      <c r="A47" s="91"/>
      <c r="B47" s="91"/>
      <c r="C47" s="91"/>
      <c r="D47" s="91"/>
      <c r="E47" s="91"/>
      <c r="F47" s="91"/>
      <c r="G47" s="144"/>
      <c r="H47" s="144"/>
      <c r="I47" s="144"/>
      <c r="J47" s="144"/>
    </row>
    <row r="48" spans="1:10">
      <c r="A48" s="91"/>
      <c r="B48" s="91"/>
      <c r="C48" s="91"/>
      <c r="D48" s="91"/>
      <c r="E48" s="91"/>
      <c r="F48" s="91"/>
      <c r="G48" s="144"/>
      <c r="H48" s="144"/>
      <c r="I48" s="144"/>
      <c r="J48" s="144"/>
    </row>
    <row r="49" spans="1:10">
      <c r="A49" s="91"/>
      <c r="B49" s="91"/>
      <c r="C49" s="91"/>
      <c r="D49" s="91"/>
      <c r="E49" s="91"/>
      <c r="F49" s="91"/>
      <c r="G49" s="144"/>
      <c r="H49" s="144"/>
      <c r="I49" s="144"/>
      <c r="J49" s="144"/>
    </row>
    <row r="50" spans="1:10">
      <c r="A50" s="91"/>
      <c r="B50" s="91"/>
      <c r="C50" s="91"/>
      <c r="D50" s="91"/>
      <c r="E50" s="91"/>
      <c r="F50" s="91"/>
      <c r="G50" s="144"/>
      <c r="H50" s="144"/>
      <c r="I50" s="144"/>
      <c r="J50" s="144"/>
    </row>
    <row r="51" spans="1:10">
      <c r="A51" s="91"/>
      <c r="B51" s="91"/>
      <c r="C51" s="91"/>
      <c r="D51" s="91"/>
      <c r="E51" s="91"/>
      <c r="F51" s="91"/>
      <c r="G51" s="144"/>
      <c r="H51" s="144"/>
      <c r="I51" s="144"/>
      <c r="J51" s="144"/>
    </row>
    <row r="52" spans="1:10">
      <c r="A52" s="91"/>
      <c r="B52" s="91"/>
      <c r="C52" s="91"/>
      <c r="D52" s="91"/>
      <c r="E52" s="91"/>
      <c r="F52" s="91"/>
      <c r="G52" s="144"/>
      <c r="H52" s="144"/>
      <c r="I52" s="144"/>
      <c r="J52" s="144"/>
    </row>
    <row r="53" spans="1:10">
      <c r="A53" s="91"/>
      <c r="B53" s="91"/>
      <c r="C53" s="91"/>
      <c r="D53" s="91"/>
      <c r="E53" s="91"/>
      <c r="F53" s="91"/>
      <c r="G53" s="144"/>
      <c r="H53" s="144"/>
      <c r="I53" s="144"/>
      <c r="J53" s="144"/>
    </row>
    <row r="54" spans="1:10">
      <c r="A54" s="91"/>
      <c r="B54" s="91"/>
      <c r="C54" s="91"/>
      <c r="D54" s="91"/>
      <c r="E54" s="91"/>
      <c r="F54" s="91"/>
      <c r="G54" s="144"/>
      <c r="H54" s="144"/>
      <c r="I54" s="144"/>
      <c r="J54" s="144"/>
    </row>
    <row r="55" spans="1:10">
      <c r="A55" s="91"/>
      <c r="B55" s="91"/>
      <c r="C55" s="91"/>
      <c r="D55" s="91"/>
      <c r="E55" s="91"/>
      <c r="F55" s="91"/>
      <c r="G55" s="144"/>
      <c r="H55" s="144"/>
      <c r="I55" s="144"/>
      <c r="J55" s="144"/>
    </row>
    <row r="56" spans="1:10">
      <c r="A56" s="91"/>
      <c r="B56" s="91"/>
      <c r="C56" s="91"/>
      <c r="D56" s="91"/>
      <c r="E56" s="91"/>
      <c r="F56" s="91"/>
      <c r="G56" s="144"/>
      <c r="H56" s="144"/>
      <c r="I56" s="144"/>
      <c r="J56" s="144"/>
    </row>
    <row r="57" spans="1:10">
      <c r="A57" s="91"/>
      <c r="B57" s="91"/>
      <c r="C57" s="91"/>
      <c r="D57" s="91"/>
      <c r="E57" s="91"/>
      <c r="F57" s="91"/>
      <c r="G57" s="144"/>
      <c r="H57" s="144"/>
      <c r="I57" s="144"/>
      <c r="J57" s="144"/>
    </row>
    <row r="58" spans="1:10">
      <c r="A58" s="91"/>
      <c r="B58" s="91"/>
      <c r="C58" s="91"/>
      <c r="D58" s="91"/>
      <c r="E58" s="91"/>
      <c r="F58" s="91"/>
      <c r="G58" s="144"/>
      <c r="H58" s="144"/>
      <c r="I58" s="144"/>
      <c r="J58" s="144"/>
    </row>
    <row r="59" spans="1:10">
      <c r="A59" s="91"/>
      <c r="B59" s="91"/>
      <c r="C59" s="91"/>
      <c r="D59" s="91"/>
      <c r="E59" s="91"/>
      <c r="F59" s="91"/>
      <c r="G59" s="144"/>
      <c r="H59" s="144"/>
      <c r="I59" s="144"/>
      <c r="J59" s="144"/>
    </row>
    <row r="60" spans="1:10">
      <c r="A60" s="91"/>
      <c r="B60" s="91"/>
      <c r="C60" s="91"/>
      <c r="D60" s="91"/>
      <c r="E60" s="91"/>
      <c r="F60" s="91"/>
      <c r="G60" s="144"/>
      <c r="H60" s="144"/>
      <c r="I60" s="144"/>
      <c r="J60" s="144"/>
    </row>
    <row r="61" spans="1:10" s="144" customFormat="1">
      <c r="A61" s="1213"/>
    </row>
    <row r="62" spans="1:10">
      <c r="A62" s="1214"/>
      <c r="B62" s="144"/>
      <c r="C62" s="144"/>
      <c r="D62" s="144"/>
      <c r="E62" s="144"/>
      <c r="F62" s="144"/>
      <c r="G62" s="144"/>
      <c r="H62" s="144"/>
      <c r="I62" s="144"/>
      <c r="J62" s="144"/>
    </row>
    <row r="63" spans="1:10">
      <c r="A63" s="1215"/>
      <c r="B63" s="1215"/>
      <c r="C63" s="1215"/>
      <c r="D63" s="1215"/>
      <c r="E63" s="1215"/>
      <c r="F63" s="1215"/>
      <c r="G63" s="1215"/>
      <c r="H63" s="1215"/>
      <c r="I63" s="1215"/>
      <c r="J63" s="1215"/>
    </row>
    <row r="64" spans="1:10">
      <c r="A64" s="1215"/>
      <c r="B64" s="1215"/>
      <c r="C64" s="1215"/>
      <c r="D64" s="1215"/>
      <c r="E64" s="1215"/>
      <c r="F64" s="1215"/>
      <c r="H64" s="1215"/>
      <c r="I64" s="1215"/>
      <c r="J64" s="1215"/>
    </row>
    <row r="65" spans="1:10">
      <c r="A65" s="1215"/>
      <c r="B65" s="1215"/>
      <c r="C65" s="1215"/>
      <c r="D65" s="1215"/>
      <c r="E65" s="1215"/>
      <c r="F65" s="1215"/>
      <c r="G65" s="1215"/>
      <c r="H65" s="1215"/>
      <c r="I65" s="1215"/>
      <c r="J65" s="1215"/>
    </row>
    <row r="66" spans="1:10">
      <c r="A66" s="1215"/>
      <c r="B66" s="1215"/>
      <c r="C66" s="1215"/>
      <c r="D66" s="1215"/>
      <c r="E66" s="1215"/>
      <c r="F66" s="1215"/>
      <c r="G66" s="1215"/>
      <c r="H66" s="1215"/>
      <c r="I66" s="1215"/>
      <c r="J66" s="1215"/>
    </row>
    <row r="67" spans="1:10">
      <c r="A67" s="1215"/>
      <c r="B67" s="1215"/>
      <c r="C67" s="1215"/>
      <c r="D67" s="1215"/>
      <c r="E67" s="1215"/>
      <c r="F67" s="1215"/>
      <c r="G67" s="1215"/>
      <c r="H67" s="1215"/>
      <c r="I67" s="1215"/>
      <c r="J67" s="1215"/>
    </row>
    <row r="68" spans="1:10">
      <c r="A68" s="1215"/>
      <c r="B68" s="1215"/>
      <c r="C68" s="1215"/>
      <c r="D68" s="1215"/>
      <c r="E68" s="1215"/>
      <c r="F68" s="1215"/>
      <c r="G68" s="1215"/>
      <c r="H68" s="1215"/>
      <c r="I68" s="1215"/>
      <c r="J68" s="1215"/>
    </row>
    <row r="69" spans="1:10">
      <c r="A69" s="1215"/>
      <c r="B69" s="1215"/>
      <c r="C69" s="1215"/>
      <c r="D69" s="1215"/>
      <c r="E69" s="1215"/>
      <c r="F69" s="1215"/>
      <c r="G69" s="1215"/>
      <c r="H69" s="1215"/>
      <c r="I69" s="1215"/>
      <c r="J69" s="1215"/>
    </row>
    <row r="70" spans="1:10">
      <c r="A70" s="1215"/>
      <c r="B70" s="1215"/>
      <c r="C70" s="1215"/>
      <c r="D70" s="1215"/>
      <c r="E70" s="1215"/>
      <c r="F70" s="1215"/>
      <c r="G70" s="1215"/>
      <c r="H70" s="1215"/>
      <c r="I70" s="1215"/>
      <c r="J70" s="1215"/>
    </row>
    <row r="71" spans="1:10">
      <c r="A71" s="1215"/>
      <c r="B71" s="1215"/>
      <c r="C71" s="1215"/>
      <c r="D71" s="1215"/>
      <c r="E71" s="1215"/>
      <c r="F71" s="1215"/>
      <c r="G71" s="1215"/>
      <c r="H71" s="1215"/>
      <c r="I71" s="1215"/>
      <c r="J71" s="1215"/>
    </row>
  </sheetData>
  <mergeCells count="6">
    <mergeCell ref="A1:J1"/>
    <mergeCell ref="A2:J2"/>
    <mergeCell ref="A4:A5"/>
    <mergeCell ref="B4:D4"/>
    <mergeCell ref="E4:G4"/>
    <mergeCell ref="H4:J4"/>
  </mergeCells>
  <phoneticPr fontId="0" type="noConversion"/>
  <printOptions horizontalCentered="1"/>
  <pageMargins left="0.1" right="0.1" top="0.62" bottom="0.1" header="0.62" footer="0.1"/>
  <pageSetup paperSize="9" orientation="landscape" blackAndWhite="1" horizontalDpi="4294967295" r:id="rId1"/>
  <headerFooter alignWithMargins="0"/>
</worksheet>
</file>

<file path=xl/worksheets/sheet37.xml><?xml version="1.0" encoding="utf-8"?>
<worksheet xmlns="http://schemas.openxmlformats.org/spreadsheetml/2006/main" xmlns:r="http://schemas.openxmlformats.org/officeDocument/2006/relationships">
  <sheetPr codeName="Sheet35" enableFormatConditionsCalculation="0"/>
  <dimension ref="A1:G66"/>
  <sheetViews>
    <sheetView workbookViewId="0">
      <selection activeCell="M5" sqref="M5"/>
    </sheetView>
  </sheetViews>
  <sheetFormatPr defaultRowHeight="12.4" customHeight="1"/>
  <cols>
    <col min="1" max="1" width="25.85546875" customWidth="1"/>
    <col min="2" max="2" width="18.28515625" customWidth="1"/>
    <col min="3" max="3" width="20.42578125" customWidth="1"/>
    <col min="4" max="4" width="23.42578125" customWidth="1"/>
  </cols>
  <sheetData>
    <row r="1" spans="1:7" ht="12.4" customHeight="1">
      <c r="A1" s="1363" t="s">
        <v>1369</v>
      </c>
      <c r="B1" s="1363"/>
      <c r="C1" s="1363"/>
      <c r="D1" s="1363"/>
    </row>
    <row r="2" spans="1:7" ht="33" customHeight="1">
      <c r="A2" s="1534" t="str">
        <f>CONCATENATE(" Public Libraries, Reading Rooms and Mass Literacy Centres 
in the district of ",District!A1)</f>
        <v xml:space="preserve"> Public Libraries, Reading Rooms and Mass Literacy Centres 
in the district of Malda</v>
      </c>
      <c r="B2" s="1534"/>
      <c r="C2" s="1534"/>
      <c r="D2" s="1534"/>
    </row>
    <row r="3" spans="1:7" ht="12.75" customHeight="1">
      <c r="B3" s="4"/>
      <c r="C3" s="4"/>
      <c r="D3" s="159" t="s">
        <v>1253</v>
      </c>
    </row>
    <row r="4" spans="1:7" ht="39.75" customHeight="1">
      <c r="A4" s="258" t="s">
        <v>1089</v>
      </c>
      <c r="B4" s="545" t="s">
        <v>1671</v>
      </c>
      <c r="C4" s="525" t="s">
        <v>1670</v>
      </c>
      <c r="D4" s="258" t="s">
        <v>1421</v>
      </c>
    </row>
    <row r="5" spans="1:7" ht="18" customHeight="1">
      <c r="A5" s="218" t="s">
        <v>1208</v>
      </c>
      <c r="B5" s="151" t="s">
        <v>1209</v>
      </c>
      <c r="C5" s="152" t="s">
        <v>1210</v>
      </c>
      <c r="D5" s="151" t="s">
        <v>1211</v>
      </c>
    </row>
    <row r="6" spans="1:7" ht="21" customHeight="1">
      <c r="A6" s="251" t="s">
        <v>1577</v>
      </c>
      <c r="B6" s="116">
        <v>104</v>
      </c>
      <c r="C6" s="41">
        <v>106</v>
      </c>
      <c r="D6" s="116" t="s">
        <v>77</v>
      </c>
    </row>
    <row r="7" spans="1:7" ht="21" customHeight="1">
      <c r="A7" s="836" t="s">
        <v>1576</v>
      </c>
      <c r="B7" s="116">
        <v>105</v>
      </c>
      <c r="C7" s="304">
        <v>107</v>
      </c>
      <c r="D7" s="116" t="s">
        <v>77</v>
      </c>
    </row>
    <row r="8" spans="1:7" ht="21" customHeight="1">
      <c r="A8" s="836" t="s">
        <v>267</v>
      </c>
      <c r="B8" s="98">
        <v>105</v>
      </c>
      <c r="C8" s="41">
        <v>107</v>
      </c>
      <c r="D8" s="116" t="s">
        <v>1035</v>
      </c>
    </row>
    <row r="9" spans="1:7" ht="21" customHeight="1">
      <c r="A9" s="836" t="s">
        <v>1094</v>
      </c>
      <c r="B9" s="98">
        <v>105</v>
      </c>
      <c r="C9" s="304">
        <v>107</v>
      </c>
      <c r="D9" s="116" t="s">
        <v>1036</v>
      </c>
      <c r="F9" s="1270"/>
    </row>
    <row r="10" spans="1:7" ht="21" customHeight="1">
      <c r="A10" s="761" t="s">
        <v>1595</v>
      </c>
      <c r="B10" s="117">
        <f>IF(SUM(B12:B19)=0,"-",SUM(B12,B19))</f>
        <v>105</v>
      </c>
      <c r="C10" s="117">
        <f>IF(SUM(C12:C19)=0,"-",SUM(C12,C19))</f>
        <v>107</v>
      </c>
      <c r="D10" s="94" t="str">
        <f>IF(SUM(D12:D19)=0,"-",SUM(D12,D19)) &amp; "*"</f>
        <v>13000*</v>
      </c>
      <c r="E10" s="9"/>
    </row>
    <row r="11" spans="1:7" ht="21" customHeight="1">
      <c r="A11" s="566" t="s">
        <v>35</v>
      </c>
      <c r="B11" s="1640" t="str">
        <f>"Year : " &amp; A10</f>
        <v>Year : 2013-14</v>
      </c>
      <c r="C11" s="1536"/>
      <c r="D11" s="1537"/>
      <c r="G11" s="1262"/>
    </row>
    <row r="12" spans="1:7" ht="21" customHeight="1">
      <c r="A12" s="575" t="s">
        <v>1155</v>
      </c>
      <c r="B12" s="409">
        <f>IF(SUM(B13:B18)=0,"-",SUM(B13:B18))</f>
        <v>38</v>
      </c>
      <c r="C12" s="409">
        <f>IF(SUM(C13:C18)=0,"-",SUM(C13:C18))</f>
        <v>38</v>
      </c>
      <c r="D12" s="409">
        <f>IF(SUM(D13:D18)=0,"..",SUM(D13:D18))</f>
        <v>4366</v>
      </c>
    </row>
    <row r="13" spans="1:7" ht="21" customHeight="1">
      <c r="A13" s="305" t="s">
        <v>1051</v>
      </c>
      <c r="B13" s="112">
        <v>7</v>
      </c>
      <c r="C13" s="112">
        <v>7</v>
      </c>
      <c r="D13" s="132">
        <v>623</v>
      </c>
    </row>
    <row r="14" spans="1:7" ht="21" customHeight="1">
      <c r="A14" s="425" t="s">
        <v>495</v>
      </c>
      <c r="B14" s="112">
        <v>5</v>
      </c>
      <c r="C14" s="112">
        <v>5</v>
      </c>
      <c r="D14" s="132">
        <v>802</v>
      </c>
    </row>
    <row r="15" spans="1:7" ht="21" customHeight="1">
      <c r="A15" s="425" t="s">
        <v>531</v>
      </c>
      <c r="B15" s="112">
        <v>6</v>
      </c>
      <c r="C15" s="112">
        <v>6</v>
      </c>
      <c r="D15" s="132">
        <v>712</v>
      </c>
    </row>
    <row r="16" spans="1:7" ht="21" customHeight="1">
      <c r="A16" s="425" t="s">
        <v>532</v>
      </c>
      <c r="B16" s="112">
        <v>6</v>
      </c>
      <c r="C16" s="112">
        <v>6</v>
      </c>
      <c r="D16" s="132">
        <v>623</v>
      </c>
    </row>
    <row r="17" spans="1:4" ht="21" customHeight="1">
      <c r="A17" s="425" t="s">
        <v>533</v>
      </c>
      <c r="B17" s="112">
        <v>7</v>
      </c>
      <c r="C17" s="112">
        <v>7</v>
      </c>
      <c r="D17" s="132">
        <v>894</v>
      </c>
    </row>
    <row r="18" spans="1:4" ht="21" customHeight="1">
      <c r="A18" s="425" t="s">
        <v>573</v>
      </c>
      <c r="B18" s="112">
        <v>7</v>
      </c>
      <c r="C18" s="112">
        <v>7</v>
      </c>
      <c r="D18" s="132">
        <v>712</v>
      </c>
    </row>
    <row r="19" spans="1:4" ht="21" customHeight="1">
      <c r="A19" s="424" t="s">
        <v>1154</v>
      </c>
      <c r="B19" s="384">
        <f>IF(SUM(B20:B30)=0,"-",SUM(B20:B30))</f>
        <v>67</v>
      </c>
      <c r="C19" s="397">
        <f>IF(SUM(C20:C30)=0,"-",SUM(C20:C30))</f>
        <v>69</v>
      </c>
      <c r="D19" s="397">
        <f>IF(SUM(D20:D30)=0,"..",SUM(D20:D30))</f>
        <v>8634</v>
      </c>
    </row>
    <row r="20" spans="1:4" ht="21" customHeight="1">
      <c r="A20" s="425" t="s">
        <v>576</v>
      </c>
      <c r="B20" s="112">
        <v>7</v>
      </c>
      <c r="C20" s="112">
        <v>7</v>
      </c>
      <c r="D20" s="132">
        <v>1335</v>
      </c>
    </row>
    <row r="21" spans="1:4" ht="21" customHeight="1">
      <c r="A21" s="425" t="s">
        <v>1510</v>
      </c>
      <c r="B21" s="112">
        <v>6</v>
      </c>
      <c r="C21" s="112">
        <v>6</v>
      </c>
      <c r="D21" s="132">
        <v>534</v>
      </c>
    </row>
    <row r="22" spans="1:4" ht="21" customHeight="1">
      <c r="A22" s="425" t="s">
        <v>577</v>
      </c>
      <c r="B22" s="112">
        <v>7</v>
      </c>
      <c r="C22" s="112">
        <v>7</v>
      </c>
      <c r="D22" s="132">
        <v>979</v>
      </c>
    </row>
    <row r="23" spans="1:4" ht="21" customHeight="1">
      <c r="A23" s="425" t="s">
        <v>578</v>
      </c>
      <c r="B23" s="112">
        <v>4</v>
      </c>
      <c r="C23" s="112">
        <v>4</v>
      </c>
      <c r="D23" s="132">
        <v>534</v>
      </c>
    </row>
    <row r="24" spans="1:4" ht="21" customHeight="1">
      <c r="A24" s="425" t="s">
        <v>490</v>
      </c>
      <c r="B24" s="112">
        <v>9</v>
      </c>
      <c r="C24" s="112">
        <v>9</v>
      </c>
      <c r="D24" s="132">
        <v>979</v>
      </c>
    </row>
    <row r="25" spans="1:4" ht="21" customHeight="1">
      <c r="A25" s="425" t="s">
        <v>580</v>
      </c>
      <c r="B25" s="112">
        <v>9</v>
      </c>
      <c r="C25" s="112">
        <v>9</v>
      </c>
      <c r="D25" s="132">
        <v>979</v>
      </c>
    </row>
    <row r="26" spans="1:4" ht="21" customHeight="1">
      <c r="A26" s="425" t="s">
        <v>585</v>
      </c>
      <c r="B26" s="112">
        <v>6</v>
      </c>
      <c r="C26" s="112">
        <v>6</v>
      </c>
      <c r="D26" s="132">
        <v>1246</v>
      </c>
    </row>
    <row r="27" spans="1:4" ht="21" customHeight="1">
      <c r="A27" s="425" t="s">
        <v>586</v>
      </c>
      <c r="B27" s="112">
        <v>7</v>
      </c>
      <c r="C27" s="112">
        <v>7</v>
      </c>
      <c r="D27" s="132">
        <v>802</v>
      </c>
    </row>
    <row r="28" spans="1:4" ht="21" customHeight="1">
      <c r="A28" s="425" t="s">
        <v>587</v>
      </c>
      <c r="B28" s="112">
        <v>6</v>
      </c>
      <c r="C28" s="112">
        <v>6</v>
      </c>
      <c r="D28" s="132">
        <v>1246</v>
      </c>
    </row>
    <row r="29" spans="1:4" ht="21" customHeight="1">
      <c r="A29" s="425" t="s">
        <v>1511</v>
      </c>
      <c r="B29" s="112">
        <v>3</v>
      </c>
      <c r="C29" s="112">
        <v>3</v>
      </c>
      <c r="D29" s="349" t="s">
        <v>1509</v>
      </c>
    </row>
    <row r="30" spans="1:4" ht="21" customHeight="1">
      <c r="A30" s="533" t="s">
        <v>579</v>
      </c>
      <c r="B30" s="119">
        <v>3</v>
      </c>
      <c r="C30" s="119">
        <v>5</v>
      </c>
      <c r="D30" s="650" t="s">
        <v>1509</v>
      </c>
    </row>
    <row r="31" spans="1:4" ht="12.4" customHeight="1">
      <c r="A31" s="1084" t="s">
        <v>78</v>
      </c>
      <c r="C31" s="932" t="s">
        <v>947</v>
      </c>
      <c r="D31" s="933" t="s">
        <v>281</v>
      </c>
    </row>
    <row r="32" spans="1:4" ht="12.4" customHeight="1">
      <c r="A32" s="1084" t="s">
        <v>79</v>
      </c>
      <c r="C32" s="932" t="s">
        <v>948</v>
      </c>
      <c r="D32" s="933" t="s">
        <v>280</v>
      </c>
    </row>
    <row r="33" spans="1:4" ht="12.4" customHeight="1">
      <c r="A33" s="51"/>
      <c r="B33" s="139"/>
      <c r="C33" s="202"/>
      <c r="D33" s="55"/>
    </row>
    <row r="64" spans="1:4" ht="12.4" customHeight="1">
      <c r="A64" s="51"/>
      <c r="B64" s="51"/>
      <c r="C64" s="51"/>
      <c r="D64" s="51"/>
    </row>
    <row r="66" spans="5:5" ht="12.4" customHeight="1">
      <c r="E66" s="1"/>
    </row>
  </sheetData>
  <mergeCells count="3">
    <mergeCell ref="A1:D1"/>
    <mergeCell ref="A2:D2"/>
    <mergeCell ref="B11:D11"/>
  </mergeCells>
  <phoneticPr fontId="0" type="noConversion"/>
  <printOptions horizontalCentered="1"/>
  <pageMargins left="0.1" right="0.1" top="0.87" bottom="0.1" header="0.39" footer="0.1"/>
  <pageSetup paperSize="9" orientation="portrait" blackAndWhite="1" horizontalDpi="4294967295" r:id="rId1"/>
  <headerFooter alignWithMargins="0"/>
</worksheet>
</file>

<file path=xl/worksheets/sheet38.xml><?xml version="1.0" encoding="utf-8"?>
<worksheet xmlns="http://schemas.openxmlformats.org/spreadsheetml/2006/main" xmlns:r="http://schemas.openxmlformats.org/officeDocument/2006/relationships">
  <sheetPr codeName="Sheet25"/>
  <dimension ref="A1:G50"/>
  <sheetViews>
    <sheetView workbookViewId="0">
      <selection activeCell="K10" sqref="K10"/>
    </sheetView>
  </sheetViews>
  <sheetFormatPr defaultRowHeight="12.75"/>
  <cols>
    <col min="1" max="1" width="17" customWidth="1"/>
    <col min="2" max="2" width="10.140625" customWidth="1"/>
    <col min="3" max="3" width="9.85546875" customWidth="1"/>
    <col min="4" max="4" width="10.85546875" customWidth="1"/>
    <col min="5" max="5" width="9.85546875" customWidth="1"/>
    <col min="6" max="6" width="9.7109375" customWidth="1"/>
    <col min="7" max="7" width="11.5703125" customWidth="1"/>
  </cols>
  <sheetData>
    <row r="1" spans="1:7">
      <c r="A1" s="1363" t="s">
        <v>1368</v>
      </c>
      <c r="B1" s="1363"/>
      <c r="C1" s="1363"/>
      <c r="D1" s="1363"/>
      <c r="E1" s="1363"/>
      <c r="F1" s="1363"/>
      <c r="G1" s="1363"/>
    </row>
    <row r="2" spans="1:7" ht="13.5" customHeight="1">
      <c r="A2" s="1654" t="str">
        <f>CONCATENATE("Cinema Houses in the district of ",District!A1)</f>
        <v>Cinema Houses in the district of Malda</v>
      </c>
      <c r="B2" s="1654"/>
      <c r="C2" s="1654"/>
      <c r="D2" s="1654"/>
      <c r="E2" s="1654"/>
      <c r="F2" s="1654"/>
      <c r="G2" s="1654"/>
    </row>
    <row r="3" spans="1:7" ht="25.5" customHeight="1">
      <c r="A3" s="258" t="s">
        <v>1089</v>
      </c>
      <c r="B3" s="1389" t="s">
        <v>943</v>
      </c>
      <c r="C3" s="1390"/>
      <c r="D3" s="1433" t="s">
        <v>1672</v>
      </c>
      <c r="E3" s="1434"/>
      <c r="F3" s="1435" t="s">
        <v>1673</v>
      </c>
      <c r="G3" s="1434"/>
    </row>
    <row r="4" spans="1:7">
      <c r="A4" s="151" t="s">
        <v>1208</v>
      </c>
      <c r="B4" s="1353" t="s">
        <v>1209</v>
      </c>
      <c r="C4" s="1354"/>
      <c r="D4" s="1353" t="s">
        <v>1210</v>
      </c>
      <c r="E4" s="1354"/>
      <c r="F4" s="1425" t="s">
        <v>1211</v>
      </c>
      <c r="G4" s="1354"/>
    </row>
    <row r="5" spans="1:7" ht="14.25" customHeight="1">
      <c r="A5" s="282" t="s">
        <v>1577</v>
      </c>
      <c r="B5" s="1413">
        <v>41</v>
      </c>
      <c r="C5" s="1414"/>
      <c r="D5" s="1413">
        <v>21507</v>
      </c>
      <c r="E5" s="1414"/>
      <c r="F5" s="1413">
        <v>3032501</v>
      </c>
      <c r="G5" s="1414"/>
    </row>
    <row r="6" spans="1:7" ht="14.25" customHeight="1">
      <c r="A6" s="282" t="s">
        <v>1576</v>
      </c>
      <c r="B6" s="1413">
        <v>41</v>
      </c>
      <c r="C6" s="1414"/>
      <c r="D6" s="1413">
        <v>21507</v>
      </c>
      <c r="E6" s="1414"/>
      <c r="F6" s="1413">
        <v>2068506</v>
      </c>
      <c r="G6" s="1414"/>
    </row>
    <row r="7" spans="1:7" ht="14.25" customHeight="1">
      <c r="A7" s="282" t="s">
        <v>267</v>
      </c>
      <c r="B7" s="1413">
        <v>41</v>
      </c>
      <c r="C7" s="1414"/>
      <c r="D7" s="1649">
        <v>21507</v>
      </c>
      <c r="E7" s="1650"/>
      <c r="F7" s="1413">
        <v>3033196</v>
      </c>
      <c r="G7" s="1414"/>
    </row>
    <row r="8" spans="1:7" ht="14.25" customHeight="1">
      <c r="A8" s="282" t="s">
        <v>1094</v>
      </c>
      <c r="B8" s="1413">
        <v>41</v>
      </c>
      <c r="C8" s="1414"/>
      <c r="D8" s="1413">
        <v>21507</v>
      </c>
      <c r="E8" s="1414"/>
      <c r="F8" s="1413">
        <v>2940940</v>
      </c>
      <c r="G8" s="1414"/>
    </row>
    <row r="9" spans="1:7" ht="14.25" customHeight="1">
      <c r="A9" s="492" t="s">
        <v>1595</v>
      </c>
      <c r="B9" s="1480">
        <f>SUM(B11,B18)</f>
        <v>41</v>
      </c>
      <c r="C9" s="1647"/>
      <c r="D9" s="1480">
        <f>SUM(D11,D18)</f>
        <v>21667</v>
      </c>
      <c r="E9" s="1647"/>
      <c r="F9" s="1480">
        <f>SUM(F11,F18)</f>
        <v>2952629</v>
      </c>
      <c r="G9" s="1647"/>
    </row>
    <row r="10" spans="1:7" ht="24.75" customHeight="1">
      <c r="A10" s="343" t="s">
        <v>1578</v>
      </c>
      <c r="B10" s="1640" t="str">
        <f>"Year : " &amp;A9</f>
        <v>Year : 2013-14</v>
      </c>
      <c r="C10" s="1640"/>
      <c r="D10" s="1640"/>
      <c r="E10" s="1640"/>
      <c r="F10" s="1640"/>
      <c r="G10" s="1648"/>
    </row>
    <row r="11" spans="1:7" ht="25.5" customHeight="1">
      <c r="A11" s="411" t="s">
        <v>1155</v>
      </c>
      <c r="B11" s="1651">
        <f>SUM(B12:B17)</f>
        <v>17</v>
      </c>
      <c r="C11" s="1652"/>
      <c r="D11" s="1651">
        <f>SUM(D12:D17)</f>
        <v>7607</v>
      </c>
      <c r="E11" s="1652"/>
      <c r="F11" s="1651">
        <f>SUM(F12:F16)</f>
        <v>389744</v>
      </c>
      <c r="G11" s="1652"/>
    </row>
    <row r="12" spans="1:7" ht="15.75" customHeight="1">
      <c r="A12" s="181" t="s">
        <v>1051</v>
      </c>
      <c r="B12" s="1417">
        <v>2</v>
      </c>
      <c r="C12" s="1418"/>
      <c r="D12" s="1413">
        <v>1194</v>
      </c>
      <c r="E12" s="1414"/>
      <c r="F12" s="1468">
        <v>149496</v>
      </c>
      <c r="G12" s="1414"/>
    </row>
    <row r="13" spans="1:7" ht="15.75" customHeight="1">
      <c r="A13" s="181" t="s">
        <v>495</v>
      </c>
      <c r="B13" s="1417">
        <v>1</v>
      </c>
      <c r="C13" s="1418"/>
      <c r="D13" s="1413">
        <v>302</v>
      </c>
      <c r="E13" s="1414"/>
      <c r="F13" s="1468">
        <v>42635</v>
      </c>
      <c r="G13" s="1414"/>
    </row>
    <row r="14" spans="1:7" ht="15.75" customHeight="1">
      <c r="A14" s="181" t="s">
        <v>531</v>
      </c>
      <c r="B14" s="1417">
        <v>3</v>
      </c>
      <c r="C14" s="1418"/>
      <c r="D14" s="1413">
        <v>1370</v>
      </c>
      <c r="E14" s="1414"/>
      <c r="F14" s="1468">
        <v>55070</v>
      </c>
      <c r="G14" s="1414"/>
    </row>
    <row r="15" spans="1:7" ht="15.75" customHeight="1">
      <c r="A15" s="181" t="s">
        <v>532</v>
      </c>
      <c r="B15" s="1417" t="s">
        <v>1509</v>
      </c>
      <c r="C15" s="1418"/>
      <c r="D15" s="1413" t="s">
        <v>1509</v>
      </c>
      <c r="E15" s="1414"/>
      <c r="F15" s="1468" t="s">
        <v>1509</v>
      </c>
      <c r="G15" s="1414"/>
    </row>
    <row r="16" spans="1:7" ht="15.75" customHeight="1">
      <c r="A16" s="181" t="s">
        <v>533</v>
      </c>
      <c r="B16" s="1253">
        <v>6</v>
      </c>
      <c r="C16" s="1263" t="s">
        <v>1211</v>
      </c>
      <c r="D16" s="1413">
        <v>3326</v>
      </c>
      <c r="E16" s="1414"/>
      <c r="F16" s="1468">
        <v>142543</v>
      </c>
      <c r="G16" s="1414"/>
    </row>
    <row r="17" spans="1:7" ht="15.75" customHeight="1">
      <c r="A17" s="181" t="s">
        <v>573</v>
      </c>
      <c r="B17" s="1253">
        <v>5</v>
      </c>
      <c r="C17" s="1263" t="s">
        <v>1212</v>
      </c>
      <c r="D17" s="1413">
        <v>1415</v>
      </c>
      <c r="E17" s="1414"/>
      <c r="F17" s="1649" t="s">
        <v>1509</v>
      </c>
      <c r="G17" s="1650"/>
    </row>
    <row r="18" spans="1:7" ht="24" customHeight="1">
      <c r="A18" s="411" t="s">
        <v>1023</v>
      </c>
      <c r="B18" s="1421">
        <f>SUM(B19:B29)</f>
        <v>24</v>
      </c>
      <c r="C18" s="1422"/>
      <c r="D18" s="1421">
        <f>SUM(D19:D29)</f>
        <v>14060</v>
      </c>
      <c r="E18" s="1422"/>
      <c r="F18" s="1644">
        <f>SUM(F19:F29)</f>
        <v>2562885</v>
      </c>
      <c r="G18" s="1422"/>
    </row>
    <row r="19" spans="1:7" ht="15.75" customHeight="1">
      <c r="A19" s="181" t="s">
        <v>576</v>
      </c>
      <c r="B19" s="1254">
        <v>3</v>
      </c>
      <c r="C19" s="1255" t="s">
        <v>1208</v>
      </c>
      <c r="D19" s="1413">
        <v>1776</v>
      </c>
      <c r="E19" s="1414"/>
      <c r="F19" s="1468">
        <v>61442</v>
      </c>
      <c r="G19" s="1414"/>
    </row>
    <row r="20" spans="1:7" ht="15.75" customHeight="1">
      <c r="A20" s="181" t="s">
        <v>1510</v>
      </c>
      <c r="B20" s="1655">
        <v>3</v>
      </c>
      <c r="C20" s="1656"/>
      <c r="D20" s="1413">
        <v>1550</v>
      </c>
      <c r="E20" s="1414"/>
      <c r="F20" s="1468">
        <v>20490</v>
      </c>
      <c r="G20" s="1414"/>
    </row>
    <row r="21" spans="1:7" ht="15.75" customHeight="1">
      <c r="A21" s="181" t="s">
        <v>577</v>
      </c>
      <c r="B21" s="1655">
        <v>2</v>
      </c>
      <c r="C21" s="1656"/>
      <c r="D21" s="1413">
        <v>948</v>
      </c>
      <c r="E21" s="1414"/>
      <c r="F21" s="1468">
        <v>2000</v>
      </c>
      <c r="G21" s="1414"/>
    </row>
    <row r="22" spans="1:7" ht="15.75" customHeight="1">
      <c r="A22" s="181" t="s">
        <v>578</v>
      </c>
      <c r="B22" s="1254">
        <v>1</v>
      </c>
      <c r="C22" s="1255" t="s">
        <v>1208</v>
      </c>
      <c r="D22" s="1413">
        <v>250</v>
      </c>
      <c r="E22" s="1414"/>
      <c r="F22" s="1468" t="s">
        <v>1509</v>
      </c>
      <c r="G22" s="1414"/>
    </row>
    <row r="23" spans="1:7" ht="15.75" customHeight="1">
      <c r="A23" s="181" t="s">
        <v>490</v>
      </c>
      <c r="B23" s="1254">
        <v>3</v>
      </c>
      <c r="C23" s="1255" t="s">
        <v>1209</v>
      </c>
      <c r="D23" s="1413">
        <v>1180</v>
      </c>
      <c r="E23" s="1414"/>
      <c r="F23" s="1468">
        <v>17850</v>
      </c>
      <c r="G23" s="1414"/>
    </row>
    <row r="24" spans="1:7" ht="15.75" customHeight="1">
      <c r="A24" s="181" t="s">
        <v>580</v>
      </c>
      <c r="B24" s="1655">
        <v>1</v>
      </c>
      <c r="C24" s="1656"/>
      <c r="D24" s="1413">
        <v>168</v>
      </c>
      <c r="E24" s="1414"/>
      <c r="F24" s="1468" t="s">
        <v>1183</v>
      </c>
      <c r="G24" s="1414"/>
    </row>
    <row r="25" spans="1:7" ht="15.75" customHeight="1">
      <c r="A25" s="181" t="s">
        <v>585</v>
      </c>
      <c r="B25" s="1254">
        <v>4</v>
      </c>
      <c r="C25" s="1255" t="s">
        <v>1209</v>
      </c>
      <c r="D25" s="1413">
        <v>2044</v>
      </c>
      <c r="E25" s="1414"/>
      <c r="F25" s="1468">
        <v>82689</v>
      </c>
      <c r="G25" s="1414"/>
    </row>
    <row r="26" spans="1:7" ht="15.75" customHeight="1">
      <c r="A26" s="181" t="s">
        <v>586</v>
      </c>
      <c r="B26" s="1655">
        <v>1</v>
      </c>
      <c r="C26" s="1656"/>
      <c r="D26" s="1413">
        <v>450</v>
      </c>
      <c r="E26" s="1414"/>
      <c r="F26" s="1468" t="s">
        <v>1183</v>
      </c>
      <c r="G26" s="1414"/>
    </row>
    <row r="27" spans="1:7" ht="15.75" customHeight="1">
      <c r="A27" s="181" t="s">
        <v>587</v>
      </c>
      <c r="B27" s="1655">
        <v>1</v>
      </c>
      <c r="C27" s="1656"/>
      <c r="D27" s="1413">
        <v>460</v>
      </c>
      <c r="E27" s="1414"/>
      <c r="F27" s="1468" t="s">
        <v>1183</v>
      </c>
      <c r="G27" s="1414"/>
    </row>
    <row r="28" spans="1:7" ht="15.75" customHeight="1">
      <c r="A28" s="181" t="s">
        <v>1511</v>
      </c>
      <c r="B28" s="1655">
        <v>1</v>
      </c>
      <c r="C28" s="1656"/>
      <c r="D28" s="1413">
        <v>940</v>
      </c>
      <c r="E28" s="1414"/>
      <c r="F28" s="1468">
        <v>25730</v>
      </c>
      <c r="G28" s="1414"/>
    </row>
    <row r="29" spans="1:7" ht="15.75" customHeight="1">
      <c r="A29" s="357" t="s">
        <v>579</v>
      </c>
      <c r="B29" s="1657">
        <v>4</v>
      </c>
      <c r="C29" s="1658"/>
      <c r="D29" s="1480">
        <v>4294</v>
      </c>
      <c r="E29" s="1647"/>
      <c r="F29" s="1481">
        <v>2352684</v>
      </c>
      <c r="G29" s="1647"/>
    </row>
    <row r="30" spans="1:7" ht="12.75" customHeight="1">
      <c r="A30" s="1645" t="s">
        <v>1445</v>
      </c>
      <c r="B30" s="1645"/>
      <c r="C30" s="1645"/>
      <c r="D30" s="25"/>
      <c r="E30" s="25"/>
      <c r="F30" s="25"/>
      <c r="G30" s="931" t="s">
        <v>282</v>
      </c>
    </row>
    <row r="31" spans="1:7">
      <c r="A31" s="1646"/>
      <c r="B31" s="1646"/>
      <c r="C31" s="1646"/>
    </row>
    <row r="32" spans="1:7" s="2" customFormat="1">
      <c r="A32" s="1266"/>
      <c r="B32" s="1266"/>
      <c r="C32" s="1266"/>
    </row>
    <row r="33" spans="1:7">
      <c r="A33" s="1430" t="s">
        <v>1370</v>
      </c>
      <c r="B33" s="1430"/>
      <c r="C33" s="1430"/>
      <c r="D33" s="1430"/>
      <c r="E33" s="1430"/>
      <c r="F33" s="1430"/>
      <c r="G33" s="1430"/>
    </row>
    <row r="34" spans="1:7" ht="16.5" customHeight="1">
      <c r="A34" s="1408" t="str">
        <f>CONCATENATE("Newspapers and Periodicals Published in the district of ",District!$A$1)</f>
        <v>Newspapers and Periodicals Published in the district of Malda</v>
      </c>
      <c r="B34" s="1408"/>
      <c r="C34" s="1408"/>
      <c r="D34" s="1408"/>
      <c r="E34" s="1653"/>
      <c r="F34" s="1653"/>
      <c r="G34" s="1653"/>
    </row>
    <row r="35" spans="1:7">
      <c r="G35" s="162" t="s">
        <v>1253</v>
      </c>
    </row>
    <row r="36" spans="1:7" ht="27.75" customHeight="1">
      <c r="A36" s="258" t="s">
        <v>1495</v>
      </c>
      <c r="B36" s="261" t="s">
        <v>1675</v>
      </c>
      <c r="C36" s="261" t="s">
        <v>1676</v>
      </c>
      <c r="D36" s="261" t="s">
        <v>1677</v>
      </c>
      <c r="E36" s="261" t="s">
        <v>1678</v>
      </c>
      <c r="F36" s="261" t="s">
        <v>1526</v>
      </c>
      <c r="G36" s="261" t="s">
        <v>1233</v>
      </c>
    </row>
    <row r="37" spans="1:7" ht="15" customHeight="1">
      <c r="A37" s="327" t="s">
        <v>1208</v>
      </c>
      <c r="B37" s="328" t="s">
        <v>1209</v>
      </c>
      <c r="C37" s="466" t="s">
        <v>1210</v>
      </c>
      <c r="D37" s="328" t="s">
        <v>1211</v>
      </c>
      <c r="E37" s="467" t="s">
        <v>1212</v>
      </c>
      <c r="F37" s="330" t="s">
        <v>1213</v>
      </c>
      <c r="G37" s="590" t="s">
        <v>1214</v>
      </c>
    </row>
    <row r="38" spans="1:7" ht="16.5" customHeight="1">
      <c r="A38" s="180">
        <v>2010</v>
      </c>
      <c r="B38" s="136" t="s">
        <v>1509</v>
      </c>
      <c r="C38" s="116">
        <v>10</v>
      </c>
      <c r="D38" s="116">
        <v>3</v>
      </c>
      <c r="E38" s="116">
        <v>2</v>
      </c>
      <c r="F38" s="116" t="s">
        <v>1509</v>
      </c>
      <c r="G38" s="132">
        <v>15</v>
      </c>
    </row>
    <row r="39" spans="1:7" ht="16.5" customHeight="1">
      <c r="A39" s="282">
        <v>2011</v>
      </c>
      <c r="B39" s="116" t="s">
        <v>1509</v>
      </c>
      <c r="C39" s="116">
        <v>10</v>
      </c>
      <c r="D39" s="116">
        <v>3</v>
      </c>
      <c r="E39" s="116">
        <v>2</v>
      </c>
      <c r="F39" s="116" t="s">
        <v>1509</v>
      </c>
      <c r="G39" s="132">
        <v>15</v>
      </c>
    </row>
    <row r="40" spans="1:7" ht="16.5" customHeight="1">
      <c r="A40" s="180">
        <v>2012</v>
      </c>
      <c r="B40" s="112" t="s">
        <v>1509</v>
      </c>
      <c r="C40" s="116">
        <v>11</v>
      </c>
      <c r="D40" s="116">
        <v>2</v>
      </c>
      <c r="E40" s="116">
        <v>2</v>
      </c>
      <c r="F40" s="116" t="s">
        <v>1509</v>
      </c>
      <c r="G40" s="132">
        <v>15</v>
      </c>
    </row>
    <row r="41" spans="1:7" ht="16.5" customHeight="1">
      <c r="A41" s="282">
        <v>2013</v>
      </c>
      <c r="B41" s="98" t="s">
        <v>1509</v>
      </c>
      <c r="C41" s="116">
        <v>11</v>
      </c>
      <c r="D41" s="116">
        <v>2</v>
      </c>
      <c r="E41" s="116">
        <v>2</v>
      </c>
      <c r="F41" s="116" t="s">
        <v>1509</v>
      </c>
      <c r="G41" s="132">
        <v>15</v>
      </c>
    </row>
    <row r="42" spans="1:7" ht="16.5" customHeight="1">
      <c r="A42" s="492">
        <v>2014</v>
      </c>
      <c r="B42" s="593" t="str">
        <f>IF(SUM(B44:B48)=0,"-",SUM(B44:B48))</f>
        <v>-</v>
      </c>
      <c r="C42" s="815">
        <f>SUM(C44:C48)</f>
        <v>7</v>
      </c>
      <c r="D42" s="815">
        <f>SUM(D44:D48)</f>
        <v>1</v>
      </c>
      <c r="E42" s="109">
        <f>IF(SUM(E44:E48)=0,"-",SUM(E44:E48))</f>
        <v>2</v>
      </c>
      <c r="F42" s="109" t="str">
        <f>IF(SUM(F44:F48)=0,"-",SUM(F44:F48))</f>
        <v>-</v>
      </c>
      <c r="G42" s="816">
        <f>SUM(G44:G48)</f>
        <v>10</v>
      </c>
    </row>
    <row r="43" spans="1:7" ht="15" customHeight="1">
      <c r="A43" s="544" t="s">
        <v>548</v>
      </c>
      <c r="B43" s="1641" t="str">
        <f>"Year : " &amp; A42</f>
        <v>Year : 2014</v>
      </c>
      <c r="C43" s="1642"/>
      <c r="D43" s="1642"/>
      <c r="E43" s="1642"/>
      <c r="F43" s="1642"/>
      <c r="G43" s="1643"/>
    </row>
    <row r="44" spans="1:7" ht="18" customHeight="1">
      <c r="A44" s="251" t="s">
        <v>1679</v>
      </c>
      <c r="B44" s="81" t="s">
        <v>1509</v>
      </c>
      <c r="C44" s="136">
        <v>7</v>
      </c>
      <c r="D44" s="81">
        <v>1</v>
      </c>
      <c r="E44" s="136">
        <v>2</v>
      </c>
      <c r="F44" s="848" t="s">
        <v>1509</v>
      </c>
      <c r="G44" s="362">
        <f t="shared" ref="G44:G49" si="0">IF(SUM(B44:F44)=0,"-",SUM(B44:F44))</f>
        <v>10</v>
      </c>
    </row>
    <row r="45" spans="1:7" ht="18" customHeight="1">
      <c r="A45" s="181" t="s">
        <v>1680</v>
      </c>
      <c r="B45" s="112" t="s">
        <v>1509</v>
      </c>
      <c r="C45" s="112" t="s">
        <v>1509</v>
      </c>
      <c r="D45" s="80" t="s">
        <v>1509</v>
      </c>
      <c r="E45" s="112" t="s">
        <v>1509</v>
      </c>
      <c r="F45" s="98" t="s">
        <v>1509</v>
      </c>
      <c r="G45" s="362" t="str">
        <f t="shared" si="0"/>
        <v>-</v>
      </c>
    </row>
    <row r="46" spans="1:7" ht="18" customHeight="1">
      <c r="A46" s="181" t="s">
        <v>1681</v>
      </c>
      <c r="B46" s="112" t="s">
        <v>1509</v>
      </c>
      <c r="C46" s="112" t="s">
        <v>1509</v>
      </c>
      <c r="D46" s="80" t="s">
        <v>1509</v>
      </c>
      <c r="E46" s="112" t="s">
        <v>1509</v>
      </c>
      <c r="F46" s="98" t="s">
        <v>1509</v>
      </c>
      <c r="G46" s="362" t="str">
        <f t="shared" si="0"/>
        <v>-</v>
      </c>
    </row>
    <row r="47" spans="1:7" ht="18" customHeight="1">
      <c r="A47" s="181" t="s">
        <v>0</v>
      </c>
      <c r="B47" s="112" t="s">
        <v>1509</v>
      </c>
      <c r="C47" s="112" t="s">
        <v>1509</v>
      </c>
      <c r="D47" s="80" t="s">
        <v>1509</v>
      </c>
      <c r="E47" s="112" t="s">
        <v>1509</v>
      </c>
      <c r="F47" s="98" t="s">
        <v>1509</v>
      </c>
      <c r="G47" s="362" t="str">
        <f t="shared" si="0"/>
        <v>-</v>
      </c>
    </row>
    <row r="48" spans="1:7" ht="18" customHeight="1">
      <c r="A48" s="181" t="s">
        <v>1526</v>
      </c>
      <c r="B48" s="112" t="s">
        <v>1509</v>
      </c>
      <c r="C48" s="112" t="s">
        <v>1509</v>
      </c>
      <c r="D48" s="80" t="s">
        <v>1509</v>
      </c>
      <c r="E48" s="112" t="s">
        <v>1509</v>
      </c>
      <c r="F48" s="98" t="s">
        <v>1509</v>
      </c>
      <c r="G48" s="362" t="str">
        <f t="shared" si="0"/>
        <v>-</v>
      </c>
    </row>
    <row r="49" spans="1:7" ht="15" customHeight="1">
      <c r="A49" s="276" t="s">
        <v>1233</v>
      </c>
      <c r="B49" s="890" t="s">
        <v>1509</v>
      </c>
      <c r="C49" s="276">
        <f>IF(SUM(C44:C48)=0,"-",SUM(C44:C48))</f>
        <v>7</v>
      </c>
      <c r="D49" s="276">
        <f>IF(SUM(D44:D48)=0,"-",SUM(D44:D48))</f>
        <v>1</v>
      </c>
      <c r="E49" s="276">
        <f>IF(SUM(E44:E48)=0,"-",SUM(E44:E48))</f>
        <v>2</v>
      </c>
      <c r="F49" s="183" t="str">
        <f>IF(SUM(F44:F48)=0,"-",SUM(F44:F48))</f>
        <v>-</v>
      </c>
      <c r="G49" s="390">
        <f t="shared" si="0"/>
        <v>10</v>
      </c>
    </row>
    <row r="50" spans="1:7">
      <c r="A50" s="51"/>
      <c r="B50" s="51"/>
      <c r="C50" s="56"/>
      <c r="E50" s="56"/>
      <c r="G50" s="934" t="s">
        <v>283</v>
      </c>
    </row>
  </sheetData>
  <mergeCells count="79">
    <mergeCell ref="B28:C28"/>
    <mergeCell ref="B29:C29"/>
    <mergeCell ref="B11:C11"/>
    <mergeCell ref="B12:C12"/>
    <mergeCell ref="B13:C13"/>
    <mergeCell ref="B14:C14"/>
    <mergeCell ref="B18:C18"/>
    <mergeCell ref="B15:C15"/>
    <mergeCell ref="B24:C24"/>
    <mergeCell ref="D28:E28"/>
    <mergeCell ref="B26:C26"/>
    <mergeCell ref="B3:C3"/>
    <mergeCell ref="B4:C4"/>
    <mergeCell ref="B7:C7"/>
    <mergeCell ref="B9:C9"/>
    <mergeCell ref="B5:C5"/>
    <mergeCell ref="B21:C21"/>
    <mergeCell ref="B20:C20"/>
    <mergeCell ref="B27:C27"/>
    <mergeCell ref="D17:E17"/>
    <mergeCell ref="D23:E23"/>
    <mergeCell ref="D12:E12"/>
    <mergeCell ref="D20:E20"/>
    <mergeCell ref="F5:G5"/>
    <mergeCell ref="F27:G27"/>
    <mergeCell ref="F26:G26"/>
    <mergeCell ref="D24:E24"/>
    <mergeCell ref="D26:E26"/>
    <mergeCell ref="D25:E25"/>
    <mergeCell ref="F4:G4"/>
    <mergeCell ref="B8:C8"/>
    <mergeCell ref="D3:E3"/>
    <mergeCell ref="D5:E5"/>
    <mergeCell ref="D6:E6"/>
    <mergeCell ref="D29:E29"/>
    <mergeCell ref="F29:G29"/>
    <mergeCell ref="F28:G28"/>
    <mergeCell ref="D4:E4"/>
    <mergeCell ref="D8:E8"/>
    <mergeCell ref="F22:G22"/>
    <mergeCell ref="F21:G21"/>
    <mergeCell ref="D22:E22"/>
    <mergeCell ref="D21:E21"/>
    <mergeCell ref="F11:G11"/>
    <mergeCell ref="A1:G1"/>
    <mergeCell ref="A2:G2"/>
    <mergeCell ref="F7:G7"/>
    <mergeCell ref="F8:G8"/>
    <mergeCell ref="F3:G3"/>
    <mergeCell ref="F23:G23"/>
    <mergeCell ref="F12:G12"/>
    <mergeCell ref="F16:G16"/>
    <mergeCell ref="F20:G20"/>
    <mergeCell ref="A34:G34"/>
    <mergeCell ref="F6:G6"/>
    <mergeCell ref="F9:G9"/>
    <mergeCell ref="D27:E27"/>
    <mergeCell ref="F25:G25"/>
    <mergeCell ref="F24:G24"/>
    <mergeCell ref="D9:E9"/>
    <mergeCell ref="B10:G10"/>
    <mergeCell ref="B6:C6"/>
    <mergeCell ref="A33:G33"/>
    <mergeCell ref="D13:E13"/>
    <mergeCell ref="F13:G13"/>
    <mergeCell ref="D14:E14"/>
    <mergeCell ref="D7:E7"/>
    <mergeCell ref="D11:E11"/>
    <mergeCell ref="F17:G17"/>
    <mergeCell ref="B43:G43"/>
    <mergeCell ref="F14:G14"/>
    <mergeCell ref="D19:E19"/>
    <mergeCell ref="F19:G19"/>
    <mergeCell ref="D15:E15"/>
    <mergeCell ref="F15:G15"/>
    <mergeCell ref="D18:E18"/>
    <mergeCell ref="F18:G18"/>
    <mergeCell ref="D16:E16"/>
    <mergeCell ref="A30:C31"/>
  </mergeCells>
  <phoneticPr fontId="0" type="noConversion"/>
  <conditionalFormatting sqref="F7:G16 H1:IV1048576 D1:G6 D8:E65536 F18:G65536 A1:B1048576 C16:C17 C30:C65536 C19 C22:C23 C25 C1:C10">
    <cfRule type="cellIs" dxfId="12" priority="1" stopIfTrue="1" operator="equal">
      <formula>".."</formula>
    </cfRule>
  </conditionalFormatting>
  <printOptions horizontalCentered="1"/>
  <pageMargins left="0.15" right="0.1" top="0.46" bottom="0.2" header="0.27" footer="0.24"/>
  <pageSetup paperSize="9" orientation="portrait" blackAndWhite="1" horizontalDpi="4294967295" r:id="rId1"/>
  <headerFooter alignWithMargins="0"/>
</worksheet>
</file>

<file path=xl/worksheets/sheet39.xml><?xml version="1.0" encoding="utf-8"?>
<worksheet xmlns="http://schemas.openxmlformats.org/spreadsheetml/2006/main" xmlns:r="http://schemas.openxmlformats.org/officeDocument/2006/relationships">
  <sheetPr codeName="Sheet47"/>
  <dimension ref="A1:Q29"/>
  <sheetViews>
    <sheetView workbookViewId="0">
      <selection activeCell="Q9" sqref="Q9"/>
    </sheetView>
  </sheetViews>
  <sheetFormatPr defaultRowHeight="12.75"/>
  <cols>
    <col min="1" max="1" width="14.42578125" customWidth="1"/>
    <col min="2" max="6" width="10.140625" customWidth="1"/>
    <col min="7" max="7" width="10.85546875" customWidth="1"/>
    <col min="8" max="8" width="9.85546875" customWidth="1"/>
    <col min="9" max="9" width="10.28515625" customWidth="1"/>
    <col min="10" max="10" width="10.42578125" customWidth="1"/>
    <col min="11" max="11" width="10.140625" customWidth="1"/>
    <col min="12" max="12" width="8.85546875" customWidth="1"/>
    <col min="13" max="13" width="9" customWidth="1"/>
  </cols>
  <sheetData>
    <row r="1" spans="1:17" ht="15.75" customHeight="1">
      <c r="B1" s="1444" t="s">
        <v>1371</v>
      </c>
      <c r="C1" s="1664"/>
      <c r="D1" s="1664"/>
      <c r="E1" s="1664"/>
      <c r="F1" s="1664"/>
      <c r="G1" s="1664"/>
      <c r="H1" s="1664"/>
      <c r="I1" s="1664"/>
      <c r="J1" s="1664"/>
      <c r="K1" s="1664"/>
      <c r="L1" s="1664"/>
      <c r="M1" s="1664"/>
      <c r="N1" s="654"/>
    </row>
    <row r="2" spans="1:17" ht="16.5">
      <c r="B2" s="1638" t="str">
        <f>CONCATENATE("Classification of Land Utilization Statistics in the district of ",District!A1)</f>
        <v>Classification of Land Utilization Statistics in the district of Malda</v>
      </c>
      <c r="C2" s="1664"/>
      <c r="D2" s="1664"/>
      <c r="E2" s="1664"/>
      <c r="F2" s="1664"/>
      <c r="G2" s="1664"/>
      <c r="H2" s="1664"/>
      <c r="I2" s="1664"/>
      <c r="J2" s="1664"/>
      <c r="K2" s="1664"/>
      <c r="L2" s="1664"/>
      <c r="M2" s="1664"/>
      <c r="N2" s="522"/>
    </row>
    <row r="3" spans="1:17">
      <c r="D3" s="7"/>
      <c r="E3" s="7"/>
      <c r="F3" s="7"/>
      <c r="G3" s="7"/>
      <c r="H3" s="7"/>
      <c r="I3" s="7"/>
      <c r="J3" s="7"/>
      <c r="K3" s="7"/>
      <c r="L3" s="7"/>
      <c r="M3" s="170" t="s">
        <v>1612</v>
      </c>
    </row>
    <row r="4" spans="1:17" s="11" customFormat="1" ht="76.5" customHeight="1">
      <c r="B4" s="1359" t="s">
        <v>1089</v>
      </c>
      <c r="C4" s="1666"/>
      <c r="D4" s="343" t="s">
        <v>1</v>
      </c>
      <c r="E4" s="343" t="s">
        <v>465</v>
      </c>
      <c r="F4" s="343" t="s">
        <v>294</v>
      </c>
      <c r="G4" s="343" t="s">
        <v>295</v>
      </c>
      <c r="H4" s="784" t="s">
        <v>291</v>
      </c>
      <c r="I4" s="343" t="s">
        <v>561</v>
      </c>
      <c r="J4" s="343" t="s">
        <v>296</v>
      </c>
      <c r="K4" s="343" t="s">
        <v>562</v>
      </c>
      <c r="L4" s="343" t="s">
        <v>293</v>
      </c>
      <c r="M4" s="343" t="s">
        <v>4</v>
      </c>
    </row>
    <row r="5" spans="1:17" s="11" customFormat="1" ht="19.5" customHeight="1">
      <c r="B5" s="1353" t="s">
        <v>1208</v>
      </c>
      <c r="C5" s="1667"/>
      <c r="D5" s="891" t="s">
        <v>1209</v>
      </c>
      <c r="E5" s="272" t="s">
        <v>1210</v>
      </c>
      <c r="F5" s="272" t="s">
        <v>1211</v>
      </c>
      <c r="G5" s="272" t="s">
        <v>1212</v>
      </c>
      <c r="H5" s="272" t="s">
        <v>1213</v>
      </c>
      <c r="I5" s="151" t="s">
        <v>1214</v>
      </c>
      <c r="J5" s="272" t="s">
        <v>1244</v>
      </c>
      <c r="K5" s="151" t="s">
        <v>1245</v>
      </c>
      <c r="L5" s="151" t="s">
        <v>1246</v>
      </c>
      <c r="M5" s="272" t="s">
        <v>1247</v>
      </c>
    </row>
    <row r="6" spans="1:17" ht="24.75" customHeight="1">
      <c r="B6" s="1660" t="s">
        <v>1577</v>
      </c>
      <c r="C6" s="1661"/>
      <c r="D6" s="892">
        <f>SUM(E6:M6)</f>
        <v>370.86</v>
      </c>
      <c r="E6" s="98">
        <v>1.68</v>
      </c>
      <c r="F6" s="41">
        <v>88.62</v>
      </c>
      <c r="G6" s="534" t="s">
        <v>1509</v>
      </c>
      <c r="H6" s="651" t="s">
        <v>1509</v>
      </c>
      <c r="I6" s="115">
        <v>3.43</v>
      </c>
      <c r="J6" s="41">
        <v>0.09</v>
      </c>
      <c r="K6" s="121">
        <v>0.33</v>
      </c>
      <c r="L6" s="121">
        <v>60.71</v>
      </c>
      <c r="M6" s="129">
        <v>216</v>
      </c>
    </row>
    <row r="7" spans="1:17" ht="24.75" customHeight="1">
      <c r="B7" s="1351" t="s">
        <v>1576</v>
      </c>
      <c r="C7" s="1352"/>
      <c r="D7" s="893">
        <f>SUM(E7:M7)</f>
        <v>370.86</v>
      </c>
      <c r="E7" s="104">
        <v>1.68</v>
      </c>
      <c r="F7" s="360">
        <v>90.11</v>
      </c>
      <c r="G7" s="534" t="s">
        <v>1509</v>
      </c>
      <c r="H7" s="651" t="s">
        <v>1509</v>
      </c>
      <c r="I7" s="129">
        <v>3.24</v>
      </c>
      <c r="J7" s="360">
        <v>0.1</v>
      </c>
      <c r="K7" s="386">
        <v>0.3</v>
      </c>
      <c r="L7" s="386">
        <v>57.45</v>
      </c>
      <c r="M7" s="129">
        <v>217.98</v>
      </c>
      <c r="Q7" s="7"/>
    </row>
    <row r="8" spans="1:17" ht="24.75" customHeight="1">
      <c r="B8" s="1351" t="s">
        <v>267</v>
      </c>
      <c r="C8" s="1352"/>
      <c r="D8" s="893">
        <f>SUM(E8:M8)</f>
        <v>370.86</v>
      </c>
      <c r="E8" s="104">
        <v>1.68</v>
      </c>
      <c r="F8" s="360">
        <v>75.28</v>
      </c>
      <c r="G8" s="534" t="s">
        <v>1509</v>
      </c>
      <c r="H8" s="651" t="s">
        <v>1509</v>
      </c>
      <c r="I8" s="129">
        <v>2.93</v>
      </c>
      <c r="J8" s="360">
        <v>0.08</v>
      </c>
      <c r="K8" s="129">
        <v>0.3</v>
      </c>
      <c r="L8" s="360">
        <v>59.52</v>
      </c>
      <c r="M8" s="129">
        <v>231.07</v>
      </c>
    </row>
    <row r="9" spans="1:17" ht="24.75" customHeight="1">
      <c r="B9" s="1351" t="s">
        <v>1094</v>
      </c>
      <c r="C9" s="1414"/>
      <c r="D9" s="893">
        <f>SUM(E9:M9)</f>
        <v>370.86</v>
      </c>
      <c r="E9" s="104">
        <v>1.68</v>
      </c>
      <c r="F9" s="129">
        <v>80.819999999999993</v>
      </c>
      <c r="G9" s="116" t="s">
        <v>1509</v>
      </c>
      <c r="H9" s="116" t="s">
        <v>1509</v>
      </c>
      <c r="I9" s="129">
        <v>2.93</v>
      </c>
      <c r="J9" s="104">
        <v>0.09</v>
      </c>
      <c r="K9" s="386">
        <v>0.3</v>
      </c>
      <c r="L9" s="129">
        <v>53.96</v>
      </c>
      <c r="M9" s="104">
        <v>231.08</v>
      </c>
    </row>
    <row r="10" spans="1:17" ht="24.75" customHeight="1">
      <c r="B10" s="1665" t="s">
        <v>1595</v>
      </c>
      <c r="C10" s="1481"/>
      <c r="D10" s="696">
        <f>SUM(E10:M10)</f>
        <v>370.86</v>
      </c>
      <c r="E10" s="111">
        <v>1.68</v>
      </c>
      <c r="F10" s="131">
        <v>81.25</v>
      </c>
      <c r="G10" s="117" t="s">
        <v>1509</v>
      </c>
      <c r="H10" s="117" t="s">
        <v>1509</v>
      </c>
      <c r="I10" s="395">
        <v>2.99</v>
      </c>
      <c r="J10" s="131">
        <v>0.09</v>
      </c>
      <c r="K10" s="395">
        <v>0.27</v>
      </c>
      <c r="L10" s="131">
        <v>52.42</v>
      </c>
      <c r="M10" s="111">
        <v>232.16</v>
      </c>
    </row>
    <row r="11" spans="1:17" ht="12.75" customHeight="1">
      <c r="C11" s="51"/>
      <c r="D11" s="51"/>
      <c r="E11" s="51"/>
      <c r="F11" s="51"/>
      <c r="G11" s="51"/>
      <c r="H11" s="51"/>
      <c r="I11" s="51"/>
      <c r="J11" s="68"/>
      <c r="K11" s="68"/>
      <c r="L11" s="68"/>
      <c r="M11" s="930" t="s">
        <v>1032</v>
      </c>
    </row>
    <row r="12" spans="1:17" ht="12.75" customHeight="1">
      <c r="A12" s="51"/>
      <c r="B12" s="51"/>
      <c r="C12" s="51"/>
      <c r="D12" s="51"/>
      <c r="E12" s="51"/>
      <c r="F12" s="51"/>
      <c r="G12" s="51"/>
      <c r="H12" s="68"/>
      <c r="I12" s="68"/>
      <c r="J12" s="68"/>
      <c r="N12" s="239"/>
    </row>
    <row r="13" spans="1:17">
      <c r="A13" s="1363" t="s">
        <v>1378</v>
      </c>
      <c r="B13" s="1363"/>
      <c r="C13" s="1363"/>
      <c r="D13" s="1363"/>
      <c r="E13" s="1363"/>
      <c r="F13" s="1363"/>
      <c r="G13" s="1363"/>
      <c r="H13" s="1363"/>
      <c r="I13" s="1363"/>
      <c r="J13" s="1363"/>
      <c r="K13" s="1363"/>
      <c r="L13" s="1363"/>
      <c r="M13" s="1363"/>
      <c r="N13" s="1363"/>
    </row>
    <row r="14" spans="1:17" ht="13.5" customHeight="1">
      <c r="A14" s="1477" t="str">
        <f>CONCATENATE("Distribution of Operational Holdings over size-classes in the district of ",District!A1)</f>
        <v>Distribution of Operational Holdings over size-classes in the district of Malda</v>
      </c>
      <c r="B14" s="1477"/>
      <c r="C14" s="1477"/>
      <c r="D14" s="1477"/>
      <c r="E14" s="1477"/>
      <c r="F14" s="1477"/>
      <c r="G14" s="1477"/>
      <c r="H14" s="1477"/>
      <c r="I14" s="1477"/>
      <c r="J14" s="1477"/>
      <c r="K14" s="1477"/>
      <c r="L14" s="1477"/>
      <c r="M14" s="1477"/>
      <c r="N14" s="1477"/>
    </row>
    <row r="15" spans="1:17">
      <c r="B15" s="4"/>
      <c r="C15" s="4"/>
      <c r="D15" s="4"/>
      <c r="E15" s="4"/>
      <c r="F15" s="4"/>
      <c r="G15" s="4"/>
      <c r="H15" s="4"/>
      <c r="I15" s="4"/>
      <c r="J15" s="4"/>
      <c r="K15" s="4"/>
      <c r="L15" s="4"/>
      <c r="M15" s="4"/>
      <c r="N15" s="159" t="s">
        <v>53</v>
      </c>
    </row>
    <row r="16" spans="1:17" ht="15.75" customHeight="1">
      <c r="A16" s="1659" t="s">
        <v>1089</v>
      </c>
      <c r="B16" s="1356" t="s">
        <v>52</v>
      </c>
      <c r="C16" s="1357"/>
      <c r="D16" s="1357"/>
      <c r="E16" s="1357"/>
      <c r="F16" s="1357"/>
      <c r="G16" s="1357"/>
      <c r="H16" s="1357"/>
      <c r="I16" s="1357"/>
      <c r="J16" s="1357"/>
      <c r="K16" s="1357"/>
      <c r="L16" s="1357"/>
      <c r="M16" s="1358"/>
      <c r="N16" s="1663" t="s">
        <v>109</v>
      </c>
    </row>
    <row r="17" spans="1:14" ht="15.75" customHeight="1">
      <c r="A17" s="1659"/>
      <c r="B17" s="1659" t="s">
        <v>5</v>
      </c>
      <c r="C17" s="1659"/>
      <c r="D17" s="1659" t="s">
        <v>9</v>
      </c>
      <c r="E17" s="1659"/>
      <c r="F17" s="1659" t="s">
        <v>10</v>
      </c>
      <c r="G17" s="1659"/>
      <c r="H17" s="1659" t="s">
        <v>11</v>
      </c>
      <c r="I17" s="1659"/>
      <c r="J17" s="1659" t="s">
        <v>12</v>
      </c>
      <c r="K17" s="1659"/>
      <c r="L17" s="1659" t="s">
        <v>1233</v>
      </c>
      <c r="M17" s="1659"/>
      <c r="N17" s="1663"/>
    </row>
    <row r="18" spans="1:14" ht="28.5" customHeight="1">
      <c r="A18" s="1659"/>
      <c r="B18" s="343" t="s">
        <v>106</v>
      </c>
      <c r="C18" s="343" t="s">
        <v>1496</v>
      </c>
      <c r="D18" s="343" t="s">
        <v>106</v>
      </c>
      <c r="E18" s="343" t="s">
        <v>1496</v>
      </c>
      <c r="F18" s="343" t="s">
        <v>106</v>
      </c>
      <c r="G18" s="343" t="s">
        <v>1496</v>
      </c>
      <c r="H18" s="343" t="s">
        <v>106</v>
      </c>
      <c r="I18" s="343" t="s">
        <v>1496</v>
      </c>
      <c r="J18" s="343" t="s">
        <v>106</v>
      </c>
      <c r="K18" s="343" t="s">
        <v>1496</v>
      </c>
      <c r="L18" s="343" t="s">
        <v>106</v>
      </c>
      <c r="M18" s="343" t="s">
        <v>1496</v>
      </c>
      <c r="N18" s="1663"/>
    </row>
    <row r="19" spans="1:14" ht="19.5" customHeight="1">
      <c r="A19" s="151" t="s">
        <v>1208</v>
      </c>
      <c r="B19" s="272" t="s">
        <v>1209</v>
      </c>
      <c r="C19" s="272" t="s">
        <v>1210</v>
      </c>
      <c r="D19" s="272" t="s">
        <v>1211</v>
      </c>
      <c r="E19" s="272" t="s">
        <v>1212</v>
      </c>
      <c r="F19" s="272" t="s">
        <v>1213</v>
      </c>
      <c r="G19" s="272" t="s">
        <v>1214</v>
      </c>
      <c r="H19" s="272" t="s">
        <v>1244</v>
      </c>
      <c r="I19" s="272" t="s">
        <v>1245</v>
      </c>
      <c r="J19" s="272" t="s">
        <v>1246</v>
      </c>
      <c r="K19" s="272" t="s">
        <v>1247</v>
      </c>
      <c r="L19" s="272" t="s">
        <v>1271</v>
      </c>
      <c r="M19" s="272" t="s">
        <v>1272</v>
      </c>
      <c r="N19" s="272" t="s">
        <v>1273</v>
      </c>
    </row>
    <row r="20" spans="1:14" ht="27" customHeight="1">
      <c r="A20" s="365" t="s">
        <v>991</v>
      </c>
      <c r="B20" s="115">
        <v>310706</v>
      </c>
      <c r="C20" s="49">
        <v>171105</v>
      </c>
      <c r="D20" s="115">
        <v>49860</v>
      </c>
      <c r="E20" s="49">
        <v>81798</v>
      </c>
      <c r="F20" s="115">
        <v>15012</v>
      </c>
      <c r="G20" s="49">
        <v>40121</v>
      </c>
      <c r="H20" s="115">
        <v>991</v>
      </c>
      <c r="I20" s="49">
        <v>4864</v>
      </c>
      <c r="J20" s="115">
        <v>1</v>
      </c>
      <c r="K20" s="49">
        <v>10</v>
      </c>
      <c r="L20" s="642">
        <f>SUM(B20,D20,F20,H20,J20)</f>
        <v>376570</v>
      </c>
      <c r="M20" s="642">
        <f>SUM(C20,E20,G20,I20,K20)</f>
        <v>297898</v>
      </c>
      <c r="N20" s="123">
        <f>ROUND(M20/L20,2)</f>
        <v>0.79</v>
      </c>
    </row>
    <row r="21" spans="1:14" ht="27" customHeight="1">
      <c r="A21" s="364" t="s">
        <v>1576</v>
      </c>
      <c r="B21" s="117">
        <v>327455</v>
      </c>
      <c r="C21" s="29">
        <v>170349</v>
      </c>
      <c r="D21" s="117">
        <v>49658</v>
      </c>
      <c r="E21" s="29">
        <v>80379</v>
      </c>
      <c r="F21" s="117">
        <v>14357</v>
      </c>
      <c r="G21" s="29">
        <v>39342</v>
      </c>
      <c r="H21" s="117">
        <v>1139</v>
      </c>
      <c r="I21" s="29">
        <v>6127</v>
      </c>
      <c r="J21" s="117">
        <v>12</v>
      </c>
      <c r="K21" s="29">
        <v>132</v>
      </c>
      <c r="L21" s="133">
        <v>392621</v>
      </c>
      <c r="M21" s="133">
        <v>296329</v>
      </c>
      <c r="N21" s="94">
        <v>0.75</v>
      </c>
    </row>
    <row r="22" spans="1:14" s="25" customFormat="1" ht="12.75" customHeight="1">
      <c r="A22" s="935" t="s">
        <v>284</v>
      </c>
      <c r="B22" s="936" t="s">
        <v>55</v>
      </c>
      <c r="C22" s="937"/>
      <c r="D22" s="937"/>
      <c r="E22" s="937"/>
      <c r="F22" s="937"/>
      <c r="G22" s="937"/>
      <c r="I22" s="937"/>
      <c r="J22" s="1662" t="s">
        <v>454</v>
      </c>
      <c r="K22" s="1662"/>
      <c r="L22" s="1662"/>
      <c r="M22" s="1662"/>
      <c r="N22" s="1662"/>
    </row>
    <row r="23" spans="1:14" s="25" customFormat="1" ht="12.75" customHeight="1">
      <c r="A23" s="935" t="s">
        <v>285</v>
      </c>
      <c r="B23" s="936" t="s">
        <v>1497</v>
      </c>
      <c r="C23" s="937"/>
      <c r="D23" s="937"/>
      <c r="E23" s="937"/>
      <c r="F23" s="937"/>
      <c r="G23" s="937"/>
      <c r="I23" s="937"/>
      <c r="J23" s="938"/>
      <c r="K23" s="938"/>
      <c r="L23" s="938"/>
      <c r="M23" s="938"/>
      <c r="N23" s="938"/>
    </row>
    <row r="24" spans="1:14" s="25" customFormat="1" ht="12.75" customHeight="1">
      <c r="A24" s="935" t="s">
        <v>286</v>
      </c>
      <c r="B24" s="936" t="s">
        <v>549</v>
      </c>
      <c r="C24" s="937"/>
      <c r="D24" s="937"/>
      <c r="E24" s="937"/>
      <c r="F24" s="937"/>
      <c r="G24" s="937"/>
      <c r="I24" s="937"/>
      <c r="J24" s="938"/>
      <c r="K24" s="938"/>
      <c r="L24" s="938"/>
      <c r="M24" s="938"/>
      <c r="N24" s="938"/>
    </row>
    <row r="25" spans="1:14" s="25" customFormat="1" ht="12.75" customHeight="1">
      <c r="A25" s="935" t="s">
        <v>287</v>
      </c>
      <c r="B25" s="936" t="s">
        <v>556</v>
      </c>
      <c r="C25" s="937"/>
      <c r="D25" s="937"/>
      <c r="E25" s="937"/>
      <c r="F25" s="937"/>
      <c r="G25" s="937"/>
      <c r="I25" s="937"/>
      <c r="J25" s="938"/>
      <c r="K25" s="938"/>
      <c r="L25" s="938"/>
      <c r="M25" s="938"/>
      <c r="N25" s="938"/>
    </row>
    <row r="26" spans="1:14" s="25" customFormat="1" ht="12.75" customHeight="1">
      <c r="A26" s="935" t="s">
        <v>288</v>
      </c>
      <c r="B26" s="936" t="s">
        <v>97</v>
      </c>
      <c r="C26" s="937"/>
      <c r="D26" s="937"/>
      <c r="E26" s="937"/>
      <c r="F26" s="937"/>
      <c r="G26" s="937"/>
      <c r="I26" s="937"/>
      <c r="J26" s="938"/>
      <c r="K26" s="938"/>
      <c r="L26" s="938"/>
      <c r="M26" s="938"/>
      <c r="N26" s="938"/>
    </row>
    <row r="27" spans="1:14" s="25" customFormat="1" ht="12.75" customHeight="1">
      <c r="A27" s="935" t="s">
        <v>289</v>
      </c>
      <c r="B27" s="939" t="s">
        <v>290</v>
      </c>
      <c r="C27" s="940"/>
      <c r="D27" s="940"/>
      <c r="E27" s="940"/>
      <c r="F27" s="940"/>
      <c r="G27" s="920"/>
      <c r="H27" s="920"/>
      <c r="I27" s="920"/>
      <c r="J27" s="920"/>
      <c r="K27" s="920"/>
      <c r="L27" s="920"/>
      <c r="M27" s="920"/>
      <c r="N27" s="920"/>
    </row>
    <row r="28" spans="1:14">
      <c r="A28" s="51"/>
      <c r="B28" s="51"/>
      <c r="C28" s="51"/>
      <c r="D28" s="51"/>
      <c r="E28" s="51"/>
      <c r="F28" s="51"/>
      <c r="G28" s="51"/>
      <c r="H28" s="51"/>
      <c r="I28" s="51"/>
      <c r="J28" s="51"/>
      <c r="K28" s="51"/>
      <c r="L28" s="51"/>
      <c r="M28" s="51"/>
      <c r="N28" s="51"/>
    </row>
    <row r="29" spans="1:14">
      <c r="A29" s="51"/>
      <c r="B29" s="51"/>
      <c r="C29" s="51"/>
      <c r="D29" s="51"/>
      <c r="E29" s="51"/>
      <c r="F29" s="51"/>
      <c r="G29" s="51"/>
      <c r="H29" s="51"/>
      <c r="I29" s="51"/>
      <c r="J29" s="51"/>
      <c r="K29" s="51"/>
      <c r="L29" s="51"/>
      <c r="M29" s="51"/>
      <c r="N29" s="51"/>
    </row>
  </sheetData>
  <mergeCells count="21">
    <mergeCell ref="B17:C17"/>
    <mergeCell ref="N16:N18"/>
    <mergeCell ref="B1:M1"/>
    <mergeCell ref="B2:M2"/>
    <mergeCell ref="J17:K17"/>
    <mergeCell ref="L17:M17"/>
    <mergeCell ref="B10:C10"/>
    <mergeCell ref="B4:C4"/>
    <mergeCell ref="D17:E17"/>
    <mergeCell ref="H17:I17"/>
    <mergeCell ref="B5:C5"/>
    <mergeCell ref="F17:G17"/>
    <mergeCell ref="B9:C9"/>
    <mergeCell ref="B6:C6"/>
    <mergeCell ref="B8:C8"/>
    <mergeCell ref="B7:C7"/>
    <mergeCell ref="J22:N22"/>
    <mergeCell ref="A14:N14"/>
    <mergeCell ref="A16:A18"/>
    <mergeCell ref="A13:N13"/>
    <mergeCell ref="B16:M16"/>
  </mergeCells>
  <phoneticPr fontId="0" type="noConversion"/>
  <printOptions horizontalCentered="1"/>
  <pageMargins left="0.1" right="0.1" top="0.43" bottom="0.1" header="0.44" footer="0.1"/>
  <pageSetup paperSize="9" orientation="landscape" blackAndWhite="1" horizontalDpi="4294967295" r:id="rId1"/>
  <headerFooter alignWithMargins="0"/>
</worksheet>
</file>

<file path=xl/worksheets/sheet4.xml><?xml version="1.0" encoding="utf-8"?>
<worksheet xmlns="http://schemas.openxmlformats.org/spreadsheetml/2006/main" xmlns:r="http://schemas.openxmlformats.org/officeDocument/2006/relationships">
  <sheetPr codeName="Sheet43"/>
  <dimension ref="A1:D128"/>
  <sheetViews>
    <sheetView workbookViewId="0">
      <selection activeCell="M5" sqref="M5"/>
    </sheetView>
  </sheetViews>
  <sheetFormatPr defaultRowHeight="12.75"/>
  <cols>
    <col min="1" max="1" width="4.5703125" customWidth="1"/>
    <col min="2" max="2" width="7.28515625" customWidth="1"/>
    <col min="3" max="3" width="72.28515625" customWidth="1"/>
    <col min="4" max="4" width="9.140625" style="1"/>
  </cols>
  <sheetData>
    <row r="1" spans="1:4" ht="21.75" customHeight="1">
      <c r="A1" s="1332" t="s">
        <v>1000</v>
      </c>
      <c r="B1" s="1332"/>
      <c r="C1" s="1332"/>
      <c r="D1" s="1332"/>
    </row>
    <row r="2" spans="1:4" ht="29.25" customHeight="1">
      <c r="A2" s="1095" t="s">
        <v>263</v>
      </c>
      <c r="B2" s="1096" t="s">
        <v>632</v>
      </c>
      <c r="C2" s="1096" t="s">
        <v>1674</v>
      </c>
      <c r="D2" s="1096" t="s">
        <v>633</v>
      </c>
    </row>
    <row r="3" spans="1:4" ht="12" customHeight="1">
      <c r="A3" s="1097"/>
      <c r="B3" s="1098"/>
      <c r="C3" s="1099" t="s">
        <v>773</v>
      </c>
      <c r="D3" s="439"/>
    </row>
    <row r="4" spans="1:4" ht="12" customHeight="1">
      <c r="A4" s="1100">
        <v>1</v>
      </c>
      <c r="B4" s="1101" t="s">
        <v>118</v>
      </c>
      <c r="C4" s="1102" t="s">
        <v>1027</v>
      </c>
      <c r="D4" s="84">
        <v>1</v>
      </c>
    </row>
    <row r="5" spans="1:4" ht="12" customHeight="1">
      <c r="A5" s="1100">
        <v>2</v>
      </c>
      <c r="B5" s="1101" t="s">
        <v>119</v>
      </c>
      <c r="C5" s="1102" t="s">
        <v>1028</v>
      </c>
      <c r="D5" s="84">
        <v>1</v>
      </c>
    </row>
    <row r="6" spans="1:4" ht="12" customHeight="1">
      <c r="A6" s="1100">
        <v>3</v>
      </c>
      <c r="B6" s="1101" t="s">
        <v>120</v>
      </c>
      <c r="C6" s="1102" t="s">
        <v>634</v>
      </c>
      <c r="D6" s="84">
        <v>2</v>
      </c>
    </row>
    <row r="7" spans="1:4" ht="12" customHeight="1">
      <c r="A7" s="1100">
        <v>4</v>
      </c>
      <c r="B7" s="1101" t="s">
        <v>121</v>
      </c>
      <c r="C7" s="1102" t="s">
        <v>635</v>
      </c>
      <c r="D7" s="84">
        <v>2</v>
      </c>
    </row>
    <row r="8" spans="1:4" ht="12" customHeight="1">
      <c r="A8" s="1100"/>
      <c r="B8" s="1103"/>
      <c r="C8" s="1104" t="s">
        <v>774</v>
      </c>
      <c r="D8" s="84"/>
    </row>
    <row r="9" spans="1:4" ht="12" customHeight="1">
      <c r="A9" s="1100">
        <v>5</v>
      </c>
      <c r="B9" s="1101" t="s">
        <v>122</v>
      </c>
      <c r="C9" s="1102" t="s">
        <v>1590</v>
      </c>
      <c r="D9" s="84">
        <v>3</v>
      </c>
    </row>
    <row r="10" spans="1:4" ht="12" customHeight="1">
      <c r="A10" s="1100">
        <v>6</v>
      </c>
      <c r="B10" s="1103" t="s">
        <v>123</v>
      </c>
      <c r="C10" s="1102" t="s">
        <v>237</v>
      </c>
      <c r="D10" s="84">
        <v>4</v>
      </c>
    </row>
    <row r="11" spans="1:4" ht="12" customHeight="1">
      <c r="A11" s="1100">
        <v>7</v>
      </c>
      <c r="B11" s="1103" t="s">
        <v>124</v>
      </c>
      <c r="C11" s="1102" t="s">
        <v>636</v>
      </c>
      <c r="D11" s="84">
        <v>4</v>
      </c>
    </row>
    <row r="12" spans="1:4" ht="12" customHeight="1">
      <c r="A12" s="1100">
        <v>8</v>
      </c>
      <c r="B12" s="1101" t="s">
        <v>125</v>
      </c>
      <c r="C12" s="1102" t="s">
        <v>637</v>
      </c>
      <c r="D12" s="84">
        <v>5</v>
      </c>
    </row>
    <row r="13" spans="1:4" ht="12" customHeight="1">
      <c r="A13" s="1100">
        <v>9</v>
      </c>
      <c r="B13" s="1101" t="s">
        <v>126</v>
      </c>
      <c r="C13" s="1102" t="s">
        <v>638</v>
      </c>
      <c r="D13" s="84">
        <v>5</v>
      </c>
    </row>
    <row r="14" spans="1:4" ht="12" customHeight="1">
      <c r="A14" s="1100">
        <v>10</v>
      </c>
      <c r="B14" s="1103" t="s">
        <v>127</v>
      </c>
      <c r="C14" s="1102" t="s">
        <v>639</v>
      </c>
      <c r="D14" s="84">
        <v>6</v>
      </c>
    </row>
    <row r="15" spans="1:4" ht="12" customHeight="1">
      <c r="A15" s="1100">
        <v>11</v>
      </c>
      <c r="B15" s="1103" t="s">
        <v>128</v>
      </c>
      <c r="C15" s="1102" t="s">
        <v>904</v>
      </c>
      <c r="D15" s="84">
        <v>7</v>
      </c>
    </row>
    <row r="16" spans="1:4" ht="12" customHeight="1">
      <c r="A16" s="1100">
        <v>12</v>
      </c>
      <c r="B16" s="1103" t="s">
        <v>129</v>
      </c>
      <c r="C16" s="1102" t="s">
        <v>640</v>
      </c>
      <c r="D16" s="84">
        <v>8</v>
      </c>
    </row>
    <row r="17" spans="1:4" ht="12" customHeight="1">
      <c r="A17" s="1100">
        <v>13</v>
      </c>
      <c r="B17" s="1103" t="s">
        <v>130</v>
      </c>
      <c r="C17" s="1102" t="s">
        <v>905</v>
      </c>
      <c r="D17" s="84">
        <v>9</v>
      </c>
    </row>
    <row r="18" spans="1:4" ht="12" customHeight="1">
      <c r="A18" s="1100">
        <v>14</v>
      </c>
      <c r="B18" s="1101" t="s">
        <v>131</v>
      </c>
      <c r="C18" s="1102" t="s">
        <v>650</v>
      </c>
      <c r="D18" s="84">
        <v>10</v>
      </c>
    </row>
    <row r="19" spans="1:4" ht="12" customHeight="1">
      <c r="A19" s="1100">
        <v>15</v>
      </c>
      <c r="B19" s="1101" t="s">
        <v>132</v>
      </c>
      <c r="C19" s="1102" t="s">
        <v>651</v>
      </c>
      <c r="D19" s="84">
        <v>11</v>
      </c>
    </row>
    <row r="20" spans="1:4" ht="12" customHeight="1">
      <c r="A20" s="1100">
        <v>16</v>
      </c>
      <c r="B20" s="1101" t="s">
        <v>133</v>
      </c>
      <c r="C20" s="1102" t="s">
        <v>652</v>
      </c>
      <c r="D20" s="84">
        <v>12</v>
      </c>
    </row>
    <row r="21" spans="1:4" ht="12" customHeight="1">
      <c r="A21" s="1100">
        <v>17</v>
      </c>
      <c r="B21" s="1101" t="s">
        <v>134</v>
      </c>
      <c r="C21" s="1102" t="s">
        <v>653</v>
      </c>
      <c r="D21" s="84">
        <v>13</v>
      </c>
    </row>
    <row r="22" spans="1:4" ht="12" customHeight="1">
      <c r="A22" s="1100">
        <v>18</v>
      </c>
      <c r="B22" s="1101" t="s">
        <v>135</v>
      </c>
      <c r="C22" s="1102" t="s">
        <v>1047</v>
      </c>
      <c r="D22" s="84">
        <v>13</v>
      </c>
    </row>
    <row r="23" spans="1:4" ht="12" customHeight="1">
      <c r="A23" s="1100">
        <v>19</v>
      </c>
      <c r="B23" s="1103" t="s">
        <v>136</v>
      </c>
      <c r="C23" s="1102" t="s">
        <v>654</v>
      </c>
      <c r="D23" s="84">
        <v>14</v>
      </c>
    </row>
    <row r="24" spans="1:4" ht="12" customHeight="1">
      <c r="A24" s="1100">
        <v>20</v>
      </c>
      <c r="B24" s="1101" t="s">
        <v>137</v>
      </c>
      <c r="C24" s="1102" t="s">
        <v>1398</v>
      </c>
      <c r="D24" s="84">
        <v>16</v>
      </c>
    </row>
    <row r="25" spans="1:4" ht="12" customHeight="1">
      <c r="A25" s="1100"/>
      <c r="B25" s="1103"/>
      <c r="C25" s="1104" t="s">
        <v>775</v>
      </c>
      <c r="D25" s="84"/>
    </row>
    <row r="26" spans="1:4" ht="12" customHeight="1">
      <c r="A26" s="1100">
        <v>21</v>
      </c>
      <c r="B26" s="1101" t="s">
        <v>138</v>
      </c>
      <c r="C26" s="1102" t="s">
        <v>1591</v>
      </c>
      <c r="D26" s="84">
        <v>17</v>
      </c>
    </row>
    <row r="27" spans="1:4" ht="12" customHeight="1">
      <c r="A27" s="1100">
        <v>22</v>
      </c>
      <c r="B27" s="1101" t="s">
        <v>139</v>
      </c>
      <c r="C27" s="1102" t="s">
        <v>307</v>
      </c>
      <c r="D27" s="84">
        <v>18</v>
      </c>
    </row>
    <row r="28" spans="1:4" ht="12" customHeight="1">
      <c r="A28" s="1100">
        <v>23</v>
      </c>
      <c r="B28" s="1103" t="s">
        <v>140</v>
      </c>
      <c r="C28" s="1102" t="s">
        <v>1048</v>
      </c>
      <c r="D28" s="84">
        <v>19</v>
      </c>
    </row>
    <row r="29" spans="1:4" ht="12" customHeight="1">
      <c r="A29" s="1100">
        <v>24</v>
      </c>
      <c r="B29" s="1101" t="s">
        <v>141</v>
      </c>
      <c r="C29" s="1102" t="s">
        <v>1400</v>
      </c>
      <c r="D29" s="84">
        <v>20</v>
      </c>
    </row>
    <row r="30" spans="1:4" ht="12" customHeight="1">
      <c r="A30" s="1100">
        <v>25</v>
      </c>
      <c r="B30" s="1103" t="s">
        <v>142</v>
      </c>
      <c r="C30" s="1102" t="s">
        <v>655</v>
      </c>
      <c r="D30" s="84">
        <v>21</v>
      </c>
    </row>
    <row r="31" spans="1:4" ht="12" customHeight="1">
      <c r="A31" s="1100"/>
      <c r="B31" s="1105"/>
      <c r="C31" s="1104" t="s">
        <v>776</v>
      </c>
      <c r="D31" s="84"/>
    </row>
    <row r="32" spans="1:4" ht="12" customHeight="1">
      <c r="A32" s="1100">
        <v>26</v>
      </c>
      <c r="B32" s="1103" t="s">
        <v>143</v>
      </c>
      <c r="C32" s="1102" t="s">
        <v>656</v>
      </c>
      <c r="D32" s="84">
        <v>22</v>
      </c>
    </row>
    <row r="33" spans="1:4" ht="12" customHeight="1">
      <c r="A33" s="1100">
        <v>27</v>
      </c>
      <c r="B33" s="1103" t="s">
        <v>144</v>
      </c>
      <c r="C33" s="1102" t="s">
        <v>657</v>
      </c>
      <c r="D33" s="84">
        <v>23</v>
      </c>
    </row>
    <row r="34" spans="1:4" ht="12" customHeight="1">
      <c r="A34" s="1100">
        <v>28</v>
      </c>
      <c r="B34" s="1103" t="s">
        <v>145</v>
      </c>
      <c r="C34" s="1102" t="s">
        <v>658</v>
      </c>
      <c r="D34" s="84">
        <v>24</v>
      </c>
    </row>
    <row r="35" spans="1:4" ht="12" customHeight="1">
      <c r="A35" s="1100">
        <v>29</v>
      </c>
      <c r="B35" s="1103" t="s">
        <v>146</v>
      </c>
      <c r="C35" s="1102" t="s">
        <v>238</v>
      </c>
      <c r="D35" s="84">
        <v>25</v>
      </c>
    </row>
    <row r="36" spans="1:4" ht="12" customHeight="1">
      <c r="A36" s="1100">
        <v>30</v>
      </c>
      <c r="B36" s="1103" t="s">
        <v>147</v>
      </c>
      <c r="C36" s="1102" t="s">
        <v>261</v>
      </c>
      <c r="D36" s="84">
        <v>26</v>
      </c>
    </row>
    <row r="37" spans="1:4" ht="12" customHeight="1">
      <c r="A37" s="1100">
        <v>31</v>
      </c>
      <c r="B37" s="1103" t="s">
        <v>148</v>
      </c>
      <c r="C37" s="1102" t="s">
        <v>266</v>
      </c>
      <c r="D37" s="84">
        <v>27</v>
      </c>
    </row>
    <row r="38" spans="1:4" ht="12" customHeight="1">
      <c r="A38" s="1100">
        <v>32</v>
      </c>
      <c r="B38" s="1103" t="s">
        <v>149</v>
      </c>
      <c r="C38" s="1102" t="s">
        <v>1049</v>
      </c>
      <c r="D38" s="84">
        <v>28</v>
      </c>
    </row>
    <row r="39" spans="1:4" ht="12" customHeight="1">
      <c r="A39" s="1100">
        <v>33</v>
      </c>
      <c r="B39" s="1103" t="s">
        <v>150</v>
      </c>
      <c r="C39" s="1102" t="s">
        <v>270</v>
      </c>
      <c r="D39" s="84">
        <v>29</v>
      </c>
    </row>
    <row r="40" spans="1:4" ht="12" customHeight="1">
      <c r="A40" s="1100">
        <v>34</v>
      </c>
      <c r="B40" s="1103" t="s">
        <v>151</v>
      </c>
      <c r="C40" s="1102" t="s">
        <v>271</v>
      </c>
      <c r="D40" s="84">
        <v>30</v>
      </c>
    </row>
    <row r="41" spans="1:4" ht="12" customHeight="1">
      <c r="A41" s="1100">
        <v>35</v>
      </c>
      <c r="B41" s="1101" t="s">
        <v>152</v>
      </c>
      <c r="C41" s="1102" t="s">
        <v>1401</v>
      </c>
      <c r="D41" s="84">
        <v>31</v>
      </c>
    </row>
    <row r="42" spans="1:4" ht="12" customHeight="1">
      <c r="A42" s="1100">
        <v>36</v>
      </c>
      <c r="B42" s="1101" t="s">
        <v>153</v>
      </c>
      <c r="C42" s="1102" t="s">
        <v>1648</v>
      </c>
      <c r="D42" s="84">
        <v>33</v>
      </c>
    </row>
    <row r="43" spans="1:4" ht="12" customHeight="1">
      <c r="A43" s="1100">
        <v>37</v>
      </c>
      <c r="B43" s="1101" t="s">
        <v>154</v>
      </c>
      <c r="C43" s="1102" t="s">
        <v>659</v>
      </c>
      <c r="D43" s="84">
        <v>34</v>
      </c>
    </row>
    <row r="44" spans="1:4" ht="12" customHeight="1">
      <c r="A44" s="1100">
        <v>38</v>
      </c>
      <c r="B44" s="1101" t="s">
        <v>155</v>
      </c>
      <c r="C44" s="1102" t="s">
        <v>1004</v>
      </c>
      <c r="D44" s="84">
        <v>35</v>
      </c>
    </row>
    <row r="45" spans="1:4" ht="12" customHeight="1">
      <c r="A45" s="1100">
        <v>39</v>
      </c>
      <c r="B45" s="1101" t="s">
        <v>156</v>
      </c>
      <c r="C45" s="1102" t="s">
        <v>1005</v>
      </c>
      <c r="D45" s="84">
        <v>35</v>
      </c>
    </row>
    <row r="46" spans="1:4" ht="12" customHeight="1">
      <c r="A46" s="1100"/>
      <c r="B46" s="1103"/>
      <c r="C46" s="1104" t="s">
        <v>777</v>
      </c>
      <c r="D46" s="84"/>
    </row>
    <row r="47" spans="1:4" ht="12" customHeight="1">
      <c r="A47" s="1100">
        <v>40</v>
      </c>
      <c r="B47" s="1103">
        <v>5.0999999999999996</v>
      </c>
      <c r="C47" s="1102" t="s">
        <v>660</v>
      </c>
      <c r="D47" s="84">
        <v>36</v>
      </c>
    </row>
    <row r="48" spans="1:4" ht="12" customHeight="1">
      <c r="A48" s="1100">
        <v>41</v>
      </c>
      <c r="B48" s="1103" t="s">
        <v>157</v>
      </c>
      <c r="C48" s="1102" t="s">
        <v>661</v>
      </c>
      <c r="D48" s="84">
        <v>36</v>
      </c>
    </row>
    <row r="49" spans="1:4" ht="12" customHeight="1">
      <c r="A49" s="1100">
        <v>42</v>
      </c>
      <c r="B49" s="1103" t="s">
        <v>158</v>
      </c>
      <c r="C49" s="1102" t="s">
        <v>1399</v>
      </c>
      <c r="D49" s="84">
        <v>37</v>
      </c>
    </row>
    <row r="50" spans="1:4" ht="12" customHeight="1">
      <c r="A50" s="1100">
        <v>43</v>
      </c>
      <c r="B50" s="1103">
        <v>5.2</v>
      </c>
      <c r="C50" s="1102" t="s">
        <v>662</v>
      </c>
      <c r="D50" s="84">
        <v>37</v>
      </c>
    </row>
    <row r="51" spans="1:4" ht="12" customHeight="1">
      <c r="A51" s="1100">
        <v>44</v>
      </c>
      <c r="B51" s="1103">
        <v>5.3</v>
      </c>
      <c r="C51" s="1102" t="s">
        <v>663</v>
      </c>
      <c r="D51" s="84">
        <v>38</v>
      </c>
    </row>
    <row r="52" spans="1:4" ht="12" customHeight="1">
      <c r="A52" s="1100">
        <v>45</v>
      </c>
      <c r="B52" s="1103" t="s">
        <v>159</v>
      </c>
      <c r="C52" s="1102" t="s">
        <v>664</v>
      </c>
      <c r="D52" s="84">
        <v>39</v>
      </c>
    </row>
    <row r="53" spans="1:4" ht="12" customHeight="1">
      <c r="A53" s="1100">
        <v>46</v>
      </c>
      <c r="B53" s="1103" t="s">
        <v>160</v>
      </c>
      <c r="C53" s="1102" t="s">
        <v>665</v>
      </c>
      <c r="D53" s="84">
        <v>40</v>
      </c>
    </row>
    <row r="54" spans="1:4" ht="12" customHeight="1">
      <c r="A54" s="1100">
        <v>47</v>
      </c>
      <c r="B54" s="1103" t="s">
        <v>161</v>
      </c>
      <c r="C54" s="1102" t="s">
        <v>666</v>
      </c>
      <c r="D54" s="84">
        <v>40</v>
      </c>
    </row>
    <row r="55" spans="1:4" ht="12" customHeight="1">
      <c r="A55" s="1100">
        <v>48</v>
      </c>
      <c r="B55" s="1103" t="s">
        <v>162</v>
      </c>
      <c r="C55" s="1102" t="s">
        <v>1015</v>
      </c>
      <c r="D55" s="84">
        <v>41</v>
      </c>
    </row>
    <row r="56" spans="1:4" ht="12" customHeight="1">
      <c r="A56" s="1100">
        <v>49</v>
      </c>
      <c r="B56" s="1103" t="s">
        <v>163</v>
      </c>
      <c r="C56" s="1102" t="s">
        <v>667</v>
      </c>
      <c r="D56" s="84">
        <v>42</v>
      </c>
    </row>
    <row r="57" spans="1:4" ht="12" customHeight="1">
      <c r="A57" s="1100">
        <v>50</v>
      </c>
      <c r="B57" s="1103">
        <v>5.4</v>
      </c>
      <c r="C57" s="1102" t="s">
        <v>668</v>
      </c>
      <c r="D57" s="84">
        <v>43</v>
      </c>
    </row>
    <row r="58" spans="1:4" ht="12" customHeight="1">
      <c r="A58" s="1100">
        <v>51</v>
      </c>
      <c r="B58" s="1103">
        <v>5.5</v>
      </c>
      <c r="C58" s="1102" t="s">
        <v>669</v>
      </c>
      <c r="D58" s="84">
        <v>44</v>
      </c>
    </row>
    <row r="59" spans="1:4" ht="12" customHeight="1">
      <c r="A59" s="1100">
        <v>52</v>
      </c>
      <c r="B59" s="1103" t="s">
        <v>164</v>
      </c>
      <c r="C59" s="1102" t="s">
        <v>670</v>
      </c>
      <c r="D59" s="84">
        <v>44</v>
      </c>
    </row>
    <row r="60" spans="1:4" ht="12" customHeight="1">
      <c r="A60" s="1100">
        <v>53</v>
      </c>
      <c r="B60" s="1103">
        <v>5.6</v>
      </c>
      <c r="C60" s="1102" t="s">
        <v>671</v>
      </c>
      <c r="D60" s="84">
        <v>45</v>
      </c>
    </row>
    <row r="61" spans="1:4" ht="12" customHeight="1">
      <c r="A61" s="1100">
        <v>54</v>
      </c>
      <c r="B61" s="1103">
        <v>5.7</v>
      </c>
      <c r="C61" s="1102" t="s">
        <v>672</v>
      </c>
      <c r="D61" s="84">
        <v>45</v>
      </c>
    </row>
    <row r="62" spans="1:4" ht="12" customHeight="1">
      <c r="A62" s="1106">
        <v>55</v>
      </c>
      <c r="B62" s="1107">
        <v>5.8</v>
      </c>
      <c r="C62" s="1108" t="s">
        <v>673</v>
      </c>
      <c r="D62" s="85">
        <v>45</v>
      </c>
    </row>
    <row r="63" spans="1:4" ht="12" customHeight="1">
      <c r="D63" s="1085" t="s">
        <v>216</v>
      </c>
    </row>
    <row r="64" spans="1:4" ht="12" customHeight="1">
      <c r="A64" s="1335" t="s">
        <v>1565</v>
      </c>
      <c r="B64" s="1335"/>
      <c r="C64" s="1335"/>
      <c r="D64" s="1085"/>
    </row>
    <row r="65" spans="1:4" ht="15" customHeight="1">
      <c r="A65" s="1333" t="s">
        <v>674</v>
      </c>
      <c r="B65" s="1333"/>
      <c r="C65" s="1334"/>
      <c r="D65" s="1334"/>
    </row>
    <row r="66" spans="1:4" ht="30" customHeight="1">
      <c r="A66" s="1109" t="s">
        <v>263</v>
      </c>
      <c r="B66" s="1096" t="s">
        <v>632</v>
      </c>
      <c r="C66" s="1096" t="s">
        <v>1674</v>
      </c>
      <c r="D66" s="1096" t="s">
        <v>633</v>
      </c>
    </row>
    <row r="67" spans="1:4" ht="14.25" customHeight="1">
      <c r="A67" s="1110"/>
      <c r="B67" s="1111"/>
      <c r="C67" s="1112" t="s">
        <v>778</v>
      </c>
      <c r="D67" s="118"/>
    </row>
    <row r="68" spans="1:4" ht="12" customHeight="1">
      <c r="A68" s="1113">
        <v>56</v>
      </c>
      <c r="B68" s="1114">
        <v>6.1</v>
      </c>
      <c r="C68" s="1115" t="s">
        <v>675</v>
      </c>
      <c r="D68" s="84">
        <v>46</v>
      </c>
    </row>
    <row r="69" spans="1:4" ht="12" customHeight="1">
      <c r="A69" s="1113">
        <v>57</v>
      </c>
      <c r="B69" s="1114">
        <v>6.2</v>
      </c>
      <c r="C69" s="1115" t="s">
        <v>676</v>
      </c>
      <c r="D69" s="84">
        <v>47</v>
      </c>
    </row>
    <row r="70" spans="1:4" ht="12" customHeight="1">
      <c r="A70" s="1113"/>
      <c r="B70" s="1114"/>
      <c r="C70" s="1116" t="s">
        <v>779</v>
      </c>
      <c r="D70" s="84"/>
    </row>
    <row r="71" spans="1:4" ht="12" customHeight="1">
      <c r="A71" s="1113">
        <v>58</v>
      </c>
      <c r="B71" s="1114">
        <v>7.1</v>
      </c>
      <c r="C71" s="1115" t="s">
        <v>677</v>
      </c>
      <c r="D71" s="84">
        <v>48</v>
      </c>
    </row>
    <row r="72" spans="1:4" ht="12" customHeight="1">
      <c r="A72" s="1113">
        <v>59</v>
      </c>
      <c r="B72" s="1114">
        <v>7.2</v>
      </c>
      <c r="C72" s="1115" t="s">
        <v>1017</v>
      </c>
      <c r="D72" s="84">
        <v>49</v>
      </c>
    </row>
    <row r="73" spans="1:4" ht="12" customHeight="1">
      <c r="A73" s="1113">
        <v>60</v>
      </c>
      <c r="B73" s="1114">
        <v>7.3</v>
      </c>
      <c r="C73" s="1115" t="s">
        <v>723</v>
      </c>
      <c r="D73" s="84">
        <v>49</v>
      </c>
    </row>
    <row r="74" spans="1:4" ht="12" customHeight="1">
      <c r="A74" s="1113"/>
      <c r="B74" s="1114"/>
      <c r="C74" s="1116" t="s">
        <v>788</v>
      </c>
      <c r="D74" s="84"/>
    </row>
    <row r="75" spans="1:4" ht="12" customHeight="1">
      <c r="A75" s="1113">
        <v>61</v>
      </c>
      <c r="B75" s="1114">
        <v>8.1</v>
      </c>
      <c r="C75" s="1115" t="s">
        <v>678</v>
      </c>
      <c r="D75" s="84">
        <v>50</v>
      </c>
    </row>
    <row r="76" spans="1:4" ht="12" customHeight="1">
      <c r="A76" s="1113">
        <v>62</v>
      </c>
      <c r="B76" s="1114">
        <v>8.1999999999999993</v>
      </c>
      <c r="C76" s="1115" t="s">
        <v>679</v>
      </c>
      <c r="D76" s="84">
        <v>50</v>
      </c>
    </row>
    <row r="77" spans="1:4" ht="12" customHeight="1">
      <c r="A77" s="1113">
        <v>63</v>
      </c>
      <c r="B77" s="1114" t="s">
        <v>165</v>
      </c>
      <c r="C77" s="1115" t="s">
        <v>681</v>
      </c>
      <c r="D77" s="84">
        <v>51</v>
      </c>
    </row>
    <row r="78" spans="1:4" ht="12" customHeight="1">
      <c r="A78" s="1113">
        <v>64</v>
      </c>
      <c r="B78" s="1114">
        <v>8.3000000000000007</v>
      </c>
      <c r="C78" s="1115" t="s">
        <v>682</v>
      </c>
      <c r="D78" s="84">
        <v>52</v>
      </c>
    </row>
    <row r="79" spans="1:4" ht="12" customHeight="1">
      <c r="A79" s="1113">
        <v>65</v>
      </c>
      <c r="B79" s="1114">
        <v>8.4</v>
      </c>
      <c r="C79" s="1115" t="s">
        <v>683</v>
      </c>
      <c r="D79" s="84">
        <v>53</v>
      </c>
    </row>
    <row r="80" spans="1:4" ht="12" customHeight="1">
      <c r="A80" s="1113"/>
      <c r="B80" s="1114"/>
      <c r="C80" s="1116" t="s">
        <v>780</v>
      </c>
      <c r="D80" s="84"/>
    </row>
    <row r="81" spans="1:4" ht="12" customHeight="1">
      <c r="A81" s="1113">
        <v>66</v>
      </c>
      <c r="B81" s="1114">
        <v>9.1</v>
      </c>
      <c r="C81" s="1115" t="s">
        <v>684</v>
      </c>
      <c r="D81" s="84">
        <v>54</v>
      </c>
    </row>
    <row r="82" spans="1:4" ht="12" customHeight="1">
      <c r="A82" s="1113">
        <v>67</v>
      </c>
      <c r="B82" s="1114">
        <v>9.1999999999999993</v>
      </c>
      <c r="C82" s="1115" t="s">
        <v>685</v>
      </c>
      <c r="D82" s="84">
        <v>55</v>
      </c>
    </row>
    <row r="83" spans="1:4" ht="12" customHeight="1">
      <c r="A83" s="1113">
        <v>68</v>
      </c>
      <c r="B83" s="1114" t="s">
        <v>166</v>
      </c>
      <c r="C83" s="1115" t="s">
        <v>686</v>
      </c>
      <c r="D83" s="84">
        <v>55</v>
      </c>
    </row>
    <row r="84" spans="1:4" ht="12" customHeight="1">
      <c r="A84" s="1113">
        <v>69</v>
      </c>
      <c r="B84" s="1114" t="s">
        <v>167</v>
      </c>
      <c r="C84" s="1115" t="s">
        <v>687</v>
      </c>
      <c r="D84" s="84">
        <v>55</v>
      </c>
    </row>
    <row r="85" spans="1:4" ht="12" customHeight="1">
      <c r="A85" s="1113"/>
      <c r="B85" s="1114"/>
      <c r="C85" s="1116" t="s">
        <v>781</v>
      </c>
      <c r="D85" s="84"/>
    </row>
    <row r="86" spans="1:4" ht="12" customHeight="1">
      <c r="A86" s="1113">
        <v>70</v>
      </c>
      <c r="B86" s="1114">
        <v>10.1</v>
      </c>
      <c r="C86" s="1115" t="s">
        <v>688</v>
      </c>
      <c r="D86" s="84">
        <v>56</v>
      </c>
    </row>
    <row r="87" spans="1:4" ht="12" customHeight="1">
      <c r="A87" s="1113">
        <v>71</v>
      </c>
      <c r="B87" s="1114">
        <v>10.199999999999999</v>
      </c>
      <c r="C87" s="1115" t="s">
        <v>689</v>
      </c>
      <c r="D87" s="84">
        <v>56</v>
      </c>
    </row>
    <row r="88" spans="1:4" ht="12" customHeight="1">
      <c r="A88" s="1113">
        <v>72</v>
      </c>
      <c r="B88" s="1114">
        <v>10.3</v>
      </c>
      <c r="C88" s="1115" t="s">
        <v>1402</v>
      </c>
      <c r="D88" s="84">
        <v>57</v>
      </c>
    </row>
    <row r="89" spans="1:4" ht="12" customHeight="1">
      <c r="A89" s="1113"/>
      <c r="B89" s="1114"/>
      <c r="C89" s="1116" t="s">
        <v>782</v>
      </c>
      <c r="D89" s="84"/>
    </row>
    <row r="90" spans="1:4" ht="12" customHeight="1">
      <c r="A90" s="1113">
        <v>73</v>
      </c>
      <c r="B90" s="1114">
        <v>11.1</v>
      </c>
      <c r="C90" s="1115" t="s">
        <v>1403</v>
      </c>
      <c r="D90" s="84">
        <v>58</v>
      </c>
    </row>
    <row r="91" spans="1:4" ht="12" customHeight="1">
      <c r="A91" s="1113">
        <v>74</v>
      </c>
      <c r="B91" s="1114" t="s">
        <v>168</v>
      </c>
      <c r="C91" s="1115" t="s">
        <v>690</v>
      </c>
      <c r="D91" s="84">
        <v>59</v>
      </c>
    </row>
    <row r="92" spans="1:4" ht="12" customHeight="1">
      <c r="A92" s="1113">
        <v>75</v>
      </c>
      <c r="B92" s="1114">
        <v>11.2</v>
      </c>
      <c r="C92" s="1115" t="s">
        <v>692</v>
      </c>
      <c r="D92" s="84">
        <v>59</v>
      </c>
    </row>
    <row r="93" spans="1:4" ht="12" customHeight="1">
      <c r="A93" s="1113">
        <v>76</v>
      </c>
      <c r="B93" s="1114">
        <v>11.3</v>
      </c>
      <c r="C93" s="1115" t="s">
        <v>693</v>
      </c>
      <c r="D93" s="84">
        <v>60</v>
      </c>
    </row>
    <row r="94" spans="1:4" ht="12" customHeight="1">
      <c r="A94" s="1113">
        <v>77</v>
      </c>
      <c r="B94" s="1114">
        <v>11.4</v>
      </c>
      <c r="C94" s="1115" t="s">
        <v>694</v>
      </c>
      <c r="D94" s="84">
        <v>60</v>
      </c>
    </row>
    <row r="95" spans="1:4" ht="12" customHeight="1">
      <c r="A95" s="1113"/>
      <c r="B95" s="1114"/>
      <c r="C95" s="1116" t="s">
        <v>783</v>
      </c>
      <c r="D95" s="84"/>
    </row>
    <row r="96" spans="1:4" ht="12" customHeight="1">
      <c r="A96" s="1113">
        <v>78</v>
      </c>
      <c r="B96" s="1114">
        <v>12.1</v>
      </c>
      <c r="C96" s="1115" t="s">
        <v>695</v>
      </c>
      <c r="D96" s="84">
        <v>61</v>
      </c>
    </row>
    <row r="97" spans="1:4" ht="12" customHeight="1">
      <c r="A97" s="1113">
        <v>79</v>
      </c>
      <c r="B97" s="1114">
        <v>12.2</v>
      </c>
      <c r="C97" s="1115" t="s">
        <v>696</v>
      </c>
      <c r="D97" s="84">
        <v>61</v>
      </c>
    </row>
    <row r="98" spans="1:4" ht="12" customHeight="1">
      <c r="A98" s="1113">
        <v>80</v>
      </c>
      <c r="B98" s="1114">
        <v>12.3</v>
      </c>
      <c r="C98" s="1115" t="s">
        <v>1404</v>
      </c>
      <c r="D98" s="84">
        <v>62</v>
      </c>
    </row>
    <row r="99" spans="1:4" ht="12" customHeight="1">
      <c r="A99" s="1113">
        <v>81</v>
      </c>
      <c r="B99" s="1114">
        <v>12.4</v>
      </c>
      <c r="C99" s="1115" t="s">
        <v>697</v>
      </c>
      <c r="D99" s="84">
        <v>62</v>
      </c>
    </row>
    <row r="100" spans="1:4" ht="12" customHeight="1">
      <c r="A100" s="1113">
        <v>82</v>
      </c>
      <c r="B100" s="1114">
        <v>12.5</v>
      </c>
      <c r="C100" s="1115" t="s">
        <v>698</v>
      </c>
      <c r="D100" s="84">
        <v>63</v>
      </c>
    </row>
    <row r="101" spans="1:4" ht="12" customHeight="1">
      <c r="A101" s="1113">
        <v>83</v>
      </c>
      <c r="B101" s="1114">
        <v>12.6</v>
      </c>
      <c r="C101" s="1115" t="s">
        <v>699</v>
      </c>
      <c r="D101" s="84">
        <v>63</v>
      </c>
    </row>
    <row r="102" spans="1:4" ht="12" customHeight="1">
      <c r="A102" s="1113">
        <v>84</v>
      </c>
      <c r="B102" s="1114">
        <v>12.7</v>
      </c>
      <c r="C102" s="1115" t="s">
        <v>993</v>
      </c>
      <c r="D102" s="84">
        <v>63</v>
      </c>
    </row>
    <row r="103" spans="1:4" ht="12" customHeight="1">
      <c r="A103" s="1113"/>
      <c r="B103" s="1114"/>
      <c r="C103" s="1116" t="s">
        <v>784</v>
      </c>
      <c r="D103" s="84"/>
    </row>
    <row r="104" spans="1:4" ht="12" customHeight="1">
      <c r="A104" s="1113">
        <v>85</v>
      </c>
      <c r="B104" s="1114">
        <v>13.1</v>
      </c>
      <c r="C104" s="1115" t="s">
        <v>700</v>
      </c>
      <c r="D104" s="84">
        <v>64</v>
      </c>
    </row>
    <row r="105" spans="1:4" ht="12" customHeight="1">
      <c r="A105" s="1113">
        <v>86</v>
      </c>
      <c r="B105" s="1114">
        <v>13.2</v>
      </c>
      <c r="C105" s="1115" t="s">
        <v>1021</v>
      </c>
      <c r="D105" s="84">
        <v>65</v>
      </c>
    </row>
    <row r="106" spans="1:4" ht="12" customHeight="1">
      <c r="A106" s="1113">
        <v>87</v>
      </c>
      <c r="B106" s="1114">
        <v>13.3</v>
      </c>
      <c r="C106" s="1115" t="s">
        <v>701</v>
      </c>
      <c r="D106" s="84">
        <v>65</v>
      </c>
    </row>
    <row r="107" spans="1:4" ht="12" customHeight="1">
      <c r="A107" s="1113"/>
      <c r="B107" s="1114"/>
      <c r="C107" s="1116" t="s">
        <v>785</v>
      </c>
      <c r="D107" s="84"/>
    </row>
    <row r="108" spans="1:4" ht="12" customHeight="1">
      <c r="A108" s="1113">
        <v>88</v>
      </c>
      <c r="B108" s="1114">
        <v>14.1</v>
      </c>
      <c r="C108" s="1115" t="s">
        <v>1397</v>
      </c>
      <c r="D108" s="84">
        <v>66</v>
      </c>
    </row>
    <row r="109" spans="1:4" ht="12" customHeight="1">
      <c r="A109" s="1113">
        <v>89</v>
      </c>
      <c r="B109" s="1114">
        <v>14.2</v>
      </c>
      <c r="C109" s="1115" t="s">
        <v>1024</v>
      </c>
      <c r="D109" s="84">
        <v>66</v>
      </c>
    </row>
    <row r="110" spans="1:4" ht="12" customHeight="1">
      <c r="A110" s="1113"/>
      <c r="B110" s="1114"/>
      <c r="C110" s="1116" t="s">
        <v>786</v>
      </c>
      <c r="D110" s="84"/>
    </row>
    <row r="111" spans="1:4" ht="12" customHeight="1">
      <c r="A111" s="1113">
        <v>90</v>
      </c>
      <c r="B111" s="1114">
        <v>15.1</v>
      </c>
      <c r="C111" s="1115" t="s">
        <v>1101</v>
      </c>
      <c r="D111" s="84">
        <v>67</v>
      </c>
    </row>
    <row r="112" spans="1:4" ht="12" customHeight="1">
      <c r="A112" s="1113">
        <v>91</v>
      </c>
      <c r="B112" s="1114">
        <v>15.2</v>
      </c>
      <c r="C112" s="1115" t="s">
        <v>702</v>
      </c>
      <c r="D112" s="84">
        <v>68</v>
      </c>
    </row>
    <row r="113" spans="1:4" ht="12" customHeight="1">
      <c r="A113" s="1113"/>
      <c r="B113" s="1114"/>
      <c r="C113" s="1116" t="s">
        <v>787</v>
      </c>
      <c r="D113" s="84"/>
    </row>
    <row r="114" spans="1:4" ht="12" customHeight="1">
      <c r="A114" s="1113">
        <v>92</v>
      </c>
      <c r="B114" s="1114">
        <v>16.100000000000001</v>
      </c>
      <c r="C114" s="1115" t="s">
        <v>703</v>
      </c>
      <c r="D114" s="84">
        <v>71</v>
      </c>
    </row>
    <row r="115" spans="1:4" ht="12" customHeight="1">
      <c r="A115" s="1113">
        <v>93</v>
      </c>
      <c r="B115" s="1114">
        <v>17.100000000000001</v>
      </c>
      <c r="C115" s="1115" t="s">
        <v>1025</v>
      </c>
      <c r="D115" s="84">
        <v>72</v>
      </c>
    </row>
    <row r="116" spans="1:4" ht="12" customHeight="1">
      <c r="A116" s="1113">
        <v>94</v>
      </c>
      <c r="B116" s="1114">
        <v>17.2</v>
      </c>
      <c r="C116" s="1115" t="s">
        <v>704</v>
      </c>
      <c r="D116" s="84">
        <v>73</v>
      </c>
    </row>
    <row r="117" spans="1:4" ht="12" customHeight="1">
      <c r="A117" s="1113">
        <v>95</v>
      </c>
      <c r="B117" s="1114">
        <v>18.100000000000001</v>
      </c>
      <c r="C117" s="1115" t="s">
        <v>705</v>
      </c>
      <c r="D117" s="84">
        <v>74</v>
      </c>
    </row>
    <row r="118" spans="1:4" ht="12" customHeight="1">
      <c r="A118" s="1113">
        <v>96</v>
      </c>
      <c r="B118" s="1114">
        <v>18.2</v>
      </c>
      <c r="C118" s="1115" t="s">
        <v>706</v>
      </c>
      <c r="D118" s="84">
        <v>76</v>
      </c>
    </row>
    <row r="119" spans="1:4" ht="12" customHeight="1">
      <c r="A119" s="1113">
        <v>97</v>
      </c>
      <c r="B119" s="1114">
        <v>18.3</v>
      </c>
      <c r="C119" s="1115" t="s">
        <v>707</v>
      </c>
      <c r="D119" s="84">
        <v>77</v>
      </c>
    </row>
    <row r="120" spans="1:4" ht="12" customHeight="1">
      <c r="A120" s="1113">
        <v>98</v>
      </c>
      <c r="B120" s="1114">
        <v>19.100000000000001</v>
      </c>
      <c r="C120" s="1115" t="s">
        <v>1423</v>
      </c>
      <c r="D120" s="84">
        <v>78</v>
      </c>
    </row>
    <row r="121" spans="1:4" ht="12" customHeight="1">
      <c r="A121" s="1113">
        <v>99</v>
      </c>
      <c r="B121" s="1114">
        <v>20.100000000000001</v>
      </c>
      <c r="C121" s="1115" t="s">
        <v>1026</v>
      </c>
      <c r="D121" s="84">
        <v>79</v>
      </c>
    </row>
    <row r="122" spans="1:4" ht="12" customHeight="1">
      <c r="A122" s="1113">
        <v>100</v>
      </c>
      <c r="B122" s="1114">
        <v>20.2</v>
      </c>
      <c r="C122" s="1115" t="s">
        <v>994</v>
      </c>
      <c r="D122" s="84">
        <v>80</v>
      </c>
    </row>
    <row r="123" spans="1:4" ht="12" customHeight="1">
      <c r="A123" s="1113">
        <v>101</v>
      </c>
      <c r="B123" s="1114">
        <v>21.1</v>
      </c>
      <c r="C123" s="1115" t="s">
        <v>708</v>
      </c>
      <c r="D123" s="84">
        <v>81</v>
      </c>
    </row>
    <row r="124" spans="1:4" ht="12" customHeight="1">
      <c r="A124" s="1117">
        <v>102</v>
      </c>
      <c r="B124" s="1118">
        <v>21.2</v>
      </c>
      <c r="C124" s="1119" t="s">
        <v>709</v>
      </c>
      <c r="D124" s="85">
        <v>82</v>
      </c>
    </row>
    <row r="125" spans="1:4">
      <c r="A125" s="359"/>
      <c r="B125" s="1120"/>
      <c r="C125" s="7"/>
      <c r="D125"/>
    </row>
    <row r="127" spans="1:4">
      <c r="D127"/>
    </row>
    <row r="128" spans="1:4">
      <c r="A128" s="1336" t="s">
        <v>1563</v>
      </c>
      <c r="B128" s="1336"/>
      <c r="C128" s="1336"/>
      <c r="D128" s="1234"/>
    </row>
  </sheetData>
  <mergeCells count="4">
    <mergeCell ref="A1:D1"/>
    <mergeCell ref="A65:D65"/>
    <mergeCell ref="A64:C64"/>
    <mergeCell ref="A128:C128"/>
  </mergeCells>
  <phoneticPr fontId="0" type="noConversion"/>
  <printOptions horizontalCentered="1"/>
  <pageMargins left="0.1" right="0.1" top="0.52" bottom="0.45" header="0.45" footer="0.22"/>
  <pageSetup paperSize="9" orientation="portrait" blackAndWhite="1" r:id="rId1"/>
  <headerFooter alignWithMargins="0"/>
</worksheet>
</file>

<file path=xl/worksheets/sheet40.xml><?xml version="1.0" encoding="utf-8"?>
<worksheet xmlns="http://schemas.openxmlformats.org/spreadsheetml/2006/main" xmlns:r="http://schemas.openxmlformats.org/officeDocument/2006/relationships">
  <sheetPr codeName="Sheet37"/>
  <dimension ref="A1:G53"/>
  <sheetViews>
    <sheetView workbookViewId="0">
      <selection activeCell="K13" sqref="K13"/>
    </sheetView>
  </sheetViews>
  <sheetFormatPr defaultRowHeight="12.4" customHeight="1"/>
  <cols>
    <col min="1" max="1" width="2.5703125" customWidth="1"/>
    <col min="2" max="2" width="18.42578125" customWidth="1"/>
    <col min="3" max="7" width="12.7109375" customWidth="1"/>
  </cols>
  <sheetData>
    <row r="1" spans="1:7" ht="12.75" customHeight="1">
      <c r="A1" s="1444" t="s">
        <v>1379</v>
      </c>
      <c r="B1" s="1444"/>
      <c r="C1" s="1444"/>
      <c r="D1" s="1444"/>
      <c r="E1" s="1444"/>
      <c r="F1" s="1444"/>
      <c r="G1" s="1444"/>
    </row>
    <row r="2" spans="1:7" ht="36" customHeight="1">
      <c r="A2" s="1678" t="str">
        <f>CONCATENATE("Area of Vested Agricultural Land distributed and Number of Beneficiaries 
in the district of ",District!A1)</f>
        <v>Area of Vested Agricultural Land distributed and Number of Beneficiaries 
in the district of Malda</v>
      </c>
      <c r="B2" s="1678"/>
      <c r="C2" s="1678"/>
      <c r="D2" s="1678"/>
      <c r="E2" s="1678"/>
      <c r="F2" s="1678"/>
      <c r="G2" s="1678"/>
    </row>
    <row r="3" spans="1:7" ht="12.75" customHeight="1">
      <c r="A3" s="1433" t="s">
        <v>169</v>
      </c>
      <c r="B3" s="1434"/>
      <c r="C3" s="1346" t="s">
        <v>36</v>
      </c>
      <c r="D3" s="1356" t="s">
        <v>37</v>
      </c>
      <c r="E3" s="1357"/>
      <c r="F3" s="1357"/>
      <c r="G3" s="1358"/>
    </row>
    <row r="4" spans="1:7" ht="27" customHeight="1">
      <c r="A4" s="1407"/>
      <c r="B4" s="1460"/>
      <c r="C4" s="1347"/>
      <c r="D4" s="343" t="s">
        <v>1098</v>
      </c>
      <c r="E4" s="343" t="s">
        <v>1099</v>
      </c>
      <c r="F4" s="216" t="s">
        <v>1526</v>
      </c>
      <c r="G4" s="213" t="s">
        <v>1233</v>
      </c>
    </row>
    <row r="5" spans="1:7" ht="14.25" customHeight="1">
      <c r="A5" s="1353" t="s">
        <v>1208</v>
      </c>
      <c r="B5" s="1354"/>
      <c r="C5" s="151" t="s">
        <v>1209</v>
      </c>
      <c r="D5" s="151" t="s">
        <v>1210</v>
      </c>
      <c r="E5" s="153" t="s">
        <v>1211</v>
      </c>
      <c r="F5" s="151" t="s">
        <v>1212</v>
      </c>
      <c r="G5" s="151" t="s">
        <v>1213</v>
      </c>
    </row>
    <row r="6" spans="1:7" ht="21" customHeight="1">
      <c r="A6" s="1679" t="s">
        <v>1014</v>
      </c>
      <c r="B6" s="1680"/>
      <c r="C6" s="129">
        <v>31659</v>
      </c>
      <c r="D6" s="41">
        <v>40910</v>
      </c>
      <c r="E6" s="116">
        <v>29932</v>
      </c>
      <c r="F6" s="41">
        <v>87621</v>
      </c>
      <c r="G6" s="255">
        <f>SUM(D6:F6)</f>
        <v>158463</v>
      </c>
    </row>
    <row r="7" spans="1:7" ht="21" customHeight="1">
      <c r="A7" s="1672" t="s">
        <v>264</v>
      </c>
      <c r="B7" s="1673"/>
      <c r="C7" s="129">
        <v>31712</v>
      </c>
      <c r="D7" s="41">
        <v>41502</v>
      </c>
      <c r="E7" s="116">
        <v>29986</v>
      </c>
      <c r="F7" s="41">
        <v>88503</v>
      </c>
      <c r="G7" s="255">
        <f>SUM(D7:F7)</f>
        <v>159991</v>
      </c>
    </row>
    <row r="8" spans="1:7" ht="21" customHeight="1">
      <c r="A8" s="1672" t="s">
        <v>265</v>
      </c>
      <c r="B8" s="1673"/>
      <c r="C8" s="129">
        <v>31804</v>
      </c>
      <c r="D8" s="116">
        <v>41821</v>
      </c>
      <c r="E8" s="116">
        <v>30284</v>
      </c>
      <c r="F8" s="116">
        <v>89415</v>
      </c>
      <c r="G8" s="255">
        <f>SUM(D8:F8)</f>
        <v>161520</v>
      </c>
    </row>
    <row r="9" spans="1:7" ht="21" customHeight="1">
      <c r="A9" s="1672" t="s">
        <v>268</v>
      </c>
      <c r="B9" s="1673"/>
      <c r="C9" s="104">
        <v>31931</v>
      </c>
      <c r="D9" s="116">
        <v>41988</v>
      </c>
      <c r="E9" s="116">
        <v>30405</v>
      </c>
      <c r="F9" s="116">
        <v>89773</v>
      </c>
      <c r="G9" s="255">
        <f>SUM(D9:F9)</f>
        <v>162166</v>
      </c>
    </row>
    <row r="10" spans="1:7" ht="21" customHeight="1">
      <c r="A10" s="1674" t="s">
        <v>563</v>
      </c>
      <c r="B10" s="1675"/>
      <c r="C10" s="111">
        <v>30633</v>
      </c>
      <c r="D10" s="117">
        <v>42566</v>
      </c>
      <c r="E10" s="117">
        <v>30799</v>
      </c>
      <c r="F10" s="117">
        <v>90842</v>
      </c>
      <c r="G10" s="256">
        <f>SUM(D10:F10)</f>
        <v>164207</v>
      </c>
    </row>
    <row r="11" spans="1:7" ht="12.75" customHeight="1">
      <c r="A11" s="57"/>
      <c r="B11" s="50"/>
      <c r="C11" s="68"/>
      <c r="D11" s="68"/>
      <c r="E11" s="68"/>
      <c r="G11" s="930" t="s">
        <v>1030</v>
      </c>
    </row>
    <row r="12" spans="1:7" ht="10.5" customHeight="1">
      <c r="A12" s="57"/>
      <c r="B12" s="50"/>
      <c r="C12" s="68"/>
      <c r="D12" s="68"/>
      <c r="E12" s="68"/>
      <c r="F12" s="239"/>
    </row>
    <row r="13" spans="1:7" ht="13.5" customHeight="1">
      <c r="A13" s="1637" t="s">
        <v>1380</v>
      </c>
      <c r="B13" s="1637"/>
      <c r="C13" s="1637"/>
      <c r="D13" s="1637"/>
      <c r="E13" s="1637"/>
      <c r="F13" s="1637"/>
      <c r="G13" s="1637"/>
    </row>
    <row r="14" spans="1:7" ht="14.25" customHeight="1">
      <c r="A14" s="1638" t="str">
        <f>CONCATENATE("Area under Principal Crops in the district of ",District!A1)</f>
        <v>Area under Principal Crops in the district of Malda</v>
      </c>
      <c r="B14" s="1638"/>
      <c r="C14" s="1638"/>
      <c r="D14" s="1638"/>
      <c r="E14" s="1638"/>
      <c r="F14" s="1638"/>
      <c r="G14" s="1638"/>
    </row>
    <row r="15" spans="1:7" ht="12.4" customHeight="1">
      <c r="A15" s="138"/>
      <c r="B15" s="138"/>
      <c r="C15" s="138"/>
      <c r="D15" s="138"/>
      <c r="E15" s="138"/>
      <c r="F15" s="138"/>
      <c r="G15" s="576" t="s">
        <v>1612</v>
      </c>
    </row>
    <row r="16" spans="1:7" ht="13.5" customHeight="1">
      <c r="A16" s="1391" t="s">
        <v>66</v>
      </c>
      <c r="B16" s="1392"/>
      <c r="C16" s="489" t="str">
        <f>District!A10</f>
        <v>2009-10</v>
      </c>
      <c r="D16" s="489" t="str">
        <f>District!B10</f>
        <v>2010-11</v>
      </c>
      <c r="E16" s="489" t="str">
        <f>District!C10</f>
        <v>2011-12</v>
      </c>
      <c r="F16" s="489" t="str">
        <f>District!D10</f>
        <v>2012-13</v>
      </c>
      <c r="G16" s="489" t="str">
        <f>District!E10</f>
        <v>2013-14</v>
      </c>
    </row>
    <row r="17" spans="1:7" ht="12.4" customHeight="1">
      <c r="A17" s="1353" t="s">
        <v>1208</v>
      </c>
      <c r="B17" s="1677"/>
      <c r="C17" s="151" t="s">
        <v>1209</v>
      </c>
      <c r="D17" s="151" t="s">
        <v>1210</v>
      </c>
      <c r="E17" s="152" t="s">
        <v>1211</v>
      </c>
      <c r="F17" s="151" t="s">
        <v>1212</v>
      </c>
      <c r="G17" s="153" t="s">
        <v>1213</v>
      </c>
    </row>
    <row r="18" spans="1:7" ht="13.5" customHeight="1">
      <c r="A18" s="1676" t="s">
        <v>57</v>
      </c>
      <c r="B18" s="1601"/>
      <c r="C18" s="144"/>
      <c r="D18" s="430"/>
      <c r="E18" s="567"/>
      <c r="F18" s="505"/>
      <c r="G18" s="505"/>
    </row>
    <row r="19" spans="1:7" ht="13.5" customHeight="1">
      <c r="A19" s="671" t="s">
        <v>58</v>
      </c>
      <c r="B19" s="546" t="s">
        <v>67</v>
      </c>
      <c r="C19" s="211">
        <f>SUM(C20:C22)</f>
        <v>216.8</v>
      </c>
      <c r="D19" s="372">
        <f>SUM(D20:D22)</f>
        <v>200.8</v>
      </c>
      <c r="E19" s="372">
        <f>SUM(E20:E22)</f>
        <v>204.89999999999998</v>
      </c>
      <c r="F19" s="372">
        <f>SUM(F20:F22)</f>
        <v>207.6</v>
      </c>
      <c r="G19" s="372">
        <f>SUM(G20:G22)</f>
        <v>198.79999999999998</v>
      </c>
    </row>
    <row r="20" spans="1:7" ht="13.5" customHeight="1">
      <c r="A20" s="432"/>
      <c r="B20" s="471" t="s">
        <v>68</v>
      </c>
      <c r="C20" s="577">
        <v>5.8</v>
      </c>
      <c r="D20" s="577">
        <v>3.4</v>
      </c>
      <c r="E20" s="577">
        <v>3.7</v>
      </c>
      <c r="F20" s="577">
        <v>3.1</v>
      </c>
      <c r="G20" s="577">
        <v>3.1</v>
      </c>
    </row>
    <row r="21" spans="1:7" ht="13.5" customHeight="1">
      <c r="A21" s="432"/>
      <c r="B21" s="471" t="s">
        <v>69</v>
      </c>
      <c r="C21" s="577">
        <v>143</v>
      </c>
      <c r="D21" s="577">
        <v>132.80000000000001</v>
      </c>
      <c r="E21" s="577">
        <v>144.5</v>
      </c>
      <c r="F21" s="577">
        <v>145.6</v>
      </c>
      <c r="G21" s="577">
        <v>135.69999999999999</v>
      </c>
    </row>
    <row r="22" spans="1:7" ht="13.5" customHeight="1">
      <c r="A22" s="432"/>
      <c r="B22" s="471" t="s">
        <v>70</v>
      </c>
      <c r="C22" s="577">
        <v>68</v>
      </c>
      <c r="D22" s="577">
        <v>64.599999999999994</v>
      </c>
      <c r="E22" s="577">
        <v>56.7</v>
      </c>
      <c r="F22" s="577">
        <v>58.9</v>
      </c>
      <c r="G22" s="577">
        <v>60</v>
      </c>
    </row>
    <row r="23" spans="1:7" ht="13.5" customHeight="1">
      <c r="A23" s="671" t="s">
        <v>59</v>
      </c>
      <c r="B23" s="471" t="s">
        <v>71</v>
      </c>
      <c r="C23" s="577">
        <v>44.1</v>
      </c>
      <c r="D23" s="577">
        <v>47.6</v>
      </c>
      <c r="E23" s="577">
        <v>43.5</v>
      </c>
      <c r="F23" s="1285">
        <v>44.9</v>
      </c>
      <c r="G23" s="1285">
        <v>44.7</v>
      </c>
    </row>
    <row r="24" spans="1:7" s="7" customFormat="1" ht="13.5" customHeight="1">
      <c r="A24" s="671" t="s">
        <v>60</v>
      </c>
      <c r="B24" s="471" t="s">
        <v>72</v>
      </c>
      <c r="C24" s="577">
        <v>1.2</v>
      </c>
      <c r="D24" s="577">
        <v>1.5</v>
      </c>
      <c r="E24" s="577">
        <v>1.3</v>
      </c>
      <c r="F24" s="577">
        <v>1.4</v>
      </c>
      <c r="G24" s="577">
        <v>1.4000000000000001</v>
      </c>
    </row>
    <row r="25" spans="1:7" ht="13.5" customHeight="1">
      <c r="A25" s="671" t="s">
        <v>61</v>
      </c>
      <c r="B25" s="471" t="s">
        <v>73</v>
      </c>
      <c r="C25" s="577">
        <v>8.6</v>
      </c>
      <c r="D25" s="577">
        <v>8.8000000000000007</v>
      </c>
      <c r="E25" s="577">
        <v>13.6</v>
      </c>
      <c r="F25" s="577">
        <v>20.399999999999999</v>
      </c>
      <c r="G25" s="577">
        <v>16.2</v>
      </c>
    </row>
    <row r="26" spans="1:7" ht="13.5" customHeight="1">
      <c r="A26" s="671" t="s">
        <v>62</v>
      </c>
      <c r="B26" s="471" t="s">
        <v>74</v>
      </c>
      <c r="C26" s="577" t="s">
        <v>1509</v>
      </c>
      <c r="D26" s="577" t="s">
        <v>1509</v>
      </c>
      <c r="E26" s="577" t="s">
        <v>1509</v>
      </c>
      <c r="F26" s="577" t="s">
        <v>1509</v>
      </c>
      <c r="G26" s="577" t="s">
        <v>1509</v>
      </c>
    </row>
    <row r="27" spans="1:7" ht="13.5" customHeight="1">
      <c r="A27" s="476"/>
      <c r="B27" s="220" t="s">
        <v>80</v>
      </c>
      <c r="C27" s="488">
        <f>SUM(C19,C23,C24,C25,C26)</f>
        <v>270.70000000000005</v>
      </c>
      <c r="D27" s="488">
        <f>SUM(D19,D23,D24,D25,D26)</f>
        <v>258.7</v>
      </c>
      <c r="E27" s="488">
        <f>SUM(E19,E23,E24,E25,E26)</f>
        <v>263.3</v>
      </c>
      <c r="F27" s="488">
        <f>SUM(F19,F23,F24,F25,F26)</f>
        <v>274.3</v>
      </c>
      <c r="G27" s="488">
        <f>SUM(G19,G23,G24,G25,G26)</f>
        <v>261.10000000000002</v>
      </c>
    </row>
    <row r="28" spans="1:7" ht="13.5" customHeight="1">
      <c r="A28" s="671" t="s">
        <v>63</v>
      </c>
      <c r="B28" s="471" t="s">
        <v>1252</v>
      </c>
      <c r="C28" s="577">
        <v>3.3</v>
      </c>
      <c r="D28" s="577">
        <v>2.2999999999999998</v>
      </c>
      <c r="E28" s="577">
        <v>3.4</v>
      </c>
      <c r="F28" s="577">
        <v>3.3</v>
      </c>
      <c r="G28" s="577">
        <v>3.2</v>
      </c>
    </row>
    <row r="29" spans="1:7" ht="13.5" customHeight="1">
      <c r="A29" s="671" t="s">
        <v>64</v>
      </c>
      <c r="B29" s="471" t="s">
        <v>81</v>
      </c>
      <c r="C29" s="577">
        <v>0.1</v>
      </c>
      <c r="D29" s="577">
        <v>0.1</v>
      </c>
      <c r="E29" s="577" t="s">
        <v>1514</v>
      </c>
      <c r="F29" s="577" t="s">
        <v>1514</v>
      </c>
      <c r="G29" s="1304" t="s">
        <v>1514</v>
      </c>
    </row>
    <row r="30" spans="1:7" ht="13.5" customHeight="1">
      <c r="A30" s="671" t="s">
        <v>65</v>
      </c>
      <c r="B30" s="471" t="s">
        <v>82</v>
      </c>
      <c r="C30" s="577">
        <v>17.3</v>
      </c>
      <c r="D30" s="577">
        <v>14.1</v>
      </c>
      <c r="E30" s="577">
        <v>15.8</v>
      </c>
      <c r="F30" s="577">
        <v>17.7</v>
      </c>
      <c r="G30" s="577">
        <v>18.5</v>
      </c>
    </row>
    <row r="31" spans="1:7" ht="13.5" customHeight="1">
      <c r="A31" s="143"/>
      <c r="B31" s="220" t="s">
        <v>83</v>
      </c>
      <c r="C31" s="221">
        <f>SUM(C28:C30)</f>
        <v>20.7</v>
      </c>
      <c r="D31" s="234">
        <f>SUM(D28:D30)</f>
        <v>16.5</v>
      </c>
      <c r="E31" s="234">
        <f>SUM(E28:E30)</f>
        <v>19.2</v>
      </c>
      <c r="F31" s="1251">
        <f>SUM(F28:F30)</f>
        <v>21</v>
      </c>
      <c r="G31" s="1251">
        <f>SUM(G28:G30)</f>
        <v>21.7</v>
      </c>
    </row>
    <row r="32" spans="1:7" ht="13.5" customHeight="1">
      <c r="A32" s="1670" t="s">
        <v>84</v>
      </c>
      <c r="B32" s="1595"/>
      <c r="C32" s="103">
        <f>SUM(C27,C31)</f>
        <v>291.40000000000003</v>
      </c>
      <c r="D32" s="475">
        <f>SUM(D27,D31)</f>
        <v>275.2</v>
      </c>
      <c r="E32" s="475">
        <f>SUM(E27,E31)</f>
        <v>282.5</v>
      </c>
      <c r="F32" s="475">
        <f>SUM(F27,F31)</f>
        <v>295.3</v>
      </c>
      <c r="G32" s="475">
        <f>SUM(G27,G31)</f>
        <v>282.8</v>
      </c>
    </row>
    <row r="33" spans="1:7" ht="13.5" customHeight="1">
      <c r="A33" s="1670" t="s">
        <v>808</v>
      </c>
      <c r="B33" s="1595"/>
      <c r="C33" s="567"/>
      <c r="D33" s="577"/>
      <c r="E33" s="577"/>
      <c r="F33" s="577"/>
      <c r="G33" s="577"/>
    </row>
    <row r="34" spans="1:7" ht="13.5" customHeight="1">
      <c r="A34" s="474" t="s">
        <v>58</v>
      </c>
      <c r="B34" s="471" t="s">
        <v>1504</v>
      </c>
      <c r="C34" s="577">
        <v>32.700000000000003</v>
      </c>
      <c r="D34" s="577">
        <v>30.4</v>
      </c>
      <c r="E34" s="577">
        <v>32.4</v>
      </c>
      <c r="F34" s="577">
        <v>33.700000000000003</v>
      </c>
      <c r="G34" s="577">
        <v>35.300000000000004</v>
      </c>
    </row>
    <row r="35" spans="1:7" ht="13.5" customHeight="1">
      <c r="A35" s="474" t="s">
        <v>59</v>
      </c>
      <c r="B35" s="471" t="s">
        <v>924</v>
      </c>
      <c r="C35" s="577">
        <v>0.1</v>
      </c>
      <c r="D35" s="577">
        <v>0.1</v>
      </c>
      <c r="E35" s="577">
        <v>0.1</v>
      </c>
      <c r="F35" s="577">
        <v>0.1</v>
      </c>
      <c r="G35" s="577">
        <v>0.1</v>
      </c>
    </row>
    <row r="36" spans="1:7" ht="13.5" customHeight="1">
      <c r="A36" s="474" t="s">
        <v>60</v>
      </c>
      <c r="B36" s="471" t="s">
        <v>85</v>
      </c>
      <c r="C36" s="577">
        <v>0.4</v>
      </c>
      <c r="D36" s="577">
        <v>0.7</v>
      </c>
      <c r="E36" s="577">
        <v>0.4</v>
      </c>
      <c r="F36" s="577">
        <v>0.5</v>
      </c>
      <c r="G36" s="577">
        <v>0.8</v>
      </c>
    </row>
    <row r="37" spans="1:7" ht="13.5" customHeight="1">
      <c r="A37" s="1670" t="s">
        <v>86</v>
      </c>
      <c r="B37" s="1671"/>
      <c r="C37" s="385">
        <f>SUM(C34:C36)</f>
        <v>33.200000000000003</v>
      </c>
      <c r="D37" s="473">
        <f>SUM(D34:D36)</f>
        <v>31.2</v>
      </c>
      <c r="E37" s="473">
        <f>SUM(E34:E36)</f>
        <v>32.9</v>
      </c>
      <c r="F37" s="473">
        <f>SUM(F34:F36)</f>
        <v>34.300000000000004</v>
      </c>
      <c r="G37" s="473">
        <f>SUM(G34:G36)</f>
        <v>36.200000000000003</v>
      </c>
    </row>
    <row r="38" spans="1:7" ht="13.5" customHeight="1">
      <c r="A38" s="1670" t="s">
        <v>1498</v>
      </c>
      <c r="B38" s="1595"/>
      <c r="C38" s="98"/>
      <c r="D38" s="577"/>
      <c r="E38" s="577"/>
      <c r="F38" s="577"/>
      <c r="G38" s="577"/>
    </row>
    <row r="39" spans="1:7" ht="13.5" customHeight="1">
      <c r="A39" s="474" t="s">
        <v>58</v>
      </c>
      <c r="B39" s="471" t="s">
        <v>87</v>
      </c>
      <c r="C39" s="577">
        <v>18.2</v>
      </c>
      <c r="D39" s="577">
        <v>18</v>
      </c>
      <c r="E39" s="577">
        <v>21.5</v>
      </c>
      <c r="F39" s="577">
        <v>23.8</v>
      </c>
      <c r="G39" s="577">
        <v>24.6</v>
      </c>
    </row>
    <row r="40" spans="1:7" ht="13.5" customHeight="1">
      <c r="A40" s="474" t="s">
        <v>59</v>
      </c>
      <c r="B40" s="471" t="s">
        <v>88</v>
      </c>
      <c r="C40" s="577">
        <v>0.2</v>
      </c>
      <c r="D40" s="577">
        <v>0.4</v>
      </c>
      <c r="E40" s="577">
        <v>0.6</v>
      </c>
      <c r="F40" s="577">
        <v>0.6</v>
      </c>
      <c r="G40" s="577">
        <v>0.6</v>
      </c>
    </row>
    <row r="41" spans="1:7" ht="13.5" customHeight="1">
      <c r="A41" s="474" t="s">
        <v>60</v>
      </c>
      <c r="B41" s="471" t="s">
        <v>1500</v>
      </c>
      <c r="C41" s="628" t="s">
        <v>1509</v>
      </c>
      <c r="D41" s="706" t="s">
        <v>1509</v>
      </c>
      <c r="E41" s="706" t="s">
        <v>1509</v>
      </c>
      <c r="F41" s="706" t="s">
        <v>1509</v>
      </c>
      <c r="G41" s="706" t="s">
        <v>1509</v>
      </c>
    </row>
    <row r="42" spans="1:7" ht="13.5" customHeight="1">
      <c r="A42" s="1670" t="s">
        <v>1499</v>
      </c>
      <c r="B42" s="1595"/>
      <c r="C42" s="473">
        <f>SUM(C39:C41)</f>
        <v>18.399999999999999</v>
      </c>
      <c r="D42" s="473">
        <f>SUM(D39:D41)</f>
        <v>18.399999999999999</v>
      </c>
      <c r="E42" s="473">
        <f>SUM(E39:E41)</f>
        <v>22.1</v>
      </c>
      <c r="F42" s="1286">
        <f>SUM(F39:F41)</f>
        <v>24.400000000000002</v>
      </c>
      <c r="G42" s="1286">
        <f>SUM(G39:G41)</f>
        <v>25.200000000000003</v>
      </c>
    </row>
    <row r="43" spans="1:7" ht="13.5" customHeight="1">
      <c r="A43" s="1670" t="s">
        <v>809</v>
      </c>
      <c r="B43" s="1671"/>
      <c r="C43" s="98"/>
      <c r="D43" s="577"/>
      <c r="E43" s="577"/>
      <c r="F43" s="577"/>
      <c r="G43" s="577"/>
    </row>
    <row r="44" spans="1:7" ht="13.5" customHeight="1">
      <c r="A44" s="474" t="s">
        <v>58</v>
      </c>
      <c r="B44" s="471" t="s">
        <v>89</v>
      </c>
      <c r="C44" s="577">
        <v>2.2000000000000002</v>
      </c>
      <c r="D44" s="577">
        <v>2.2000000000000002</v>
      </c>
      <c r="E44" s="577">
        <v>2.2000000000000002</v>
      </c>
      <c r="F44" s="577">
        <v>2.1</v>
      </c>
      <c r="G44" s="577">
        <v>2.1</v>
      </c>
    </row>
    <row r="45" spans="1:7" ht="13.5" customHeight="1">
      <c r="A45" s="474" t="s">
        <v>59</v>
      </c>
      <c r="B45" s="471" t="s">
        <v>102</v>
      </c>
      <c r="C45" s="577">
        <v>4.4000000000000004</v>
      </c>
      <c r="D45" s="577">
        <v>5</v>
      </c>
      <c r="E45" s="577">
        <v>3.9</v>
      </c>
      <c r="F45" s="577">
        <v>4.9000000000000004</v>
      </c>
      <c r="G45" s="577">
        <v>5.0999999999999996</v>
      </c>
    </row>
    <row r="46" spans="1:7" ht="13.5" customHeight="1">
      <c r="A46" s="474" t="s">
        <v>60</v>
      </c>
      <c r="B46" s="471" t="s">
        <v>103</v>
      </c>
      <c r="C46" s="577">
        <v>0.2</v>
      </c>
      <c r="D46" s="577">
        <v>0.2</v>
      </c>
      <c r="E46" s="577">
        <v>0.1</v>
      </c>
      <c r="F46" s="577">
        <v>0.2</v>
      </c>
      <c r="G46" s="1304" t="s">
        <v>1509</v>
      </c>
    </row>
    <row r="47" spans="1:7" ht="13.5" customHeight="1">
      <c r="A47" s="474" t="s">
        <v>61</v>
      </c>
      <c r="B47" s="471" t="s">
        <v>104</v>
      </c>
      <c r="C47" s="706" t="s">
        <v>1509</v>
      </c>
      <c r="D47" s="706" t="s">
        <v>1509</v>
      </c>
      <c r="E47" s="706" t="s">
        <v>1509</v>
      </c>
      <c r="F47" s="706" t="s">
        <v>1509</v>
      </c>
      <c r="G47" s="1304" t="s">
        <v>1509</v>
      </c>
    </row>
    <row r="48" spans="1:7" ht="13.5" customHeight="1">
      <c r="A48" s="474" t="s">
        <v>62</v>
      </c>
      <c r="B48" s="471" t="s">
        <v>105</v>
      </c>
      <c r="C48" s="577">
        <v>2.5</v>
      </c>
      <c r="D48" s="577">
        <v>2.6</v>
      </c>
      <c r="E48" s="577">
        <v>2.6</v>
      </c>
      <c r="F48" s="577">
        <v>2.6</v>
      </c>
      <c r="G48" s="577">
        <v>2.6</v>
      </c>
    </row>
    <row r="49" spans="1:7" ht="13.5" customHeight="1">
      <c r="A49" s="474" t="s">
        <v>63</v>
      </c>
      <c r="B49" s="471" t="s">
        <v>115</v>
      </c>
      <c r="C49" s="577">
        <v>0.2</v>
      </c>
      <c r="D49" s="577">
        <v>0.3</v>
      </c>
      <c r="E49" s="577">
        <v>0.3</v>
      </c>
      <c r="F49" s="1285">
        <v>0.2</v>
      </c>
      <c r="G49" s="1285">
        <v>0.3</v>
      </c>
    </row>
    <row r="50" spans="1:7" ht="13.5" customHeight="1">
      <c r="A50" s="1668" t="s">
        <v>116</v>
      </c>
      <c r="B50" s="1669"/>
      <c r="C50" s="244">
        <f>SUM(C44:C49)</f>
        <v>9.5</v>
      </c>
      <c r="D50" s="244">
        <f>SUM(D44:D49)</f>
        <v>10.3</v>
      </c>
      <c r="E50" s="244">
        <f>SUM(E44:E49)</f>
        <v>9.1</v>
      </c>
      <c r="F50" s="244">
        <f>SUM(F44:F49)</f>
        <v>10</v>
      </c>
      <c r="G50" s="244">
        <f>SUM(G44:G49)</f>
        <v>10.1</v>
      </c>
    </row>
    <row r="51" spans="1:7" ht="12.4" customHeight="1">
      <c r="A51" s="941" t="s">
        <v>1514</v>
      </c>
      <c r="B51" s="942" t="s">
        <v>466</v>
      </c>
      <c r="C51" s="846"/>
      <c r="D51" s="900" t="s">
        <v>117</v>
      </c>
      <c r="E51" s="257" t="s">
        <v>1031</v>
      </c>
      <c r="F51" s="25"/>
      <c r="G51" s="25"/>
    </row>
    <row r="52" spans="1:7" ht="12.4" customHeight="1">
      <c r="A52" s="25"/>
      <c r="B52" s="25"/>
      <c r="C52" s="43"/>
      <c r="D52" s="257"/>
      <c r="E52" s="257" t="s">
        <v>292</v>
      </c>
      <c r="F52" s="25"/>
      <c r="G52" s="25"/>
    </row>
    <row r="53" spans="1:7" ht="12.4" customHeight="1">
      <c r="E53" s="257"/>
    </row>
  </sheetData>
  <mergeCells count="23">
    <mergeCell ref="A8:B8"/>
    <mergeCell ref="A1:G1"/>
    <mergeCell ref="A2:G2"/>
    <mergeCell ref="D3:G3"/>
    <mergeCell ref="C3:C4"/>
    <mergeCell ref="A3:B4"/>
    <mergeCell ref="A5:B5"/>
    <mergeCell ref="A6:B6"/>
    <mergeCell ref="A7:B7"/>
    <mergeCell ref="A9:B9"/>
    <mergeCell ref="A33:B33"/>
    <mergeCell ref="A14:G14"/>
    <mergeCell ref="A13:G13"/>
    <mergeCell ref="A10:B10"/>
    <mergeCell ref="A18:B18"/>
    <mergeCell ref="A17:B17"/>
    <mergeCell ref="A50:B50"/>
    <mergeCell ref="A16:B16"/>
    <mergeCell ref="A43:B43"/>
    <mergeCell ref="A32:B32"/>
    <mergeCell ref="A37:B37"/>
    <mergeCell ref="A38:B38"/>
    <mergeCell ref="A42:B42"/>
  </mergeCells>
  <phoneticPr fontId="0" type="noConversion"/>
  <printOptions horizontalCentered="1"/>
  <pageMargins left="0.1" right="0.1" top="0.7" bottom="0.1" header="0.7" footer="0.1"/>
  <pageSetup paperSize="9" orientation="portrait" blackAndWhite="1" horizontalDpi="4294967295" r:id="rId1"/>
  <headerFooter alignWithMargins="0"/>
</worksheet>
</file>

<file path=xl/worksheets/sheet41.xml><?xml version="1.0" encoding="utf-8"?>
<worksheet xmlns="http://schemas.openxmlformats.org/spreadsheetml/2006/main" xmlns:r="http://schemas.openxmlformats.org/officeDocument/2006/relationships">
  <sheetPr codeName="Sheet50"/>
  <dimension ref="A1:J41"/>
  <sheetViews>
    <sheetView workbookViewId="0">
      <selection activeCell="M5" sqref="M5"/>
    </sheetView>
  </sheetViews>
  <sheetFormatPr defaultRowHeight="12.75"/>
  <cols>
    <col min="1" max="1" width="2.7109375" customWidth="1"/>
    <col min="2" max="2" width="18.42578125" customWidth="1"/>
    <col min="3" max="7" width="13.28515625" customWidth="1"/>
  </cols>
  <sheetData>
    <row r="1" spans="1:10">
      <c r="A1" s="1430" t="s">
        <v>1381</v>
      </c>
      <c r="B1" s="1430"/>
      <c r="C1" s="1430"/>
      <c r="D1" s="1430"/>
      <c r="E1" s="1430"/>
      <c r="F1" s="1430"/>
      <c r="G1" s="1430"/>
    </row>
    <row r="2" spans="1:10" ht="15" customHeight="1">
      <c r="A2" s="1638" t="str">
        <f>CONCATENATE("Production of Principal Crops in the district of ",District!A1)</f>
        <v>Production of Principal Crops in the district of Malda</v>
      </c>
      <c r="B2" s="1638"/>
      <c r="C2" s="1638"/>
      <c r="D2" s="1638"/>
      <c r="E2" s="1638"/>
      <c r="F2" s="1638"/>
      <c r="G2" s="1638"/>
      <c r="H2" s="27"/>
      <c r="I2" s="27"/>
      <c r="J2" s="27"/>
    </row>
    <row r="3" spans="1:10" ht="15" customHeight="1">
      <c r="G3" s="162" t="s">
        <v>1613</v>
      </c>
    </row>
    <row r="4" spans="1:10" ht="15" customHeight="1">
      <c r="A4" s="1391" t="s">
        <v>66</v>
      </c>
      <c r="B4" s="1392"/>
      <c r="C4" s="489" t="str">
        <f>District!A10</f>
        <v>2009-10</v>
      </c>
      <c r="D4" s="489" t="str">
        <f>District!B10</f>
        <v>2010-11</v>
      </c>
      <c r="E4" s="489" t="str">
        <f>District!C10</f>
        <v>2011-12</v>
      </c>
      <c r="F4" s="489" t="str">
        <f>District!D10</f>
        <v>2012-13</v>
      </c>
      <c r="G4" s="489" t="str">
        <f>District!E10</f>
        <v>2013-14</v>
      </c>
    </row>
    <row r="5" spans="1:10" ht="15" customHeight="1">
      <c r="A5" s="1353" t="s">
        <v>1208</v>
      </c>
      <c r="B5" s="1677"/>
      <c r="C5" s="151" t="s">
        <v>1209</v>
      </c>
      <c r="D5" s="152" t="s">
        <v>1210</v>
      </c>
      <c r="E5" s="151" t="s">
        <v>1211</v>
      </c>
      <c r="F5" s="153" t="s">
        <v>1212</v>
      </c>
      <c r="G5" s="153" t="s">
        <v>1213</v>
      </c>
    </row>
    <row r="6" spans="1:10" ht="18" customHeight="1">
      <c r="A6" s="1676" t="s">
        <v>57</v>
      </c>
      <c r="B6" s="1681"/>
      <c r="C6" s="502"/>
      <c r="D6" s="503"/>
      <c r="E6" s="504"/>
      <c r="F6" s="504"/>
      <c r="G6" s="505"/>
    </row>
    <row r="7" spans="1:10" ht="18" customHeight="1">
      <c r="A7" s="470" t="s">
        <v>58</v>
      </c>
      <c r="B7" s="487" t="s">
        <v>67</v>
      </c>
      <c r="C7" s="488">
        <f>SUM(C8:C10)</f>
        <v>614.5</v>
      </c>
      <c r="D7" s="488">
        <f>SUM(D8:D10)</f>
        <v>630.5</v>
      </c>
      <c r="E7" s="488">
        <f>SUM(E8:E10)</f>
        <v>612</v>
      </c>
      <c r="F7" s="1289">
        <f>SUM(F8:F10)</f>
        <v>644.6</v>
      </c>
      <c r="G7" s="1289">
        <f>SUM(G8:G10)</f>
        <v>704.40000000000009</v>
      </c>
    </row>
    <row r="8" spans="1:10" ht="18" customHeight="1">
      <c r="A8" s="470"/>
      <c r="B8" s="471" t="s">
        <v>68</v>
      </c>
      <c r="C8" s="116">
        <v>11.8</v>
      </c>
      <c r="D8" s="116">
        <v>5.5</v>
      </c>
      <c r="E8" s="116">
        <v>8.5</v>
      </c>
      <c r="F8" s="608">
        <v>5.5</v>
      </c>
      <c r="G8" s="608">
        <v>6.1</v>
      </c>
    </row>
    <row r="9" spans="1:10" ht="18" customHeight="1">
      <c r="A9" s="470"/>
      <c r="B9" s="471" t="s">
        <v>69</v>
      </c>
      <c r="C9" s="116">
        <v>378.5</v>
      </c>
      <c r="D9" s="116">
        <v>379.5</v>
      </c>
      <c r="E9" s="116">
        <v>386.1</v>
      </c>
      <c r="F9" s="608">
        <v>412.6</v>
      </c>
      <c r="G9" s="608">
        <v>462.1</v>
      </c>
    </row>
    <row r="10" spans="1:10" ht="18" customHeight="1">
      <c r="A10" s="470"/>
      <c r="B10" s="471" t="s">
        <v>70</v>
      </c>
      <c r="C10" s="116">
        <v>224.2</v>
      </c>
      <c r="D10" s="116">
        <v>245.5</v>
      </c>
      <c r="E10" s="116">
        <v>217.4</v>
      </c>
      <c r="F10" s="608">
        <v>226.5</v>
      </c>
      <c r="G10" s="608">
        <v>236.2</v>
      </c>
    </row>
    <row r="11" spans="1:10" ht="18" customHeight="1">
      <c r="A11" s="470" t="s">
        <v>59</v>
      </c>
      <c r="B11" s="471" t="s">
        <v>71</v>
      </c>
      <c r="C11" s="116">
        <v>129.4</v>
      </c>
      <c r="D11" s="577">
        <v>144</v>
      </c>
      <c r="E11" s="577">
        <v>131.80000000000001</v>
      </c>
      <c r="F11" s="1285">
        <v>125.1</v>
      </c>
      <c r="G11" s="1285">
        <v>131.69999999999999</v>
      </c>
    </row>
    <row r="12" spans="1:10" ht="18" customHeight="1">
      <c r="A12" s="470" t="s">
        <v>60</v>
      </c>
      <c r="B12" s="471" t="s">
        <v>72</v>
      </c>
      <c r="C12" s="577">
        <v>1.4</v>
      </c>
      <c r="D12" s="577">
        <v>2.1</v>
      </c>
      <c r="E12" s="577">
        <v>1.9</v>
      </c>
      <c r="F12" s="1285">
        <v>2</v>
      </c>
      <c r="G12" s="1285">
        <v>1.9</v>
      </c>
    </row>
    <row r="13" spans="1:10" ht="18" customHeight="1">
      <c r="A13" s="470" t="s">
        <v>61</v>
      </c>
      <c r="B13" s="471" t="s">
        <v>73</v>
      </c>
      <c r="C13" s="116">
        <v>19.899999999999999</v>
      </c>
      <c r="D13" s="116">
        <v>20.2</v>
      </c>
      <c r="E13" s="116">
        <v>29.4</v>
      </c>
      <c r="F13" s="608">
        <v>40.299999999999997</v>
      </c>
      <c r="G13" s="608">
        <v>42.7</v>
      </c>
    </row>
    <row r="14" spans="1:10" ht="18" customHeight="1">
      <c r="A14" s="470" t="s">
        <v>62</v>
      </c>
      <c r="B14" s="471" t="s">
        <v>74</v>
      </c>
      <c r="C14" s="116" t="s">
        <v>1509</v>
      </c>
      <c r="D14" s="116" t="s">
        <v>1509</v>
      </c>
      <c r="E14" s="116" t="s">
        <v>1509</v>
      </c>
      <c r="F14" s="608" t="s">
        <v>1509</v>
      </c>
      <c r="G14" s="608" t="s">
        <v>1509</v>
      </c>
    </row>
    <row r="15" spans="1:10" ht="18" customHeight="1">
      <c r="A15" s="419"/>
      <c r="B15" s="245" t="s">
        <v>80</v>
      </c>
      <c r="C15" s="472">
        <f>SUM(C7,C11,C12,C13,C14)</f>
        <v>765.19999999999993</v>
      </c>
      <c r="D15" s="472">
        <f>SUM(D7,D11,D12,D13,D14)</f>
        <v>796.80000000000007</v>
      </c>
      <c r="E15" s="472">
        <f>SUM(E7,E11,E12,E13,E14)</f>
        <v>775.09999999999991</v>
      </c>
      <c r="F15" s="1290">
        <f>SUM(F7,F11,F12,F13,F14)</f>
        <v>812</v>
      </c>
      <c r="G15" s="1290">
        <f>SUM(G7,G11,G12,G13,G14)</f>
        <v>880.70000000000016</v>
      </c>
    </row>
    <row r="16" spans="1:10" ht="18" customHeight="1">
      <c r="A16" s="470" t="s">
        <v>63</v>
      </c>
      <c r="B16" s="471" t="s">
        <v>1252</v>
      </c>
      <c r="C16" s="116">
        <v>4.8</v>
      </c>
      <c r="D16" s="116">
        <v>2.4</v>
      </c>
      <c r="E16" s="116">
        <v>3.8</v>
      </c>
      <c r="F16" s="608">
        <v>4.7</v>
      </c>
      <c r="G16" s="608">
        <v>3.6</v>
      </c>
    </row>
    <row r="17" spans="1:7" ht="18" customHeight="1">
      <c r="A17" s="470" t="s">
        <v>64</v>
      </c>
      <c r="B17" s="471" t="s">
        <v>81</v>
      </c>
      <c r="C17" s="116">
        <v>0.1</v>
      </c>
      <c r="D17" s="116">
        <v>0.1</v>
      </c>
      <c r="E17" s="116" t="s">
        <v>1517</v>
      </c>
      <c r="F17" s="608" t="s">
        <v>1517</v>
      </c>
      <c r="G17" s="849" t="s">
        <v>1517</v>
      </c>
    </row>
    <row r="18" spans="1:7" ht="18" customHeight="1">
      <c r="A18" s="470" t="s">
        <v>65</v>
      </c>
      <c r="B18" s="471" t="s">
        <v>82</v>
      </c>
      <c r="C18" s="116">
        <v>18.899999999999999</v>
      </c>
      <c r="D18" s="116">
        <v>13.9</v>
      </c>
      <c r="E18" s="116">
        <v>14.3</v>
      </c>
      <c r="F18" s="1285">
        <v>18</v>
      </c>
      <c r="G18" s="1285">
        <v>17.900000000000002</v>
      </c>
    </row>
    <row r="19" spans="1:7" ht="18" customHeight="1">
      <c r="A19" s="419"/>
      <c r="B19" s="220" t="s">
        <v>83</v>
      </c>
      <c r="C19" s="488">
        <f>SUM(C16:C18)</f>
        <v>23.799999999999997</v>
      </c>
      <c r="D19" s="488">
        <f>SUM(D16:D18)</f>
        <v>16.399999999999999</v>
      </c>
      <c r="E19" s="488">
        <f>SUM(E16:E18)</f>
        <v>18.100000000000001</v>
      </c>
      <c r="F19" s="1289">
        <f>SUM(F16:F18)</f>
        <v>22.7</v>
      </c>
      <c r="G19" s="1289">
        <f>SUM(G16:G18)</f>
        <v>21.500000000000004</v>
      </c>
    </row>
    <row r="20" spans="1:7" ht="18" customHeight="1">
      <c r="A20" s="1685" t="s">
        <v>84</v>
      </c>
      <c r="B20" s="1686"/>
      <c r="C20" s="473">
        <f>SUM(C15,C19)</f>
        <v>788.99999999999989</v>
      </c>
      <c r="D20" s="473">
        <f>SUM(D15,D19)</f>
        <v>813.2</v>
      </c>
      <c r="E20" s="473">
        <f>SUM(E15,E19)</f>
        <v>793.19999999999993</v>
      </c>
      <c r="F20" s="1286">
        <f>SUM(F15,F19)</f>
        <v>834.7</v>
      </c>
      <c r="G20" s="1286">
        <f>SUM(G15,G19)</f>
        <v>902.20000000000016</v>
      </c>
    </row>
    <row r="21" spans="1:7" ht="18" customHeight="1">
      <c r="A21" s="1670" t="s">
        <v>808</v>
      </c>
      <c r="B21" s="1686"/>
      <c r="C21" s="98"/>
      <c r="D21" s="116"/>
      <c r="E21" s="116"/>
      <c r="F21" s="608"/>
      <c r="G21" s="608"/>
    </row>
    <row r="22" spans="1:7" ht="18" customHeight="1">
      <c r="A22" s="474" t="s">
        <v>58</v>
      </c>
      <c r="B22" s="471" t="s">
        <v>1504</v>
      </c>
      <c r="C22" s="116">
        <v>38.4</v>
      </c>
      <c r="D22" s="116">
        <v>31.8</v>
      </c>
      <c r="E22" s="116">
        <v>36.6</v>
      </c>
      <c r="F22" s="608">
        <v>35.799999999999997</v>
      </c>
      <c r="G22" s="608">
        <v>38.299999999999997</v>
      </c>
    </row>
    <row r="23" spans="1:7" ht="18" customHeight="1">
      <c r="A23" s="474" t="s">
        <v>59</v>
      </c>
      <c r="B23" s="471" t="s">
        <v>924</v>
      </c>
      <c r="C23" s="116">
        <v>0.1</v>
      </c>
      <c r="D23" s="116">
        <v>0.1</v>
      </c>
      <c r="E23" s="116" t="s">
        <v>1517</v>
      </c>
      <c r="F23" s="608" t="s">
        <v>1517</v>
      </c>
      <c r="G23" s="608">
        <v>0.1</v>
      </c>
    </row>
    <row r="24" spans="1:7" ht="18" customHeight="1">
      <c r="A24" s="474" t="s">
        <v>60</v>
      </c>
      <c r="B24" s="471" t="s">
        <v>85</v>
      </c>
      <c r="C24" s="116">
        <v>0.2</v>
      </c>
      <c r="D24" s="116">
        <v>0.4</v>
      </c>
      <c r="E24" s="116">
        <v>0.3</v>
      </c>
      <c r="F24" s="608">
        <v>0.5</v>
      </c>
      <c r="G24" s="608">
        <v>0.7</v>
      </c>
    </row>
    <row r="25" spans="1:7" ht="18" customHeight="1">
      <c r="A25" s="1670" t="s">
        <v>86</v>
      </c>
      <c r="B25" s="1595"/>
      <c r="C25" s="475">
        <f>SUM(C22:C24)</f>
        <v>38.700000000000003</v>
      </c>
      <c r="D25" s="475">
        <f>SUM(D22:D24)</f>
        <v>32.300000000000004</v>
      </c>
      <c r="E25" s="475">
        <f>SUM(E22:E24)</f>
        <v>36.9</v>
      </c>
      <c r="F25" s="1291">
        <f>SUM(F22:F24)</f>
        <v>36.299999999999997</v>
      </c>
      <c r="G25" s="1291">
        <f>SUM(G22:G24)</f>
        <v>39.1</v>
      </c>
    </row>
    <row r="26" spans="1:7" ht="18" customHeight="1">
      <c r="A26" s="1670" t="s">
        <v>1501</v>
      </c>
      <c r="B26" s="1595"/>
      <c r="C26" s="98"/>
      <c r="D26" s="116"/>
      <c r="E26" s="116"/>
      <c r="F26" s="608"/>
      <c r="G26" s="608"/>
    </row>
    <row r="27" spans="1:7" ht="18" customHeight="1">
      <c r="A27" s="474" t="s">
        <v>58</v>
      </c>
      <c r="B27" s="471" t="s">
        <v>87</v>
      </c>
      <c r="C27" s="116">
        <v>307.8</v>
      </c>
      <c r="D27" s="116">
        <v>255.6</v>
      </c>
      <c r="E27" s="116">
        <v>313.2</v>
      </c>
      <c r="F27" s="608">
        <v>394.6</v>
      </c>
      <c r="G27" s="608">
        <v>396.1</v>
      </c>
    </row>
    <row r="28" spans="1:7" ht="18" customHeight="1">
      <c r="A28" s="474" t="s">
        <v>59</v>
      </c>
      <c r="B28" s="471" t="s">
        <v>88</v>
      </c>
      <c r="C28" s="116">
        <v>2.2000000000000002</v>
      </c>
      <c r="D28" s="116">
        <v>5.0999999999999996</v>
      </c>
      <c r="E28" s="116">
        <v>4.8</v>
      </c>
      <c r="F28" s="608">
        <v>4.7</v>
      </c>
      <c r="G28" s="608">
        <v>4.4000000000000004</v>
      </c>
    </row>
    <row r="29" spans="1:7" ht="18" customHeight="1">
      <c r="A29" s="474" t="s">
        <v>60</v>
      </c>
      <c r="B29" s="471" t="s">
        <v>1500</v>
      </c>
      <c r="C29" s="98" t="s">
        <v>1509</v>
      </c>
      <c r="D29" s="534" t="s">
        <v>1509</v>
      </c>
      <c r="E29" s="534" t="s">
        <v>1509</v>
      </c>
      <c r="F29" s="1292" t="s">
        <v>1509</v>
      </c>
      <c r="G29" s="1292" t="s">
        <v>1509</v>
      </c>
    </row>
    <row r="30" spans="1:7" ht="18" customHeight="1">
      <c r="A30" s="1670" t="s">
        <v>1499</v>
      </c>
      <c r="B30" s="1595"/>
      <c r="C30" s="475">
        <f>SUM(C27:C29)</f>
        <v>310</v>
      </c>
      <c r="D30" s="475">
        <f>SUM(D27:D29)</f>
        <v>260.7</v>
      </c>
      <c r="E30" s="475">
        <f>SUM(E27:E29)</f>
        <v>318</v>
      </c>
      <c r="F30" s="1291">
        <f>SUM(F27:F29)</f>
        <v>399.3</v>
      </c>
      <c r="G30" s="1291">
        <f>SUM(G27:G29)</f>
        <v>400.5</v>
      </c>
    </row>
    <row r="31" spans="1:7" ht="18" customHeight="1">
      <c r="A31" s="1670" t="s">
        <v>809</v>
      </c>
      <c r="B31" s="1595"/>
      <c r="C31" s="98"/>
      <c r="D31" s="116"/>
      <c r="E31" s="116"/>
      <c r="F31" s="608"/>
      <c r="G31" s="608"/>
    </row>
    <row r="32" spans="1:7" ht="18" customHeight="1">
      <c r="A32" s="474" t="s">
        <v>58</v>
      </c>
      <c r="B32" s="471" t="s">
        <v>89</v>
      </c>
      <c r="C32" s="116">
        <v>212.8</v>
      </c>
      <c r="D32" s="577">
        <v>221</v>
      </c>
      <c r="E32" s="577">
        <v>253.9</v>
      </c>
      <c r="F32" s="1285">
        <v>216.5</v>
      </c>
      <c r="G32" s="1285">
        <v>210.2</v>
      </c>
    </row>
    <row r="33" spans="1:7" ht="18" customHeight="1">
      <c r="A33" s="474" t="s">
        <v>59</v>
      </c>
      <c r="B33" s="471" t="s">
        <v>102</v>
      </c>
      <c r="C33" s="577">
        <v>151.80000000000001</v>
      </c>
      <c r="D33" s="577">
        <v>146.80000000000001</v>
      </c>
      <c r="E33" s="577">
        <v>147</v>
      </c>
      <c r="F33" s="1285">
        <v>176.8</v>
      </c>
      <c r="G33" s="1285">
        <v>164.7</v>
      </c>
    </row>
    <row r="34" spans="1:7" ht="18" customHeight="1">
      <c r="A34" s="474" t="s">
        <v>60</v>
      </c>
      <c r="B34" s="471" t="s">
        <v>103</v>
      </c>
      <c r="C34" s="116">
        <v>0.1</v>
      </c>
      <c r="D34" s="116">
        <v>0.1</v>
      </c>
      <c r="E34" s="116">
        <v>0.1</v>
      </c>
      <c r="F34" s="608">
        <v>0.1</v>
      </c>
      <c r="G34" s="849" t="s">
        <v>1509</v>
      </c>
    </row>
    <row r="35" spans="1:7" ht="18" customHeight="1">
      <c r="A35" s="474" t="s">
        <v>61</v>
      </c>
      <c r="B35" s="471" t="s">
        <v>104</v>
      </c>
      <c r="C35" s="534" t="s">
        <v>1509</v>
      </c>
      <c r="D35" s="534" t="s">
        <v>1509</v>
      </c>
      <c r="E35" s="116" t="s">
        <v>1509</v>
      </c>
      <c r="F35" s="608" t="s">
        <v>1509</v>
      </c>
      <c r="G35" s="849" t="s">
        <v>1509</v>
      </c>
    </row>
    <row r="36" spans="1:7" ht="18" customHeight="1">
      <c r="A36" s="474" t="s">
        <v>62</v>
      </c>
      <c r="B36" s="471" t="s">
        <v>105</v>
      </c>
      <c r="C36" s="116">
        <v>2.8</v>
      </c>
      <c r="D36" s="116">
        <v>2.8</v>
      </c>
      <c r="E36" s="116">
        <v>2.8</v>
      </c>
      <c r="F36" s="608">
        <v>2.8</v>
      </c>
      <c r="G36" s="608">
        <v>2.9</v>
      </c>
    </row>
    <row r="37" spans="1:7" ht="18" customHeight="1">
      <c r="A37" s="474" t="s">
        <v>63</v>
      </c>
      <c r="B37" s="471" t="s">
        <v>115</v>
      </c>
      <c r="C37" s="116">
        <v>0.4</v>
      </c>
      <c r="D37" s="116">
        <v>0.4</v>
      </c>
      <c r="E37" s="116">
        <v>0.4</v>
      </c>
      <c r="F37" s="608">
        <v>0.4</v>
      </c>
      <c r="G37" s="608">
        <v>0.6</v>
      </c>
    </row>
    <row r="38" spans="1:7" ht="24" customHeight="1">
      <c r="A38" s="1682" t="s">
        <v>616</v>
      </c>
      <c r="B38" s="1683"/>
      <c r="C38" s="244">
        <f>SUM(C32:C37)</f>
        <v>367.90000000000003</v>
      </c>
      <c r="D38" s="244">
        <f>SUM(D32:D37)</f>
        <v>371.1</v>
      </c>
      <c r="E38" s="244">
        <f>SUM(E32:E37)</f>
        <v>404.2</v>
      </c>
      <c r="F38" s="1293">
        <f>SUM(F32:F37)</f>
        <v>396.6</v>
      </c>
      <c r="G38" s="1293">
        <f>SUM(G32:G37)</f>
        <v>378.4</v>
      </c>
    </row>
    <row r="39" spans="1:7" ht="13.5" customHeight="1">
      <c r="A39" s="1033" t="s">
        <v>956</v>
      </c>
      <c r="B39" s="350"/>
      <c r="C39" s="24"/>
      <c r="D39" s="981" t="s">
        <v>117</v>
      </c>
      <c r="E39" s="1684" t="s">
        <v>645</v>
      </c>
      <c r="F39" s="1684"/>
      <c r="G39" s="1684"/>
    </row>
    <row r="40" spans="1:7" ht="13.5" customHeight="1">
      <c r="A40" s="1034" t="s">
        <v>1298</v>
      </c>
      <c r="B40" s="24"/>
      <c r="C40" s="24"/>
      <c r="D40" s="972"/>
      <c r="E40" s="972" t="s">
        <v>292</v>
      </c>
      <c r="F40" s="972"/>
      <c r="G40" s="972"/>
    </row>
    <row r="41" spans="1:7" ht="15.75" customHeight="1">
      <c r="B41" s="524"/>
      <c r="C41" s="524"/>
      <c r="E41" s="1059"/>
      <c r="F41" s="54"/>
      <c r="G41" s="54"/>
    </row>
  </sheetData>
  <mergeCells count="13">
    <mergeCell ref="A1:G1"/>
    <mergeCell ref="A20:B20"/>
    <mergeCell ref="A21:B21"/>
    <mergeCell ref="A26:B26"/>
    <mergeCell ref="A2:G2"/>
    <mergeCell ref="A4:B4"/>
    <mergeCell ref="A5:B5"/>
    <mergeCell ref="A6:B6"/>
    <mergeCell ref="A25:B25"/>
    <mergeCell ref="A31:B31"/>
    <mergeCell ref="A38:B38"/>
    <mergeCell ref="E39:G39"/>
    <mergeCell ref="A30:B30"/>
  </mergeCells>
  <phoneticPr fontId="0" type="noConversion"/>
  <printOptions horizontalCentered="1"/>
  <pageMargins left="0.1" right="0.1" top="0.92" bottom="0.1" header="0.5" footer="0.1"/>
  <pageSetup paperSize="9" orientation="portrait" blackAndWhite="1" horizontalDpi="4294967295" r:id="rId1"/>
  <headerFooter alignWithMargins="0"/>
</worksheet>
</file>

<file path=xl/worksheets/sheet42.xml><?xml version="1.0" encoding="utf-8"?>
<worksheet xmlns="http://schemas.openxmlformats.org/spreadsheetml/2006/main" xmlns:r="http://schemas.openxmlformats.org/officeDocument/2006/relationships">
  <sheetPr codeName="Sheet51"/>
  <dimension ref="A1:L40"/>
  <sheetViews>
    <sheetView workbookViewId="0">
      <selection activeCell="M5" sqref="M5"/>
    </sheetView>
  </sheetViews>
  <sheetFormatPr defaultRowHeight="12.75"/>
  <cols>
    <col min="1" max="1" width="2.85546875" customWidth="1"/>
    <col min="2" max="2" width="20.7109375" customWidth="1"/>
    <col min="3" max="7" width="13.28515625" customWidth="1"/>
  </cols>
  <sheetData>
    <row r="1" spans="1:11">
      <c r="A1" s="1430" t="s">
        <v>1382</v>
      </c>
      <c r="B1" s="1430"/>
      <c r="C1" s="1430"/>
      <c r="D1" s="1430"/>
      <c r="E1" s="1430"/>
      <c r="F1" s="1430"/>
      <c r="G1" s="1430"/>
    </row>
    <row r="2" spans="1:11" ht="16.5">
      <c r="A2" s="1629" t="str">
        <f>CONCATENATE("Yield rates of Principal Crops in the district of ",District!A1)</f>
        <v>Yield rates of Principal Crops in the district of Malda</v>
      </c>
      <c r="B2" s="1629"/>
      <c r="C2" s="1629"/>
      <c r="D2" s="1629"/>
      <c r="E2" s="1629"/>
      <c r="F2" s="1629"/>
      <c r="G2" s="1629"/>
      <c r="H2" s="27"/>
      <c r="I2" s="27"/>
      <c r="J2" s="27"/>
      <c r="K2" s="27"/>
    </row>
    <row r="3" spans="1:11" ht="15" customHeight="1">
      <c r="G3" s="162" t="s">
        <v>170</v>
      </c>
    </row>
    <row r="4" spans="1:11" ht="15" customHeight="1">
      <c r="A4" s="1391" t="s">
        <v>66</v>
      </c>
      <c r="B4" s="1392"/>
      <c r="C4" s="489" t="str">
        <f>District!A10</f>
        <v>2009-10</v>
      </c>
      <c r="D4" s="489" t="str">
        <f>District!B10</f>
        <v>2010-11</v>
      </c>
      <c r="E4" s="489" t="str">
        <f>District!C10</f>
        <v>2011-12</v>
      </c>
      <c r="F4" s="489" t="str">
        <f>District!D10</f>
        <v>2012-13</v>
      </c>
      <c r="G4" s="489" t="str">
        <f>District!E10</f>
        <v>2013-14</v>
      </c>
    </row>
    <row r="5" spans="1:11" ht="14.25" customHeight="1">
      <c r="A5" s="1353" t="s">
        <v>1208</v>
      </c>
      <c r="B5" s="1677"/>
      <c r="C5" s="151" t="s">
        <v>1209</v>
      </c>
      <c r="D5" s="152" t="s">
        <v>1210</v>
      </c>
      <c r="E5" s="151" t="s">
        <v>1211</v>
      </c>
      <c r="F5" s="153" t="s">
        <v>1212</v>
      </c>
      <c r="G5" s="153" t="s">
        <v>1213</v>
      </c>
    </row>
    <row r="6" spans="1:11" ht="13.5" customHeight="1">
      <c r="A6" s="1676" t="s">
        <v>57</v>
      </c>
      <c r="B6" s="1600"/>
      <c r="C6" s="505"/>
      <c r="D6" s="1060"/>
      <c r="E6" s="505"/>
      <c r="F6" s="1061"/>
      <c r="G6" s="505"/>
    </row>
    <row r="7" spans="1:11" ht="18" customHeight="1">
      <c r="A7" s="470" t="s">
        <v>58</v>
      </c>
      <c r="B7" s="899" t="s">
        <v>67</v>
      </c>
      <c r="C7" s="372">
        <v>2834</v>
      </c>
      <c r="D7" s="372">
        <v>3140</v>
      </c>
      <c r="E7" s="372">
        <v>2986</v>
      </c>
      <c r="F7" s="372">
        <v>3105</v>
      </c>
      <c r="G7" s="372">
        <v>3544</v>
      </c>
    </row>
    <row r="8" spans="1:11" ht="18" customHeight="1">
      <c r="A8" s="470"/>
      <c r="B8" s="943" t="s">
        <v>68</v>
      </c>
      <c r="C8" s="116">
        <v>2031</v>
      </c>
      <c r="D8" s="116">
        <v>1600</v>
      </c>
      <c r="E8" s="116">
        <v>2317</v>
      </c>
      <c r="F8" s="116">
        <v>1781</v>
      </c>
      <c r="G8" s="116">
        <v>1943</v>
      </c>
    </row>
    <row r="9" spans="1:11" ht="18" customHeight="1">
      <c r="A9" s="470"/>
      <c r="B9" s="943" t="s">
        <v>69</v>
      </c>
      <c r="C9" s="116">
        <v>2647</v>
      </c>
      <c r="D9" s="116">
        <v>2859</v>
      </c>
      <c r="E9" s="116">
        <v>2671</v>
      </c>
      <c r="F9" s="116">
        <v>2833</v>
      </c>
      <c r="G9" s="116">
        <v>3407</v>
      </c>
    </row>
    <row r="10" spans="1:11" ht="18" customHeight="1">
      <c r="A10" s="470"/>
      <c r="B10" s="943" t="s">
        <v>70</v>
      </c>
      <c r="C10" s="116">
        <v>3296</v>
      </c>
      <c r="D10" s="116">
        <v>3802</v>
      </c>
      <c r="E10" s="116">
        <v>3835</v>
      </c>
      <c r="F10" s="116">
        <v>3847</v>
      </c>
      <c r="G10" s="116">
        <v>3935</v>
      </c>
    </row>
    <row r="11" spans="1:11" ht="18" customHeight="1">
      <c r="A11" s="470" t="s">
        <v>59</v>
      </c>
      <c r="B11" s="943" t="s">
        <v>71</v>
      </c>
      <c r="C11" s="116">
        <v>2938</v>
      </c>
      <c r="D11" s="116">
        <v>3027</v>
      </c>
      <c r="E11" s="116">
        <v>3030</v>
      </c>
      <c r="F11" s="116">
        <v>2784</v>
      </c>
      <c r="G11" s="116">
        <v>2944</v>
      </c>
    </row>
    <row r="12" spans="1:11" ht="18" customHeight="1">
      <c r="A12" s="470" t="s">
        <v>60</v>
      </c>
      <c r="B12" s="943" t="s">
        <v>72</v>
      </c>
      <c r="C12" s="116">
        <v>1132</v>
      </c>
      <c r="D12" s="116">
        <v>1378</v>
      </c>
      <c r="E12" s="116">
        <v>1467</v>
      </c>
      <c r="F12" s="116">
        <v>1419</v>
      </c>
      <c r="G12" s="116">
        <v>1419</v>
      </c>
    </row>
    <row r="13" spans="1:11" ht="18" customHeight="1">
      <c r="A13" s="470" t="s">
        <v>61</v>
      </c>
      <c r="B13" s="943" t="s">
        <v>73</v>
      </c>
      <c r="C13" s="116">
        <v>2314</v>
      </c>
      <c r="D13" s="116">
        <v>2299</v>
      </c>
      <c r="E13" s="116">
        <v>2164</v>
      </c>
      <c r="F13" s="116">
        <v>1979</v>
      </c>
      <c r="G13" s="116">
        <v>2630</v>
      </c>
    </row>
    <row r="14" spans="1:11" ht="18" customHeight="1">
      <c r="A14" s="470" t="s">
        <v>62</v>
      </c>
      <c r="B14" s="943" t="s">
        <v>74</v>
      </c>
      <c r="C14" s="116" t="s">
        <v>1509</v>
      </c>
      <c r="D14" s="116" t="s">
        <v>1509</v>
      </c>
      <c r="E14" s="116" t="s">
        <v>1509</v>
      </c>
      <c r="F14" s="116" t="s">
        <v>1509</v>
      </c>
      <c r="G14" s="132" t="s">
        <v>1509</v>
      </c>
    </row>
    <row r="15" spans="1:11" ht="18" customHeight="1">
      <c r="A15" s="418"/>
      <c r="B15" s="245" t="s">
        <v>80</v>
      </c>
      <c r="C15" s="227">
        <v>2827</v>
      </c>
      <c r="D15" s="227">
        <v>3081</v>
      </c>
      <c r="E15" s="227">
        <v>2944</v>
      </c>
      <c r="F15" s="227">
        <v>2960</v>
      </c>
      <c r="G15" s="227">
        <v>3373</v>
      </c>
    </row>
    <row r="16" spans="1:11" ht="18" customHeight="1">
      <c r="A16" s="470" t="s">
        <v>63</v>
      </c>
      <c r="B16" s="943" t="s">
        <v>1252</v>
      </c>
      <c r="C16" s="116">
        <v>1464</v>
      </c>
      <c r="D16" s="116">
        <v>1074</v>
      </c>
      <c r="E16" s="116">
        <v>1113</v>
      </c>
      <c r="F16" s="116">
        <v>1446</v>
      </c>
      <c r="G16" s="116">
        <v>1132</v>
      </c>
    </row>
    <row r="17" spans="1:12" ht="18" customHeight="1">
      <c r="A17" s="470" t="s">
        <v>64</v>
      </c>
      <c r="B17" s="943" t="s">
        <v>81</v>
      </c>
      <c r="C17" s="116">
        <v>1100</v>
      </c>
      <c r="D17" s="116">
        <v>1094</v>
      </c>
      <c r="E17" s="116">
        <v>448</v>
      </c>
      <c r="F17" s="116">
        <v>1359</v>
      </c>
      <c r="G17" s="116">
        <v>1286</v>
      </c>
    </row>
    <row r="18" spans="1:12" ht="18" customHeight="1">
      <c r="A18" s="470" t="s">
        <v>65</v>
      </c>
      <c r="B18" s="943" t="s">
        <v>82</v>
      </c>
      <c r="C18" s="116">
        <v>1089</v>
      </c>
      <c r="D18" s="116">
        <v>976</v>
      </c>
      <c r="E18" s="116">
        <v>907</v>
      </c>
      <c r="F18" s="116">
        <v>1016</v>
      </c>
      <c r="G18" s="116">
        <v>967</v>
      </c>
    </row>
    <row r="19" spans="1:12" ht="18" customHeight="1">
      <c r="A19" s="476"/>
      <c r="B19" s="245" t="s">
        <v>83</v>
      </c>
      <c r="C19" s="349">
        <v>1149</v>
      </c>
      <c r="D19" s="349">
        <v>989</v>
      </c>
      <c r="E19" s="349">
        <v>943</v>
      </c>
      <c r="F19" s="349">
        <v>1083</v>
      </c>
      <c r="G19" s="349">
        <v>992</v>
      </c>
    </row>
    <row r="20" spans="1:12" ht="18" customHeight="1">
      <c r="A20" s="1670" t="s">
        <v>84</v>
      </c>
      <c r="B20" s="1595"/>
      <c r="C20" s="349">
        <v>2707</v>
      </c>
      <c r="D20" s="349">
        <v>2955</v>
      </c>
      <c r="E20" s="349">
        <v>2808</v>
      </c>
      <c r="F20" s="349">
        <v>2827</v>
      </c>
      <c r="G20" s="349">
        <v>3191</v>
      </c>
    </row>
    <row r="21" spans="1:12" ht="18" customHeight="1">
      <c r="A21" s="389" t="s">
        <v>808</v>
      </c>
      <c r="B21" s="901"/>
      <c r="C21" s="567"/>
      <c r="D21" s="116"/>
      <c r="E21" s="98"/>
      <c r="F21" s="116"/>
      <c r="G21" s="116"/>
    </row>
    <row r="22" spans="1:12" ht="18" customHeight="1">
      <c r="A22" s="470" t="s">
        <v>58</v>
      </c>
      <c r="B22" s="943" t="s">
        <v>1504</v>
      </c>
      <c r="C22" s="116">
        <v>1174</v>
      </c>
      <c r="D22" s="116">
        <v>1047</v>
      </c>
      <c r="E22" s="116">
        <v>1128</v>
      </c>
      <c r="F22" s="116">
        <v>1062</v>
      </c>
      <c r="G22" s="116">
        <v>1087</v>
      </c>
    </row>
    <row r="23" spans="1:12" ht="18" customHeight="1">
      <c r="A23" s="470" t="s">
        <v>59</v>
      </c>
      <c r="B23" s="943" t="s">
        <v>924</v>
      </c>
      <c r="C23" s="116">
        <v>663</v>
      </c>
      <c r="D23" s="116">
        <v>623</v>
      </c>
      <c r="E23" s="116">
        <v>726</v>
      </c>
      <c r="F23" s="116">
        <v>493</v>
      </c>
      <c r="G23" s="116">
        <v>682</v>
      </c>
    </row>
    <row r="24" spans="1:12" ht="18" customHeight="1">
      <c r="A24" s="470" t="s">
        <v>60</v>
      </c>
      <c r="B24" s="943" t="s">
        <v>85</v>
      </c>
      <c r="C24" s="116">
        <v>677</v>
      </c>
      <c r="D24" s="116">
        <v>629</v>
      </c>
      <c r="E24" s="116">
        <v>767</v>
      </c>
      <c r="F24" s="116">
        <v>933</v>
      </c>
      <c r="G24" s="116">
        <v>916</v>
      </c>
    </row>
    <row r="25" spans="1:12" ht="18" customHeight="1">
      <c r="A25" s="1670" t="s">
        <v>86</v>
      </c>
      <c r="B25" s="1595"/>
      <c r="C25" s="349">
        <v>1166</v>
      </c>
      <c r="D25" s="349">
        <v>1035</v>
      </c>
      <c r="E25" s="349">
        <v>1123</v>
      </c>
      <c r="F25" s="349">
        <v>1059</v>
      </c>
      <c r="G25" s="349">
        <v>1081</v>
      </c>
    </row>
    <row r="26" spans="1:12" ht="18" customHeight="1">
      <c r="A26" s="389" t="s">
        <v>1503</v>
      </c>
      <c r="B26" s="901"/>
      <c r="C26" s="567"/>
      <c r="D26" s="116"/>
      <c r="E26" s="98"/>
      <c r="F26" s="116"/>
      <c r="G26" s="116"/>
    </row>
    <row r="27" spans="1:12" ht="18" customHeight="1">
      <c r="A27" s="470" t="s">
        <v>58</v>
      </c>
      <c r="B27" s="943" t="s">
        <v>87</v>
      </c>
      <c r="C27" s="116">
        <v>16.899999999999999</v>
      </c>
      <c r="D27" s="116">
        <v>14.2</v>
      </c>
      <c r="E27" s="116">
        <v>14.6</v>
      </c>
      <c r="F27" s="116">
        <v>16.600000000000001</v>
      </c>
      <c r="G27" s="577">
        <v>16.079999999999998</v>
      </c>
    </row>
    <row r="28" spans="1:12" ht="18" customHeight="1">
      <c r="A28" s="470" t="s">
        <v>59</v>
      </c>
      <c r="B28" s="943" t="s">
        <v>88</v>
      </c>
      <c r="C28" s="577">
        <v>13.2</v>
      </c>
      <c r="D28" s="577">
        <v>11.9</v>
      </c>
      <c r="E28" s="577">
        <v>7.6</v>
      </c>
      <c r="F28" s="577">
        <v>8.3000000000000007</v>
      </c>
      <c r="G28" s="577">
        <v>7.83</v>
      </c>
    </row>
    <row r="29" spans="1:12" ht="18" customHeight="1">
      <c r="A29" s="470" t="s">
        <v>60</v>
      </c>
      <c r="B29" s="943" t="s">
        <v>1500</v>
      </c>
      <c r="C29" s="98" t="s">
        <v>1509</v>
      </c>
      <c r="D29" s="116" t="s">
        <v>1509</v>
      </c>
      <c r="E29" s="98" t="s">
        <v>1509</v>
      </c>
      <c r="F29" s="116" t="s">
        <v>1509</v>
      </c>
      <c r="G29" s="132" t="s">
        <v>1509</v>
      </c>
    </row>
    <row r="30" spans="1:12" ht="18" customHeight="1">
      <c r="A30" s="1670" t="s">
        <v>1499</v>
      </c>
      <c r="B30" s="1595"/>
      <c r="C30" s="349">
        <v>16.899999999999999</v>
      </c>
      <c r="D30" s="349">
        <v>14.1</v>
      </c>
      <c r="E30" s="349">
        <v>14.4</v>
      </c>
      <c r="F30" s="349">
        <v>16.399999999999999</v>
      </c>
      <c r="G30" s="349">
        <v>15.9</v>
      </c>
    </row>
    <row r="31" spans="1:12" ht="18" customHeight="1">
      <c r="A31" s="1670" t="s">
        <v>809</v>
      </c>
      <c r="B31" s="1595"/>
      <c r="C31" s="567"/>
      <c r="D31" s="116"/>
      <c r="E31" s="98"/>
      <c r="F31" s="116"/>
      <c r="G31" s="116"/>
    </row>
    <row r="32" spans="1:12" ht="18" customHeight="1">
      <c r="A32" s="470" t="s">
        <v>58</v>
      </c>
      <c r="B32" s="943" t="s">
        <v>89</v>
      </c>
      <c r="C32" s="116">
        <v>98701</v>
      </c>
      <c r="D32" s="116">
        <v>98925</v>
      </c>
      <c r="E32" s="116">
        <v>116395</v>
      </c>
      <c r="F32" s="116">
        <v>104567</v>
      </c>
      <c r="G32" s="116">
        <v>102366</v>
      </c>
      <c r="L32" s="707"/>
    </row>
    <row r="33" spans="1:12" ht="18" customHeight="1">
      <c r="A33" s="470" t="s">
        <v>59</v>
      </c>
      <c r="B33" s="943" t="s">
        <v>102</v>
      </c>
      <c r="C33" s="116">
        <v>34382</v>
      </c>
      <c r="D33" s="116">
        <v>29153</v>
      </c>
      <c r="E33" s="116">
        <v>38048</v>
      </c>
      <c r="F33" s="116">
        <v>36077</v>
      </c>
      <c r="G33" s="116">
        <v>32175</v>
      </c>
    </row>
    <row r="34" spans="1:12" ht="18" customHeight="1">
      <c r="A34" s="470" t="s">
        <v>60</v>
      </c>
      <c r="B34" s="943" t="s">
        <v>103</v>
      </c>
      <c r="C34" s="116">
        <v>657</v>
      </c>
      <c r="D34" s="116">
        <v>656</v>
      </c>
      <c r="E34" s="116">
        <v>650</v>
      </c>
      <c r="F34" s="116">
        <v>658</v>
      </c>
      <c r="G34" s="132" t="s">
        <v>1509</v>
      </c>
      <c r="H34" s="7"/>
      <c r="L34" s="707"/>
    </row>
    <row r="35" spans="1:12" ht="18" customHeight="1">
      <c r="A35" s="470" t="s">
        <v>61</v>
      </c>
      <c r="B35" s="943" t="s">
        <v>104</v>
      </c>
      <c r="C35" s="116" t="s">
        <v>1509</v>
      </c>
      <c r="D35" s="116" t="s">
        <v>1509</v>
      </c>
      <c r="E35" s="116" t="s">
        <v>1509</v>
      </c>
      <c r="F35" s="116" t="s">
        <v>1509</v>
      </c>
      <c r="G35" s="132" t="s">
        <v>1509</v>
      </c>
    </row>
    <row r="36" spans="1:12" ht="18" customHeight="1">
      <c r="A36" s="470" t="s">
        <v>62</v>
      </c>
      <c r="B36" s="943" t="s">
        <v>105</v>
      </c>
      <c r="C36" s="116">
        <v>1102</v>
      </c>
      <c r="D36" s="116">
        <v>1105</v>
      </c>
      <c r="E36" s="116">
        <v>1085</v>
      </c>
      <c r="F36" s="116">
        <v>1086</v>
      </c>
      <c r="G36" s="116">
        <v>1116</v>
      </c>
      <c r="H36" s="500"/>
    </row>
    <row r="37" spans="1:12" ht="18" customHeight="1">
      <c r="A37" s="470" t="s">
        <v>63</v>
      </c>
      <c r="B37" s="943" t="s">
        <v>115</v>
      </c>
      <c r="C37" s="116">
        <v>1593</v>
      </c>
      <c r="D37" s="116">
        <v>1641</v>
      </c>
      <c r="E37" s="116">
        <v>1642</v>
      </c>
      <c r="F37" s="116">
        <v>1660</v>
      </c>
      <c r="G37" s="116">
        <v>2162</v>
      </c>
    </row>
    <row r="38" spans="1:12" ht="18" customHeight="1">
      <c r="A38" s="1687" t="s">
        <v>116</v>
      </c>
      <c r="B38" s="1688"/>
      <c r="C38" s="817">
        <v>38726</v>
      </c>
      <c r="D38" s="817">
        <v>36029</v>
      </c>
      <c r="E38" s="817">
        <v>44418</v>
      </c>
      <c r="F38" s="817">
        <v>39652</v>
      </c>
      <c r="G38" s="817">
        <v>37694</v>
      </c>
    </row>
    <row r="39" spans="1:12">
      <c r="A39" s="875" t="s">
        <v>915</v>
      </c>
      <c r="B39" s="875"/>
      <c r="C39" s="25"/>
      <c r="D39" s="997" t="s">
        <v>117</v>
      </c>
      <c r="E39" s="998" t="s">
        <v>1031</v>
      </c>
      <c r="F39" s="708"/>
      <c r="G39" s="708"/>
    </row>
    <row r="40" spans="1:12">
      <c r="A40" s="25"/>
      <c r="B40" s="25"/>
      <c r="C40" s="25"/>
      <c r="D40" s="998"/>
      <c r="E40" s="998" t="s">
        <v>292</v>
      </c>
      <c r="F40" s="708"/>
      <c r="G40" s="708"/>
    </row>
  </sheetData>
  <mergeCells count="10">
    <mergeCell ref="A1:G1"/>
    <mergeCell ref="A4:B4"/>
    <mergeCell ref="A5:B5"/>
    <mergeCell ref="A2:G2"/>
    <mergeCell ref="A6:B6"/>
    <mergeCell ref="A38:B38"/>
    <mergeCell ref="A20:B20"/>
    <mergeCell ref="A25:B25"/>
    <mergeCell ref="A31:B31"/>
    <mergeCell ref="A30:B30"/>
  </mergeCells>
  <phoneticPr fontId="0" type="noConversion"/>
  <printOptions horizontalCentered="1"/>
  <pageMargins left="0.1" right="0.1" top="0.89" bottom="0.1" header="0.5" footer="0.1"/>
  <pageSetup paperSize="9" orientation="portrait" blackAndWhite="1" horizontalDpi="4294967295" r:id="rId1"/>
  <headerFooter alignWithMargins="0"/>
</worksheet>
</file>

<file path=xl/worksheets/sheet43.xml><?xml version="1.0" encoding="utf-8"?>
<worksheet xmlns="http://schemas.openxmlformats.org/spreadsheetml/2006/main" xmlns:r="http://schemas.openxmlformats.org/officeDocument/2006/relationships">
  <sheetPr codeName="Sheet52"/>
  <dimension ref="A1:N30"/>
  <sheetViews>
    <sheetView workbookViewId="0">
      <selection activeCell="N10" sqref="N10"/>
    </sheetView>
  </sheetViews>
  <sheetFormatPr defaultRowHeight="12.75"/>
  <cols>
    <col min="1" max="1" width="13.7109375" customWidth="1"/>
    <col min="2" max="2" width="10.5703125" customWidth="1"/>
    <col min="3" max="3" width="12.28515625" customWidth="1"/>
    <col min="4" max="4" width="10.85546875" customWidth="1"/>
    <col min="5" max="5" width="12.7109375" customWidth="1"/>
    <col min="6" max="6" width="9.85546875" customWidth="1"/>
    <col min="7" max="7" width="12.5703125" customWidth="1"/>
    <col min="8" max="8" width="10.42578125" customWidth="1"/>
    <col min="9" max="9" width="12.7109375" customWidth="1"/>
    <col min="10" max="10" width="10.42578125" customWidth="1"/>
    <col min="11" max="11" width="13.7109375" customWidth="1"/>
  </cols>
  <sheetData>
    <row r="1" spans="1:14" ht="12.75" customHeight="1">
      <c r="A1" s="1430" t="s">
        <v>1410</v>
      </c>
      <c r="B1" s="1430"/>
      <c r="C1" s="1430"/>
      <c r="D1" s="1430"/>
      <c r="E1" s="1430"/>
      <c r="F1" s="1430"/>
      <c r="G1" s="1430"/>
      <c r="H1" s="1430"/>
      <c r="I1" s="1430"/>
      <c r="J1" s="1430"/>
      <c r="K1" s="1430"/>
    </row>
    <row r="2" spans="1:14" ht="13.5" customHeight="1">
      <c r="A2" s="1482" t="str">
        <f>CONCATENATE("Yield rates of some Selected Crops in the district of ",District!A1," and West Bengal")</f>
        <v>Yield rates of some Selected Crops in the district of Malda and West Bengal</v>
      </c>
      <c r="B2" s="1482"/>
      <c r="C2" s="1482"/>
      <c r="D2" s="1482"/>
      <c r="E2" s="1482"/>
      <c r="F2" s="1482"/>
      <c r="G2" s="1482"/>
      <c r="H2" s="1482"/>
      <c r="I2" s="1482"/>
      <c r="J2" s="1482"/>
      <c r="K2" s="1482"/>
    </row>
    <row r="3" spans="1:14" ht="12.75" customHeight="1">
      <c r="K3" s="162" t="s">
        <v>170</v>
      </c>
    </row>
    <row r="4" spans="1:14" ht="15.95" customHeight="1">
      <c r="A4" s="1697" t="s">
        <v>66</v>
      </c>
      <c r="B4" s="1598" t="str">
        <f>District!A12</f>
        <v>2009-10</v>
      </c>
      <c r="C4" s="1599"/>
      <c r="D4" s="1598" t="str">
        <f>District!C12</f>
        <v>2010-11</v>
      </c>
      <c r="E4" s="1599"/>
      <c r="F4" s="1598" t="str">
        <f>District!E12</f>
        <v>2011-12</v>
      </c>
      <c r="G4" s="1599"/>
      <c r="H4" s="1598" t="str">
        <f>District!G12</f>
        <v>2012-13</v>
      </c>
      <c r="I4" s="1599"/>
      <c r="J4" s="1598" t="str">
        <f>District!I12</f>
        <v>2013-14</v>
      </c>
      <c r="K4" s="1599"/>
    </row>
    <row r="5" spans="1:14" ht="15.95" customHeight="1">
      <c r="A5" s="1698"/>
      <c r="B5" s="821" t="s">
        <v>171</v>
      </c>
      <c r="C5" s="262" t="s">
        <v>172</v>
      </c>
      <c r="D5" s="821" t="s">
        <v>171</v>
      </c>
      <c r="E5" s="262" t="s">
        <v>172</v>
      </c>
      <c r="F5" s="821" t="s">
        <v>171</v>
      </c>
      <c r="G5" s="262" t="s">
        <v>172</v>
      </c>
      <c r="H5" s="821" t="s">
        <v>171</v>
      </c>
      <c r="I5" s="731" t="s">
        <v>172</v>
      </c>
      <c r="J5" s="821" t="s">
        <v>171</v>
      </c>
      <c r="K5" s="827" t="s">
        <v>172</v>
      </c>
    </row>
    <row r="6" spans="1:14" ht="15.95" customHeight="1">
      <c r="A6" s="99" t="s">
        <v>1208</v>
      </c>
      <c r="B6" s="99" t="s">
        <v>1209</v>
      </c>
      <c r="C6" s="153" t="s">
        <v>1210</v>
      </c>
      <c r="D6" s="156" t="s">
        <v>1211</v>
      </c>
      <c r="E6" s="155" t="s">
        <v>1212</v>
      </c>
      <c r="F6" s="156" t="s">
        <v>1213</v>
      </c>
      <c r="G6" s="155" t="s">
        <v>1214</v>
      </c>
      <c r="H6" s="156" t="s">
        <v>1244</v>
      </c>
      <c r="I6" s="155" t="s">
        <v>1245</v>
      </c>
      <c r="J6" s="156" t="s">
        <v>1246</v>
      </c>
      <c r="K6" s="155" t="s">
        <v>1247</v>
      </c>
      <c r="N6" s="697"/>
    </row>
    <row r="7" spans="1:14" ht="23.25" customHeight="1">
      <c r="A7" s="247" t="s">
        <v>67</v>
      </c>
      <c r="B7" s="642">
        <v>2834</v>
      </c>
      <c r="C7" s="123">
        <v>2547</v>
      </c>
      <c r="D7" s="642">
        <v>3140</v>
      </c>
      <c r="E7" s="98">
        <v>2708</v>
      </c>
      <c r="F7" s="374">
        <v>2986</v>
      </c>
      <c r="G7" s="116">
        <v>2688</v>
      </c>
      <c r="H7" s="642">
        <v>3105</v>
      </c>
      <c r="I7" s="116">
        <v>2745</v>
      </c>
      <c r="J7" s="642">
        <f>'5.3a'!G7</f>
        <v>3544</v>
      </c>
      <c r="K7" s="116">
        <v>2789</v>
      </c>
    </row>
    <row r="8" spans="1:14" ht="21" customHeight="1">
      <c r="A8" s="247" t="s">
        <v>71</v>
      </c>
      <c r="B8" s="116">
        <v>2938</v>
      </c>
      <c r="C8" s="98">
        <v>2680</v>
      </c>
      <c r="D8" s="116">
        <v>3027</v>
      </c>
      <c r="E8" s="98">
        <v>2760</v>
      </c>
      <c r="F8" s="121">
        <v>3030</v>
      </c>
      <c r="G8" s="116">
        <v>2765</v>
      </c>
      <c r="H8" s="116">
        <v>2784</v>
      </c>
      <c r="I8" s="116">
        <v>2786</v>
      </c>
      <c r="J8" s="116">
        <f>'5.3a'!G11</f>
        <v>2944</v>
      </c>
      <c r="K8" s="116">
        <v>2799</v>
      </c>
    </row>
    <row r="9" spans="1:14" ht="21.75" customHeight="1">
      <c r="A9" s="247" t="s">
        <v>1252</v>
      </c>
      <c r="B9" s="116">
        <v>1464</v>
      </c>
      <c r="C9" s="98">
        <v>1110</v>
      </c>
      <c r="D9" s="116">
        <v>1074</v>
      </c>
      <c r="E9" s="98">
        <v>1069</v>
      </c>
      <c r="F9" s="121">
        <v>1113</v>
      </c>
      <c r="G9" s="116">
        <v>1049</v>
      </c>
      <c r="H9" s="116">
        <v>1446</v>
      </c>
      <c r="I9" s="116">
        <v>1176</v>
      </c>
      <c r="J9" s="116">
        <f>'5.3a'!G16</f>
        <v>1132</v>
      </c>
      <c r="K9" s="116">
        <v>1175</v>
      </c>
    </row>
    <row r="10" spans="1:14" ht="22.5" customHeight="1">
      <c r="A10" s="248" t="s">
        <v>87</v>
      </c>
      <c r="B10" s="116">
        <v>3042</v>
      </c>
      <c r="C10" s="98">
        <v>2573</v>
      </c>
      <c r="D10" s="116">
        <v>2556</v>
      </c>
      <c r="E10" s="98">
        <v>2576</v>
      </c>
      <c r="F10" s="121">
        <v>2628</v>
      </c>
      <c r="G10" s="116">
        <v>2572</v>
      </c>
      <c r="H10" s="116">
        <v>2988</v>
      </c>
      <c r="I10" s="116">
        <v>2569</v>
      </c>
      <c r="J10" s="116">
        <f>ROUND('5.3a'!G27,1)*180</f>
        <v>2898.0000000000005</v>
      </c>
      <c r="K10" s="673">
        <f>15.49*180</f>
        <v>2788.2</v>
      </c>
    </row>
    <row r="11" spans="1:14" ht="27.75" customHeight="1">
      <c r="A11" s="248" t="s">
        <v>1504</v>
      </c>
      <c r="B11" s="116">
        <v>1174</v>
      </c>
      <c r="C11" s="98">
        <v>850</v>
      </c>
      <c r="D11" s="116">
        <v>1047</v>
      </c>
      <c r="E11" s="98">
        <v>1021</v>
      </c>
      <c r="F11" s="121">
        <v>1128</v>
      </c>
      <c r="G11" s="116">
        <v>908</v>
      </c>
      <c r="H11" s="116">
        <v>1062</v>
      </c>
      <c r="I11" s="116">
        <v>1062</v>
      </c>
      <c r="J11" s="116">
        <f>'5.3a'!G22</f>
        <v>1087</v>
      </c>
      <c r="K11" s="116">
        <v>1066</v>
      </c>
    </row>
    <row r="12" spans="1:14" ht="24.75" customHeight="1">
      <c r="A12" s="247" t="s">
        <v>102</v>
      </c>
      <c r="B12" s="116">
        <v>34382</v>
      </c>
      <c r="C12" s="98">
        <v>35768</v>
      </c>
      <c r="D12" s="116">
        <v>29153</v>
      </c>
      <c r="E12" s="98">
        <v>32831</v>
      </c>
      <c r="F12" s="121">
        <v>38048</v>
      </c>
      <c r="G12" s="116">
        <v>25641</v>
      </c>
      <c r="H12" s="116">
        <v>36077</v>
      </c>
      <c r="I12" s="116">
        <v>29869</v>
      </c>
      <c r="J12" s="132">
        <f>'5.3a'!G33</f>
        <v>32175</v>
      </c>
      <c r="K12" s="116">
        <v>21955</v>
      </c>
    </row>
    <row r="13" spans="1:14" ht="24" customHeight="1">
      <c r="A13" s="249" t="s">
        <v>104</v>
      </c>
      <c r="B13" s="133" t="s">
        <v>1509</v>
      </c>
      <c r="C13" s="142" t="s">
        <v>975</v>
      </c>
      <c r="D13" s="133" t="s">
        <v>1509</v>
      </c>
      <c r="E13" s="142" t="s">
        <v>1487</v>
      </c>
      <c r="F13" s="906" t="s">
        <v>1509</v>
      </c>
      <c r="G13" s="117" t="s">
        <v>802</v>
      </c>
      <c r="H13" s="133" t="s">
        <v>1509</v>
      </c>
      <c r="I13" s="94">
        <v>2046</v>
      </c>
      <c r="J13" s="133" t="s">
        <v>1509</v>
      </c>
      <c r="K13" s="133">
        <v>2222</v>
      </c>
    </row>
    <row r="14" spans="1:14">
      <c r="C14" s="9"/>
      <c r="H14" s="924" t="s">
        <v>947</v>
      </c>
      <c r="I14" s="257" t="s">
        <v>1037</v>
      </c>
      <c r="J14" s="250"/>
      <c r="K14" s="7"/>
      <c r="L14" s="7"/>
    </row>
    <row r="15" spans="1:14">
      <c r="H15" s="924" t="s">
        <v>948</v>
      </c>
      <c r="I15" s="257" t="s">
        <v>395</v>
      </c>
      <c r="J15" s="166"/>
    </row>
    <row r="16" spans="1:14">
      <c r="H16" s="924" t="s">
        <v>955</v>
      </c>
      <c r="I16" s="257" t="s">
        <v>1630</v>
      </c>
      <c r="J16" s="166"/>
    </row>
    <row r="17" spans="1:11">
      <c r="G17" s="166"/>
      <c r="H17" s="166"/>
      <c r="I17" s="166"/>
      <c r="J17" s="166"/>
    </row>
    <row r="18" spans="1:11">
      <c r="A18" s="1430" t="s">
        <v>1409</v>
      </c>
      <c r="B18" s="1430"/>
      <c r="C18" s="1430"/>
      <c r="D18" s="1430"/>
      <c r="E18" s="1430"/>
      <c r="F18" s="1430"/>
      <c r="G18" s="1430"/>
      <c r="H18" s="1430"/>
      <c r="I18" s="1430"/>
      <c r="J18" s="1430"/>
      <c r="K18" s="1430"/>
    </row>
    <row r="19" spans="1:11" ht="14.25" customHeight="1">
      <c r="A19" s="1467" t="str">
        <f>CONCATENATE("Index Numbers of Agricultural Area, Production &amp; Productivity in the district of ",District!$A1)</f>
        <v>Index Numbers of Agricultural Area, Production &amp; Productivity in the district of Malda</v>
      </c>
      <c r="B19" s="1467"/>
      <c r="C19" s="1467"/>
      <c r="D19" s="1467"/>
      <c r="E19" s="1467"/>
      <c r="F19" s="1467"/>
      <c r="G19" s="1467"/>
      <c r="H19" s="1467"/>
      <c r="I19" s="1467"/>
      <c r="J19" s="1467"/>
      <c r="K19" s="1467"/>
    </row>
    <row r="20" spans="1:11" ht="13.5" customHeight="1">
      <c r="A20" s="1718" t="s">
        <v>1085</v>
      </c>
      <c r="B20" s="1718"/>
      <c r="C20" s="1718"/>
      <c r="D20" s="1718"/>
      <c r="E20" s="1718"/>
      <c r="F20" s="1718"/>
      <c r="G20" s="1718"/>
      <c r="H20" s="1718"/>
      <c r="I20" s="1718"/>
      <c r="J20" s="1718"/>
      <c r="K20" s="1718"/>
    </row>
    <row r="21" spans="1:11" ht="15.75" customHeight="1">
      <c r="A21" s="1359" t="s">
        <v>1089</v>
      </c>
      <c r="B21" s="1360"/>
      <c r="C21" s="1356" t="s">
        <v>930</v>
      </c>
      <c r="D21" s="1357"/>
      <c r="E21" s="1358"/>
      <c r="F21" s="1356" t="s">
        <v>196</v>
      </c>
      <c r="G21" s="1357"/>
      <c r="H21" s="1358"/>
      <c r="I21" s="1356" t="s">
        <v>1087</v>
      </c>
      <c r="J21" s="1357"/>
      <c r="K21" s="1358"/>
    </row>
    <row r="22" spans="1:11" ht="15.75" customHeight="1">
      <c r="A22" s="1361"/>
      <c r="B22" s="1362"/>
      <c r="C22" s="214" t="s">
        <v>1086</v>
      </c>
      <c r="D22" s="1391" t="s">
        <v>989</v>
      </c>
      <c r="E22" s="1392"/>
      <c r="F22" s="214" t="s">
        <v>1086</v>
      </c>
      <c r="G22" s="1391" t="s">
        <v>989</v>
      </c>
      <c r="H22" s="1392"/>
      <c r="I22" s="240" t="s">
        <v>1086</v>
      </c>
      <c r="J22" s="1391" t="s">
        <v>989</v>
      </c>
      <c r="K22" s="1392"/>
    </row>
    <row r="23" spans="1:11" ht="15.75" customHeight="1">
      <c r="A23" s="1353" t="s">
        <v>1208</v>
      </c>
      <c r="B23" s="1354"/>
      <c r="C23" s="151" t="s">
        <v>1209</v>
      </c>
      <c r="D23" s="1353" t="s">
        <v>1210</v>
      </c>
      <c r="E23" s="1354"/>
      <c r="F23" s="151" t="s">
        <v>1211</v>
      </c>
      <c r="G23" s="1353" t="s">
        <v>1212</v>
      </c>
      <c r="H23" s="1354"/>
      <c r="I23" s="151" t="s">
        <v>1213</v>
      </c>
      <c r="J23" s="1353" t="s">
        <v>1214</v>
      </c>
      <c r="K23" s="1354"/>
    </row>
    <row r="24" spans="1:11" ht="24" customHeight="1">
      <c r="A24" s="1705" t="s">
        <v>1577</v>
      </c>
      <c r="B24" s="1706"/>
      <c r="C24" s="41">
        <v>103.37</v>
      </c>
      <c r="D24" s="1707">
        <v>95.23</v>
      </c>
      <c r="E24" s="1708"/>
      <c r="F24" s="41">
        <v>237.66</v>
      </c>
      <c r="G24" s="1703">
        <v>241.95</v>
      </c>
      <c r="H24" s="1704"/>
      <c r="I24" s="41">
        <v>229.91</v>
      </c>
      <c r="J24" s="1701">
        <v>254.07</v>
      </c>
      <c r="K24" s="1702"/>
    </row>
    <row r="25" spans="1:11" ht="24" customHeight="1">
      <c r="A25" s="1689" t="s">
        <v>1576</v>
      </c>
      <c r="B25" s="1690"/>
      <c r="C25" s="116">
        <v>98.76</v>
      </c>
      <c r="D25" s="1691">
        <v>90.47</v>
      </c>
      <c r="E25" s="1692"/>
      <c r="F25" s="116">
        <v>246.42</v>
      </c>
      <c r="G25" s="1693">
        <v>241.76</v>
      </c>
      <c r="H25" s="1694"/>
      <c r="I25" s="116">
        <v>249.51</v>
      </c>
      <c r="J25" s="1699">
        <v>267.23</v>
      </c>
      <c r="K25" s="1700"/>
    </row>
    <row r="26" spans="1:11" ht="24" customHeight="1">
      <c r="A26" s="1689" t="s">
        <v>267</v>
      </c>
      <c r="B26" s="1690"/>
      <c r="C26" s="116">
        <v>100.54</v>
      </c>
      <c r="D26" s="1691">
        <v>93.61</v>
      </c>
      <c r="E26" s="1692"/>
      <c r="F26" s="98">
        <v>240.06</v>
      </c>
      <c r="G26" s="1693">
        <v>241.92</v>
      </c>
      <c r="H26" s="1694"/>
      <c r="I26" s="98">
        <v>238.77</v>
      </c>
      <c r="J26" s="1699">
        <v>258.43</v>
      </c>
      <c r="K26" s="1700"/>
    </row>
    <row r="27" spans="1:11" ht="24" customHeight="1">
      <c r="A27" s="1689" t="s">
        <v>1094</v>
      </c>
      <c r="B27" s="1690"/>
      <c r="C27" s="98">
        <v>104.73</v>
      </c>
      <c r="D27" s="1716">
        <v>98.6</v>
      </c>
      <c r="E27" s="1717"/>
      <c r="F27" s="116">
        <v>252.25</v>
      </c>
      <c r="G27" s="1715">
        <v>258.95</v>
      </c>
      <c r="H27" s="1694"/>
      <c r="I27" s="116">
        <v>240.86</v>
      </c>
      <c r="J27" s="1714">
        <v>262.63</v>
      </c>
      <c r="K27" s="1700"/>
    </row>
    <row r="28" spans="1:11" ht="24" customHeight="1">
      <c r="A28" s="1695" t="s">
        <v>1595</v>
      </c>
      <c r="B28" s="1696"/>
      <c r="C28" s="94">
        <v>99.69</v>
      </c>
      <c r="D28" s="1712">
        <v>95.95</v>
      </c>
      <c r="E28" s="1713"/>
      <c r="F28" s="117">
        <v>274.11</v>
      </c>
      <c r="G28" s="1709">
        <v>274.98</v>
      </c>
      <c r="H28" s="1709"/>
      <c r="I28" s="117">
        <v>274.95999999999998</v>
      </c>
      <c r="J28" s="1710">
        <v>286.58999999999997</v>
      </c>
      <c r="K28" s="1711"/>
    </row>
    <row r="29" spans="1:11">
      <c r="G29" s="166"/>
      <c r="K29" s="924" t="s">
        <v>1034</v>
      </c>
    </row>
    <row r="30" spans="1:11">
      <c r="F30" s="166"/>
      <c r="G30" s="166"/>
    </row>
  </sheetData>
  <mergeCells count="42">
    <mergeCell ref="A18:K18"/>
    <mergeCell ref="A20:K20"/>
    <mergeCell ref="G22:H22"/>
    <mergeCell ref="D22:E22"/>
    <mergeCell ref="A19:K19"/>
    <mergeCell ref="J4:K4"/>
    <mergeCell ref="J22:K22"/>
    <mergeCell ref="A21:B22"/>
    <mergeCell ref="C21:E21"/>
    <mergeCell ref="A24:B24"/>
    <mergeCell ref="D24:E24"/>
    <mergeCell ref="A25:B25"/>
    <mergeCell ref="G28:H28"/>
    <mergeCell ref="J28:K28"/>
    <mergeCell ref="D28:E28"/>
    <mergeCell ref="J27:K27"/>
    <mergeCell ref="G27:H27"/>
    <mergeCell ref="D27:E27"/>
    <mergeCell ref="J26:K26"/>
    <mergeCell ref="I21:K21"/>
    <mergeCell ref="F21:H21"/>
    <mergeCell ref="A23:B23"/>
    <mergeCell ref="D23:E23"/>
    <mergeCell ref="G23:H23"/>
    <mergeCell ref="J23:K23"/>
    <mergeCell ref="J24:K24"/>
    <mergeCell ref="G24:H24"/>
    <mergeCell ref="J25:K25"/>
    <mergeCell ref="A1:K1"/>
    <mergeCell ref="A4:A5"/>
    <mergeCell ref="B4:C4"/>
    <mergeCell ref="F4:G4"/>
    <mergeCell ref="D4:E4"/>
    <mergeCell ref="H4:I4"/>
    <mergeCell ref="A2:K2"/>
    <mergeCell ref="A26:B26"/>
    <mergeCell ref="D26:E26"/>
    <mergeCell ref="G26:H26"/>
    <mergeCell ref="G25:H25"/>
    <mergeCell ref="A28:B28"/>
    <mergeCell ref="D25:E25"/>
    <mergeCell ref="A27:B27"/>
  </mergeCells>
  <phoneticPr fontId="0" type="noConversion"/>
  <conditionalFormatting sqref="B4 D4 F4 H4 J4">
    <cfRule type="cellIs" dxfId="11" priority="1" stopIfTrue="1" operator="equal">
      <formula>".."</formula>
    </cfRule>
  </conditionalFormatting>
  <printOptions horizontalCentered="1"/>
  <pageMargins left="0.1" right="0.1" top="0.7" bottom="0.1" header="0.7" footer="0.1"/>
  <pageSetup paperSize="9" orientation="landscape" blackAndWhite="1" horizontalDpi="4294967295" r:id="rId1"/>
  <headerFooter alignWithMargins="0"/>
</worksheet>
</file>

<file path=xl/worksheets/sheet44.xml><?xml version="1.0" encoding="utf-8"?>
<worksheet xmlns="http://schemas.openxmlformats.org/spreadsheetml/2006/main" xmlns:r="http://schemas.openxmlformats.org/officeDocument/2006/relationships">
  <sheetPr codeName="Sheet54"/>
  <dimension ref="A1:N481"/>
  <sheetViews>
    <sheetView workbookViewId="0">
      <selection activeCell="M5" sqref="M5"/>
    </sheetView>
  </sheetViews>
  <sheetFormatPr defaultRowHeight="12.75"/>
  <cols>
    <col min="1" max="1" width="3.42578125" customWidth="1"/>
    <col min="2" max="2" width="15" customWidth="1"/>
    <col min="3" max="12" width="10.7109375" customWidth="1"/>
  </cols>
  <sheetData>
    <row r="1" spans="1:14" ht="12.75" customHeight="1">
      <c r="A1" s="1363" t="s">
        <v>1430</v>
      </c>
      <c r="B1" s="1363"/>
      <c r="C1" s="1363"/>
      <c r="D1" s="1363"/>
      <c r="E1" s="1363"/>
      <c r="F1" s="1363"/>
      <c r="G1" s="1363"/>
      <c r="H1" s="1363"/>
      <c r="I1" s="1363"/>
      <c r="J1" s="1363"/>
      <c r="K1" s="1363"/>
      <c r="L1" s="1363"/>
    </row>
    <row r="2" spans="1:14" ht="18.75" customHeight="1">
      <c r="A2" s="1719" t="str">
        <f>CONCATENATE("Area and Production of Fruits and Vegetables in the district of ",District!A1)</f>
        <v>Area and Production of Fruits and Vegetables in the district of Malda</v>
      </c>
      <c r="B2" s="1719"/>
      <c r="C2" s="1719"/>
      <c r="D2" s="1719"/>
      <c r="E2" s="1719"/>
      <c r="F2" s="1719"/>
      <c r="G2" s="1719"/>
      <c r="H2" s="1719"/>
      <c r="I2" s="1719"/>
      <c r="J2" s="1719"/>
      <c r="K2" s="1719"/>
      <c r="L2" s="1719"/>
    </row>
    <row r="3" spans="1:14" ht="14.25" customHeight="1">
      <c r="A3" s="1433" t="s">
        <v>178</v>
      </c>
      <c r="B3" s="1434"/>
      <c r="C3" s="1357" t="s">
        <v>173</v>
      </c>
      <c r="D3" s="1357"/>
      <c r="E3" s="1357"/>
      <c r="F3" s="1357"/>
      <c r="G3" s="1358"/>
      <c r="H3" s="1356" t="s">
        <v>195</v>
      </c>
      <c r="I3" s="1357"/>
      <c r="J3" s="1357"/>
      <c r="K3" s="1357"/>
      <c r="L3" s="1358"/>
    </row>
    <row r="4" spans="1:14" ht="18" customHeight="1">
      <c r="A4" s="1407"/>
      <c r="B4" s="1460"/>
      <c r="C4" s="489" t="str">
        <f>District!A10</f>
        <v>2009-10</v>
      </c>
      <c r="D4" s="489" t="str">
        <f>District!B10</f>
        <v>2010-11</v>
      </c>
      <c r="E4" s="489" t="str">
        <f>District!C10</f>
        <v>2011-12</v>
      </c>
      <c r="F4" s="489" t="str">
        <f>District!D10</f>
        <v>2012-13</v>
      </c>
      <c r="G4" s="489" t="str">
        <f>District!E10</f>
        <v>2013-14</v>
      </c>
      <c r="H4" s="489" t="str">
        <f>District!A10</f>
        <v>2009-10</v>
      </c>
      <c r="I4" s="489" t="str">
        <f>District!B10</f>
        <v>2010-11</v>
      </c>
      <c r="J4" s="489" t="str">
        <f>District!C10</f>
        <v>2011-12</v>
      </c>
      <c r="K4" s="489" t="str">
        <f>District!D10</f>
        <v>2012-13</v>
      </c>
      <c r="L4" s="489" t="str">
        <f>District!E10</f>
        <v>2013-14</v>
      </c>
    </row>
    <row r="5" spans="1:14" ht="13.5" customHeight="1">
      <c r="A5" s="1353" t="s">
        <v>1208</v>
      </c>
      <c r="B5" s="1677"/>
      <c r="C5" s="152" t="s">
        <v>1209</v>
      </c>
      <c r="D5" s="151" t="s">
        <v>1210</v>
      </c>
      <c r="E5" s="152" t="s">
        <v>1211</v>
      </c>
      <c r="F5" s="151" t="s">
        <v>1212</v>
      </c>
      <c r="G5" s="153" t="s">
        <v>1213</v>
      </c>
      <c r="H5" s="152" t="s">
        <v>1214</v>
      </c>
      <c r="I5" s="151" t="s">
        <v>1244</v>
      </c>
      <c r="J5" s="152" t="s">
        <v>1245</v>
      </c>
      <c r="K5" s="151" t="s">
        <v>1246</v>
      </c>
      <c r="L5" s="153" t="s">
        <v>1247</v>
      </c>
    </row>
    <row r="6" spans="1:14" ht="14.25" customHeight="1">
      <c r="A6" s="428" t="s">
        <v>1520</v>
      </c>
      <c r="B6" s="429" t="s">
        <v>1165</v>
      </c>
      <c r="C6" s="430"/>
      <c r="D6" s="144"/>
      <c r="E6" s="430"/>
      <c r="F6" s="115"/>
      <c r="G6" s="304"/>
      <c r="H6" s="431"/>
      <c r="I6" s="91"/>
      <c r="J6" s="431"/>
      <c r="K6" s="506"/>
      <c r="L6" s="115"/>
    </row>
    <row r="7" spans="1:14" ht="16.5" customHeight="1">
      <c r="A7" s="432"/>
      <c r="B7" s="433" t="s">
        <v>174</v>
      </c>
      <c r="C7" s="104">
        <v>27</v>
      </c>
      <c r="D7" s="129">
        <v>27.4</v>
      </c>
      <c r="E7" s="129">
        <v>27.6</v>
      </c>
      <c r="F7" s="129">
        <v>28.5</v>
      </c>
      <c r="G7" s="129">
        <v>28.7</v>
      </c>
      <c r="H7" s="129">
        <v>180</v>
      </c>
      <c r="I7" s="129">
        <v>196</v>
      </c>
      <c r="J7" s="129">
        <v>221</v>
      </c>
      <c r="K7" s="129">
        <v>257</v>
      </c>
      <c r="L7" s="129">
        <v>200</v>
      </c>
      <c r="M7" s="360"/>
      <c r="N7" s="360"/>
    </row>
    <row r="8" spans="1:14" ht="16.5" customHeight="1">
      <c r="A8" s="432"/>
      <c r="B8" s="433" t="s">
        <v>175</v>
      </c>
      <c r="C8" s="104">
        <v>0.8</v>
      </c>
      <c r="D8" s="129">
        <v>0.81</v>
      </c>
      <c r="E8" s="129">
        <v>0.91</v>
      </c>
      <c r="F8" s="129">
        <v>1.01</v>
      </c>
      <c r="G8" s="129">
        <v>1.0900000000000001</v>
      </c>
      <c r="H8" s="129">
        <v>14.5</v>
      </c>
      <c r="I8" s="129">
        <v>14.8</v>
      </c>
      <c r="J8" s="129">
        <v>16.489999999999998</v>
      </c>
      <c r="K8" s="1069">
        <v>18.3</v>
      </c>
      <c r="L8" s="1069">
        <v>19.75</v>
      </c>
      <c r="M8" s="360"/>
      <c r="N8" s="360"/>
    </row>
    <row r="9" spans="1:14" ht="16.5" customHeight="1">
      <c r="A9" s="432"/>
      <c r="B9" s="433" t="s">
        <v>176</v>
      </c>
      <c r="C9" s="104" t="s">
        <v>1509</v>
      </c>
      <c r="D9" s="129" t="s">
        <v>1509</v>
      </c>
      <c r="E9" s="129">
        <v>0.03</v>
      </c>
      <c r="F9" s="129">
        <v>0.04</v>
      </c>
      <c r="G9" s="129">
        <v>0.05</v>
      </c>
      <c r="H9" s="129">
        <v>0.08</v>
      </c>
      <c r="I9" s="129">
        <v>0.08</v>
      </c>
      <c r="J9" s="129">
        <v>0.6</v>
      </c>
      <c r="K9" s="129">
        <v>0.74</v>
      </c>
      <c r="L9" s="129">
        <v>1.2</v>
      </c>
      <c r="M9" s="360"/>
      <c r="N9" s="360"/>
    </row>
    <row r="10" spans="1:14" ht="16.5" customHeight="1">
      <c r="A10" s="432"/>
      <c r="B10" s="433" t="s">
        <v>177</v>
      </c>
      <c r="C10" s="104">
        <v>0.24</v>
      </c>
      <c r="D10" s="129">
        <v>0.24</v>
      </c>
      <c r="E10" s="129">
        <v>0.25</v>
      </c>
      <c r="F10" s="129">
        <v>0.26</v>
      </c>
      <c r="G10" s="129">
        <v>0.27</v>
      </c>
      <c r="H10" s="129">
        <v>7.8</v>
      </c>
      <c r="I10" s="129">
        <v>7.86</v>
      </c>
      <c r="J10" s="129">
        <v>8.07</v>
      </c>
      <c r="K10" s="129">
        <v>7.39</v>
      </c>
      <c r="L10" s="129">
        <v>8.5500000000000007</v>
      </c>
      <c r="M10" s="360"/>
      <c r="N10" s="360"/>
    </row>
    <row r="11" spans="1:14" ht="16.5" customHeight="1">
      <c r="A11" s="432"/>
      <c r="B11" s="433" t="s">
        <v>179</v>
      </c>
      <c r="C11" s="104">
        <v>0.43</v>
      </c>
      <c r="D11" s="129">
        <v>0.43</v>
      </c>
      <c r="E11" s="129">
        <v>0.44</v>
      </c>
      <c r="F11" s="129">
        <v>0.45</v>
      </c>
      <c r="G11" s="129">
        <v>0.45</v>
      </c>
      <c r="H11" s="129">
        <v>7.25</v>
      </c>
      <c r="I11" s="129">
        <v>7.26</v>
      </c>
      <c r="J11" s="129">
        <v>7.47</v>
      </c>
      <c r="K11" s="129">
        <v>7.62</v>
      </c>
      <c r="L11" s="129">
        <v>7.63</v>
      </c>
      <c r="M11" s="360"/>
      <c r="N11" s="360"/>
    </row>
    <row r="12" spans="1:14" ht="16.5" customHeight="1">
      <c r="A12" s="432"/>
      <c r="B12" s="433" t="s">
        <v>180</v>
      </c>
      <c r="C12" s="104">
        <v>0.38</v>
      </c>
      <c r="D12" s="129">
        <v>0.38</v>
      </c>
      <c r="E12" s="129">
        <v>0.39</v>
      </c>
      <c r="F12" s="129">
        <v>0.4</v>
      </c>
      <c r="G12" s="129">
        <v>0.41</v>
      </c>
      <c r="H12" s="129">
        <v>4.5</v>
      </c>
      <c r="I12" s="129">
        <v>4.5</v>
      </c>
      <c r="J12" s="129">
        <v>4.68</v>
      </c>
      <c r="K12" s="129">
        <v>4.9000000000000004</v>
      </c>
      <c r="L12" s="129">
        <v>5.03</v>
      </c>
      <c r="M12" s="360"/>
      <c r="N12" s="360"/>
    </row>
    <row r="13" spans="1:14" ht="16.5" customHeight="1">
      <c r="A13" s="432"/>
      <c r="B13" s="433" t="s">
        <v>181</v>
      </c>
      <c r="C13" s="104">
        <v>1</v>
      </c>
      <c r="D13" s="129">
        <v>1</v>
      </c>
      <c r="E13" s="129">
        <v>1.0900000000000001</v>
      </c>
      <c r="F13" s="129">
        <v>1.18</v>
      </c>
      <c r="G13" s="129">
        <v>1.2</v>
      </c>
      <c r="H13" s="129">
        <v>9</v>
      </c>
      <c r="I13" s="129">
        <v>9.4</v>
      </c>
      <c r="J13" s="129">
        <v>8.5</v>
      </c>
      <c r="K13" s="129">
        <v>12.24</v>
      </c>
      <c r="L13" s="129">
        <v>15</v>
      </c>
      <c r="M13" s="360"/>
      <c r="N13" s="360"/>
    </row>
    <row r="14" spans="1:14" ht="16.5" customHeight="1">
      <c r="A14" s="432"/>
      <c r="B14" s="433" t="s">
        <v>182</v>
      </c>
      <c r="C14" s="104" t="s">
        <v>1509</v>
      </c>
      <c r="D14" s="129" t="s">
        <v>1509</v>
      </c>
      <c r="E14" s="129" t="s">
        <v>1509</v>
      </c>
      <c r="F14" s="129" t="s">
        <v>1509</v>
      </c>
      <c r="G14" s="469" t="s">
        <v>1509</v>
      </c>
      <c r="H14" s="129" t="s">
        <v>1509</v>
      </c>
      <c r="I14" s="129" t="s">
        <v>1509</v>
      </c>
      <c r="J14" s="129" t="s">
        <v>1509</v>
      </c>
      <c r="K14" s="129" t="s">
        <v>1509</v>
      </c>
      <c r="L14" s="469" t="s">
        <v>1509</v>
      </c>
      <c r="M14" s="360"/>
      <c r="N14" s="360"/>
    </row>
    <row r="15" spans="1:14" ht="16.5" customHeight="1">
      <c r="A15" s="143"/>
      <c r="B15" s="433" t="s">
        <v>183</v>
      </c>
      <c r="C15" s="722">
        <v>0.2</v>
      </c>
      <c r="D15" s="840">
        <v>0.21</v>
      </c>
      <c r="E15" s="840">
        <v>0.22</v>
      </c>
      <c r="F15" s="840">
        <v>0.27</v>
      </c>
      <c r="G15" s="840">
        <v>0.28999999999999998</v>
      </c>
      <c r="H15" s="129">
        <v>1.8</v>
      </c>
      <c r="I15" s="129">
        <v>1.8</v>
      </c>
      <c r="J15" s="129">
        <v>1.93</v>
      </c>
      <c r="K15" s="129">
        <v>2.46</v>
      </c>
      <c r="L15" s="129">
        <v>2.65</v>
      </c>
      <c r="M15" s="721"/>
      <c r="N15" s="721"/>
    </row>
    <row r="16" spans="1:14" ht="16.5" customHeight="1">
      <c r="A16" s="432"/>
      <c r="B16" s="433" t="s">
        <v>184</v>
      </c>
      <c r="C16" s="104">
        <v>0.24</v>
      </c>
      <c r="D16" s="129">
        <v>0.24</v>
      </c>
      <c r="E16" s="129">
        <v>0.25</v>
      </c>
      <c r="F16" s="129">
        <v>0.25</v>
      </c>
      <c r="G16" s="129">
        <v>0.25</v>
      </c>
      <c r="H16" s="129">
        <v>2.8</v>
      </c>
      <c r="I16" s="129">
        <v>2.8</v>
      </c>
      <c r="J16" s="129">
        <v>2.86</v>
      </c>
      <c r="K16" s="129">
        <v>2.94</v>
      </c>
      <c r="L16" s="129">
        <v>2.95</v>
      </c>
      <c r="M16" s="360"/>
      <c r="N16" s="360"/>
    </row>
    <row r="17" spans="1:14" ht="16.5" customHeight="1">
      <c r="A17" s="432"/>
      <c r="B17" s="433" t="s">
        <v>1526</v>
      </c>
      <c r="C17" s="104">
        <f>C18-SUM(C7:C16)</f>
        <v>0.23000000000000398</v>
      </c>
      <c r="D17" s="104">
        <f>D18-SUM(D7:D16)</f>
        <v>0.23000000000000753</v>
      </c>
      <c r="E17" s="104">
        <v>0.22</v>
      </c>
      <c r="F17" s="1269">
        <v>0.24</v>
      </c>
      <c r="G17" s="1269">
        <v>0.25</v>
      </c>
      <c r="H17" s="104">
        <f>H18-SUM(H7:H16)</f>
        <v>1.3999999999999488</v>
      </c>
      <c r="I17" s="104">
        <f>I18-SUM(I7:I16)</f>
        <v>1.3999999999999488</v>
      </c>
      <c r="J17" s="104">
        <v>1.44</v>
      </c>
      <c r="K17" s="104">
        <v>1.29</v>
      </c>
      <c r="L17" s="131">
        <v>1.5</v>
      </c>
      <c r="M17" s="360"/>
      <c r="N17" s="837"/>
    </row>
    <row r="18" spans="1:14" ht="13.5" customHeight="1">
      <c r="A18" s="1344" t="s">
        <v>1233</v>
      </c>
      <c r="B18" s="1345"/>
      <c r="C18" s="434">
        <v>30.52</v>
      </c>
      <c r="D18" s="434">
        <v>30.94</v>
      </c>
      <c r="E18" s="434">
        <f>SUM(E7:E17)</f>
        <v>31.400000000000002</v>
      </c>
      <c r="F18" s="434">
        <f>SUM(F7:F17)</f>
        <v>32.6</v>
      </c>
      <c r="G18" s="434">
        <f>SUM(G7:G17)</f>
        <v>32.96</v>
      </c>
      <c r="H18" s="434">
        <v>229.13</v>
      </c>
      <c r="I18" s="435">
        <v>245.9</v>
      </c>
      <c r="J18" s="435">
        <f>SUM(J7:J17)</f>
        <v>273.04000000000002</v>
      </c>
      <c r="K18" s="435">
        <f>SUM(K7:K17)</f>
        <v>314.88</v>
      </c>
      <c r="L18" s="435">
        <f>SUM(L7:L17)</f>
        <v>264.25999999999993</v>
      </c>
      <c r="M18" s="837"/>
      <c r="N18" s="837"/>
    </row>
    <row r="19" spans="1:14" ht="15" customHeight="1">
      <c r="A19" s="428" t="s">
        <v>185</v>
      </c>
      <c r="B19" s="429" t="s">
        <v>1166</v>
      </c>
      <c r="C19" s="130"/>
      <c r="D19" s="394"/>
      <c r="E19" s="130"/>
      <c r="F19" s="1047"/>
      <c r="G19" s="1046"/>
      <c r="H19" s="130"/>
      <c r="I19" s="394"/>
      <c r="J19" s="130"/>
      <c r="K19" s="1047"/>
      <c r="L19" s="1047"/>
    </row>
    <row r="20" spans="1:14" ht="16.5" customHeight="1">
      <c r="A20" s="436"/>
      <c r="B20" s="433" t="s">
        <v>186</v>
      </c>
      <c r="C20" s="129">
        <v>2.65</v>
      </c>
      <c r="D20" s="129">
        <v>2.68</v>
      </c>
      <c r="E20" s="129">
        <v>2.8</v>
      </c>
      <c r="F20" s="129">
        <v>2.85</v>
      </c>
      <c r="G20" s="129">
        <v>2.94</v>
      </c>
      <c r="H20" s="129">
        <v>36.35</v>
      </c>
      <c r="I20" s="129">
        <v>37.82</v>
      </c>
      <c r="J20" s="129">
        <v>38.42</v>
      </c>
      <c r="K20" s="129">
        <v>39.159999999999997</v>
      </c>
      <c r="L20" s="129">
        <v>40.32</v>
      </c>
    </row>
    <row r="21" spans="1:14" ht="16.5" customHeight="1">
      <c r="A21" s="436"/>
      <c r="B21" s="433" t="s">
        <v>187</v>
      </c>
      <c r="C21" s="129">
        <v>4.2</v>
      </c>
      <c r="D21" s="129">
        <v>4.26</v>
      </c>
      <c r="E21" s="129">
        <v>4.3499999999999996</v>
      </c>
      <c r="F21" s="129">
        <v>4.42</v>
      </c>
      <c r="G21" s="129">
        <v>4.5</v>
      </c>
      <c r="H21" s="129">
        <v>115.4</v>
      </c>
      <c r="I21" s="129">
        <v>117.02</v>
      </c>
      <c r="J21" s="129">
        <v>119.44</v>
      </c>
      <c r="K21" s="129">
        <v>123.74</v>
      </c>
      <c r="L21" s="129">
        <v>126.04</v>
      </c>
    </row>
    <row r="22" spans="1:14" ht="16.5" customHeight="1">
      <c r="A22" s="436"/>
      <c r="B22" s="433" t="s">
        <v>188</v>
      </c>
      <c r="C22" s="129">
        <v>3.51</v>
      </c>
      <c r="D22" s="129">
        <v>3.55</v>
      </c>
      <c r="E22" s="129">
        <v>3.7</v>
      </c>
      <c r="F22" s="129">
        <v>3.8</v>
      </c>
      <c r="G22" s="129">
        <v>3.85</v>
      </c>
      <c r="H22" s="129">
        <v>101.13</v>
      </c>
      <c r="I22" s="129">
        <v>102.46</v>
      </c>
      <c r="J22" s="129">
        <v>106.63</v>
      </c>
      <c r="K22" s="129">
        <v>109.54</v>
      </c>
      <c r="L22" s="129">
        <v>111.68</v>
      </c>
    </row>
    <row r="23" spans="1:14" ht="16.5" customHeight="1">
      <c r="A23" s="143"/>
      <c r="B23" s="433" t="s">
        <v>189</v>
      </c>
      <c r="C23" s="129">
        <v>0.85</v>
      </c>
      <c r="D23" s="129">
        <v>0.87</v>
      </c>
      <c r="E23" s="129">
        <v>0.89</v>
      </c>
      <c r="F23" s="129">
        <v>0.89</v>
      </c>
      <c r="G23" s="129">
        <v>0.92</v>
      </c>
      <c r="H23" s="129">
        <v>4.2</v>
      </c>
      <c r="I23" s="129">
        <v>4.33</v>
      </c>
      <c r="J23" s="129">
        <v>4.38</v>
      </c>
      <c r="K23" s="129">
        <v>4.4000000000000004</v>
      </c>
      <c r="L23" s="129">
        <v>4.54</v>
      </c>
    </row>
    <row r="24" spans="1:14" ht="16.5" customHeight="1">
      <c r="A24" s="437"/>
      <c r="B24" s="433" t="s">
        <v>190</v>
      </c>
      <c r="C24" s="129">
        <v>11.92</v>
      </c>
      <c r="D24" s="129">
        <v>10.36</v>
      </c>
      <c r="E24" s="129">
        <v>12.39</v>
      </c>
      <c r="F24" s="129">
        <v>12.49</v>
      </c>
      <c r="G24" s="129">
        <v>12.52</v>
      </c>
      <c r="H24" s="129">
        <v>204.97</v>
      </c>
      <c r="I24" s="129">
        <v>181.77</v>
      </c>
      <c r="J24" s="129">
        <v>214.35</v>
      </c>
      <c r="K24" s="129">
        <v>215.27</v>
      </c>
      <c r="L24" s="129">
        <v>210.8</v>
      </c>
    </row>
    <row r="25" spans="1:14" ht="16.5" customHeight="1">
      <c r="A25" s="436"/>
      <c r="B25" s="433" t="s">
        <v>191</v>
      </c>
      <c r="C25" s="129">
        <v>1.46</v>
      </c>
      <c r="D25" s="129">
        <v>1.48</v>
      </c>
      <c r="E25" s="129">
        <v>1.51</v>
      </c>
      <c r="F25" s="129">
        <v>1.58</v>
      </c>
      <c r="G25" s="129">
        <v>1.62</v>
      </c>
      <c r="H25" s="129">
        <v>16.100000000000001</v>
      </c>
      <c r="I25" s="129">
        <v>16.54</v>
      </c>
      <c r="J25" s="129">
        <v>16.670000000000002</v>
      </c>
      <c r="K25" s="129">
        <v>17.66</v>
      </c>
      <c r="L25" s="129">
        <v>19.3</v>
      </c>
    </row>
    <row r="26" spans="1:14" ht="16.5" customHeight="1">
      <c r="A26" s="436"/>
      <c r="B26" s="433" t="s">
        <v>192</v>
      </c>
      <c r="C26" s="129">
        <v>9.81</v>
      </c>
      <c r="D26" s="129">
        <v>9.9499999999999993</v>
      </c>
      <c r="E26" s="129">
        <v>10.38</v>
      </c>
      <c r="F26" s="129">
        <v>10.44</v>
      </c>
      <c r="G26" s="129">
        <v>10.45</v>
      </c>
      <c r="H26" s="1069">
        <v>97.91</v>
      </c>
      <c r="I26" s="129">
        <v>101.25</v>
      </c>
      <c r="J26" s="129">
        <v>97.05</v>
      </c>
      <c r="K26" s="129">
        <v>100.3</v>
      </c>
      <c r="L26" s="129">
        <v>100.39</v>
      </c>
    </row>
    <row r="27" spans="1:14" ht="16.5" customHeight="1">
      <c r="A27" s="436"/>
      <c r="B27" s="433" t="s">
        <v>193</v>
      </c>
      <c r="C27" s="129">
        <v>3.07</v>
      </c>
      <c r="D27" s="129">
        <v>3.11</v>
      </c>
      <c r="E27" s="129">
        <v>3.16</v>
      </c>
      <c r="F27" s="129">
        <v>3.16</v>
      </c>
      <c r="G27" s="129">
        <v>3.19</v>
      </c>
      <c r="H27" s="129">
        <v>34.08</v>
      </c>
      <c r="I27" s="129">
        <v>35</v>
      </c>
      <c r="J27" s="129">
        <v>34.729999999999997</v>
      </c>
      <c r="K27" s="129">
        <v>35.99</v>
      </c>
      <c r="L27" s="129">
        <v>36.479999999999997</v>
      </c>
    </row>
    <row r="28" spans="1:14" ht="16.5" customHeight="1">
      <c r="A28" s="143"/>
      <c r="B28" s="433" t="s">
        <v>194</v>
      </c>
      <c r="C28" s="129">
        <v>2.23</v>
      </c>
      <c r="D28" s="129">
        <v>0.39</v>
      </c>
      <c r="E28" s="129">
        <v>2.33</v>
      </c>
      <c r="F28" s="129">
        <v>2.38</v>
      </c>
      <c r="G28" s="129">
        <v>2.41</v>
      </c>
      <c r="H28" s="129">
        <v>24.5</v>
      </c>
      <c r="I28" s="129">
        <v>4.66</v>
      </c>
      <c r="J28" s="129">
        <v>26.57</v>
      </c>
      <c r="K28" s="129">
        <v>27.11</v>
      </c>
      <c r="L28" s="129">
        <v>26.52</v>
      </c>
    </row>
    <row r="29" spans="1:14" ht="16.5" customHeight="1">
      <c r="A29" s="437"/>
      <c r="B29" s="433" t="s">
        <v>1526</v>
      </c>
      <c r="C29" s="131">
        <f>C30-SUM(C20:C28)</f>
        <v>16.990000000000002</v>
      </c>
      <c r="D29" s="131">
        <f>D30-SUM(D20:D28)</f>
        <v>29.330000000000005</v>
      </c>
      <c r="E29" s="131">
        <v>15.99</v>
      </c>
      <c r="F29" s="131">
        <v>15.51</v>
      </c>
      <c r="G29" s="131">
        <v>15.53</v>
      </c>
      <c r="H29" s="131">
        <f>H30-SUM(H20:H28)</f>
        <v>74.960000000000036</v>
      </c>
      <c r="I29" s="131">
        <f>I30-SUM(I20:I28)</f>
        <v>125.60000000000002</v>
      </c>
      <c r="J29" s="131">
        <v>77.36</v>
      </c>
      <c r="K29" s="131">
        <v>74.28</v>
      </c>
      <c r="L29" s="131">
        <v>74.86</v>
      </c>
    </row>
    <row r="30" spans="1:14" ht="13.5" customHeight="1">
      <c r="A30" s="1344" t="s">
        <v>1233</v>
      </c>
      <c r="B30" s="1345"/>
      <c r="C30" s="303">
        <v>56.69</v>
      </c>
      <c r="D30" s="379">
        <v>65.98</v>
      </c>
      <c r="E30" s="303">
        <f>SUM(E20:E29)</f>
        <v>57.500000000000007</v>
      </c>
      <c r="F30" s="303">
        <f>SUM(F20:F29)</f>
        <v>57.519999999999996</v>
      </c>
      <c r="G30" s="303">
        <f>SUM(G20:G29)</f>
        <v>57.929999999999993</v>
      </c>
      <c r="H30" s="303">
        <v>709.6</v>
      </c>
      <c r="I30" s="379">
        <v>726.45</v>
      </c>
      <c r="J30" s="303">
        <f>SUM(J20:J29)</f>
        <v>735.60000000000014</v>
      </c>
      <c r="K30" s="303">
        <f>SUM(K20:K29)</f>
        <v>747.45</v>
      </c>
      <c r="L30" s="303">
        <f>SUM(L20:L29)</f>
        <v>750.93000000000006</v>
      </c>
    </row>
    <row r="31" spans="1:14">
      <c r="D31" s="9"/>
      <c r="F31" s="391"/>
      <c r="G31" s="391"/>
      <c r="H31" s="391"/>
      <c r="I31" s="391"/>
      <c r="J31" s="391"/>
      <c r="K31" s="148"/>
      <c r="L31" s="970" t="s">
        <v>1044</v>
      </c>
    </row>
    <row r="481" spans="11:11">
      <c r="K481" s="1"/>
    </row>
  </sheetData>
  <mergeCells count="8">
    <mergeCell ref="A30:B30"/>
    <mergeCell ref="A18:B18"/>
    <mergeCell ref="A1:L1"/>
    <mergeCell ref="A5:B5"/>
    <mergeCell ref="A3:B4"/>
    <mergeCell ref="C3:G3"/>
    <mergeCell ref="H3:L3"/>
    <mergeCell ref="A2:L2"/>
  </mergeCells>
  <phoneticPr fontId="0" type="noConversion"/>
  <printOptions horizontalCentered="1"/>
  <pageMargins left="0.1" right="0.1" top="0.72" bottom="0.1" header="0.72" footer="0.1"/>
  <pageSetup paperSize="9" orientation="landscape" blackAndWhite="1" horizontalDpi="4294967295" r:id="rId1"/>
  <headerFooter alignWithMargins="0"/>
</worksheet>
</file>

<file path=xl/worksheets/sheet45.xml><?xml version="1.0" encoding="utf-8"?>
<worksheet xmlns="http://schemas.openxmlformats.org/spreadsheetml/2006/main" xmlns:r="http://schemas.openxmlformats.org/officeDocument/2006/relationships">
  <sheetPr codeName="Sheet56"/>
  <dimension ref="A1:M34"/>
  <sheetViews>
    <sheetView workbookViewId="0">
      <selection activeCell="M5" sqref="M5"/>
    </sheetView>
  </sheetViews>
  <sheetFormatPr defaultRowHeight="12.75"/>
  <cols>
    <col min="1" max="1" width="16" customWidth="1"/>
    <col min="2" max="13" width="9.85546875" customWidth="1"/>
  </cols>
  <sheetData>
    <row r="1" spans="1:13" ht="15.75" customHeight="1">
      <c r="A1" s="1444" t="s">
        <v>1431</v>
      </c>
      <c r="B1" s="1444"/>
      <c r="C1" s="1444"/>
      <c r="D1" s="1444"/>
      <c r="E1" s="1444"/>
      <c r="F1" s="1444"/>
      <c r="G1" s="1444"/>
      <c r="H1" s="1444"/>
      <c r="I1" s="1444"/>
      <c r="J1" s="1444"/>
      <c r="K1" s="1444"/>
      <c r="L1" s="1444"/>
      <c r="M1" s="1444"/>
    </row>
    <row r="2" spans="1:13" s="7" customFormat="1" ht="17.25" customHeight="1">
      <c r="A2" s="1719" t="str">
        <f>CONCATENATE("Area and Production of Flowers in the district of ",District!A1)</f>
        <v>Area and Production of Flowers in the district of Malda</v>
      </c>
      <c r="B2" s="1719"/>
      <c r="C2" s="1719"/>
      <c r="D2" s="1719"/>
      <c r="E2" s="1719"/>
      <c r="F2" s="1719"/>
      <c r="G2" s="1719"/>
      <c r="H2" s="1719"/>
      <c r="I2" s="1719"/>
      <c r="J2" s="1719"/>
      <c r="K2" s="1719"/>
      <c r="L2" s="1719"/>
      <c r="M2" s="1719"/>
    </row>
    <row r="3" spans="1:13" ht="22.5" customHeight="1">
      <c r="A3" s="1346" t="s">
        <v>99</v>
      </c>
      <c r="B3" s="1357" t="s">
        <v>1169</v>
      </c>
      <c r="C3" s="1357"/>
      <c r="D3" s="1357"/>
      <c r="E3" s="1357"/>
      <c r="F3" s="1357"/>
      <c r="G3" s="1358"/>
      <c r="H3" s="1356" t="s">
        <v>196</v>
      </c>
      <c r="I3" s="1364"/>
      <c r="J3" s="1364"/>
      <c r="K3" s="1364"/>
      <c r="L3" s="1364"/>
      <c r="M3" s="1365"/>
    </row>
    <row r="4" spans="1:13" ht="22.5" customHeight="1">
      <c r="A4" s="1349"/>
      <c r="B4" s="213" t="s">
        <v>1090</v>
      </c>
      <c r="C4" s="489" t="str">
        <f>District!A10</f>
        <v>2009-10</v>
      </c>
      <c r="D4" s="489" t="str">
        <f>District!B10</f>
        <v>2010-11</v>
      </c>
      <c r="E4" s="489" t="str">
        <f>District!C10</f>
        <v>2011-12</v>
      </c>
      <c r="F4" s="489" t="str">
        <f>District!D10</f>
        <v>2012-13</v>
      </c>
      <c r="G4" s="489" t="str">
        <f>District!E10</f>
        <v>2013-14</v>
      </c>
      <c r="H4" s="216" t="s">
        <v>1090</v>
      </c>
      <c r="I4" s="489" t="str">
        <f>District!A10</f>
        <v>2009-10</v>
      </c>
      <c r="J4" s="489" t="str">
        <f>District!B10</f>
        <v>2010-11</v>
      </c>
      <c r="K4" s="489" t="str">
        <f>District!C10</f>
        <v>2011-12</v>
      </c>
      <c r="L4" s="489" t="str">
        <f>District!D10</f>
        <v>2012-13</v>
      </c>
      <c r="M4" s="489" t="str">
        <f>District!E10</f>
        <v>2013-14</v>
      </c>
    </row>
    <row r="5" spans="1:13" ht="22.5" customHeight="1">
      <c r="A5" s="218" t="s">
        <v>1208</v>
      </c>
      <c r="B5" s="151" t="s">
        <v>1209</v>
      </c>
      <c r="C5" s="152" t="s">
        <v>1210</v>
      </c>
      <c r="D5" s="151" t="s">
        <v>1211</v>
      </c>
      <c r="E5" s="152" t="s">
        <v>1212</v>
      </c>
      <c r="F5" s="151" t="s">
        <v>1213</v>
      </c>
      <c r="G5" s="153" t="s">
        <v>1214</v>
      </c>
      <c r="H5" s="151" t="s">
        <v>1244</v>
      </c>
      <c r="I5" s="152" t="s">
        <v>1245</v>
      </c>
      <c r="J5" s="151" t="s">
        <v>1246</v>
      </c>
      <c r="K5" s="219" t="s">
        <v>1247</v>
      </c>
      <c r="L5" s="156" t="s">
        <v>1271</v>
      </c>
      <c r="M5" s="156" t="s">
        <v>1272</v>
      </c>
    </row>
    <row r="6" spans="1:13" ht="36.75" customHeight="1">
      <c r="A6" s="365" t="s">
        <v>197</v>
      </c>
      <c r="B6" s="591" t="s">
        <v>98</v>
      </c>
      <c r="C6" s="608" t="s">
        <v>1509</v>
      </c>
      <c r="D6" s="608" t="s">
        <v>1509</v>
      </c>
      <c r="E6" s="608" t="s">
        <v>1509</v>
      </c>
      <c r="F6" s="608" t="s">
        <v>1509</v>
      </c>
      <c r="G6" s="608" t="s">
        <v>1509</v>
      </c>
      <c r="H6" s="594" t="s">
        <v>1457</v>
      </c>
      <c r="I6" s="115" t="s">
        <v>1509</v>
      </c>
      <c r="J6" s="115" t="s">
        <v>1509</v>
      </c>
      <c r="K6" s="115" t="s">
        <v>1509</v>
      </c>
      <c r="L6" s="115" t="s">
        <v>1509</v>
      </c>
      <c r="M6" s="115" t="s">
        <v>1509</v>
      </c>
    </row>
    <row r="7" spans="1:13" ht="39" customHeight="1">
      <c r="A7" s="168" t="s">
        <v>198</v>
      </c>
      <c r="B7" s="96" t="s">
        <v>1171</v>
      </c>
      <c r="C7" s="608" t="s">
        <v>1509</v>
      </c>
      <c r="D7" s="608" t="s">
        <v>1509</v>
      </c>
      <c r="E7" s="608" t="s">
        <v>1509</v>
      </c>
      <c r="F7" s="608" t="s">
        <v>1509</v>
      </c>
      <c r="G7" s="608" t="s">
        <v>1509</v>
      </c>
      <c r="H7" s="96" t="s">
        <v>1171</v>
      </c>
      <c r="I7" s="116" t="s">
        <v>1509</v>
      </c>
      <c r="J7" s="116" t="s">
        <v>1509</v>
      </c>
      <c r="K7" s="116" t="s">
        <v>1509</v>
      </c>
      <c r="L7" s="116" t="s">
        <v>1509</v>
      </c>
      <c r="M7" s="116" t="s">
        <v>1509</v>
      </c>
    </row>
    <row r="8" spans="1:13" ht="38.25" customHeight="1">
      <c r="A8" s="168" t="s">
        <v>199</v>
      </c>
      <c r="B8" s="96" t="s">
        <v>1171</v>
      </c>
      <c r="C8" s="116">
        <v>3.0000000000000001E-3</v>
      </c>
      <c r="D8" s="41">
        <v>4.0000000000000001E-3</v>
      </c>
      <c r="E8" s="116">
        <v>6.0000000000000001E-3</v>
      </c>
      <c r="F8" s="116">
        <v>7.0000000000000001E-3</v>
      </c>
      <c r="G8" s="116">
        <v>8.0000000000000002E-3</v>
      </c>
      <c r="H8" s="96" t="s">
        <v>1171</v>
      </c>
      <c r="I8" s="352">
        <v>4.2000000000000003E-2</v>
      </c>
      <c r="J8" s="116">
        <v>1.7999999999999999E-2</v>
      </c>
      <c r="K8" s="116">
        <v>7.1999999999999995E-2</v>
      </c>
      <c r="L8" s="116">
        <v>8.5000000000000006E-2</v>
      </c>
      <c r="M8" s="116">
        <v>9.9000000000000005E-2</v>
      </c>
    </row>
    <row r="9" spans="1:13" ht="33" customHeight="1">
      <c r="A9" s="168" t="s">
        <v>200</v>
      </c>
      <c r="B9" s="96" t="s">
        <v>1171</v>
      </c>
      <c r="C9" s="116">
        <v>3.0000000000000001E-3</v>
      </c>
      <c r="D9" s="41">
        <v>3.0000000000000001E-3</v>
      </c>
      <c r="E9" s="116">
        <v>8.9999999999999993E-3</v>
      </c>
      <c r="F9" s="116">
        <v>8.9999999999999993E-3</v>
      </c>
      <c r="G9" s="1302">
        <v>0.01</v>
      </c>
      <c r="H9" s="96" t="s">
        <v>1171</v>
      </c>
      <c r="I9" s="116">
        <v>4.2000000000000003E-2</v>
      </c>
      <c r="J9" s="116">
        <v>4.2000000000000003E-2</v>
      </c>
      <c r="K9" s="352">
        <v>0.13</v>
      </c>
      <c r="L9" s="352">
        <v>0.13200000000000001</v>
      </c>
      <c r="M9" s="352">
        <v>0.15</v>
      </c>
    </row>
    <row r="10" spans="1:13" ht="33" customHeight="1">
      <c r="A10" s="168" t="s">
        <v>201</v>
      </c>
      <c r="B10" s="96" t="s">
        <v>1171</v>
      </c>
      <c r="C10" s="894">
        <v>0.05</v>
      </c>
      <c r="D10" s="894">
        <v>0.05</v>
      </c>
      <c r="E10" s="894">
        <v>0.06</v>
      </c>
      <c r="F10" s="894">
        <v>6.4000000000000001E-2</v>
      </c>
      <c r="G10" s="894">
        <v>6.6000000000000003E-2</v>
      </c>
      <c r="H10" s="313" t="s">
        <v>1174</v>
      </c>
      <c r="I10" s="352">
        <v>0.4</v>
      </c>
      <c r="J10" s="352">
        <v>0.4</v>
      </c>
      <c r="K10" s="352">
        <v>0.47899999999999998</v>
      </c>
      <c r="L10" s="352">
        <v>0.49</v>
      </c>
      <c r="M10" s="352">
        <v>0.50700000000000001</v>
      </c>
    </row>
    <row r="11" spans="1:13" ht="33" customHeight="1">
      <c r="A11" s="168" t="s">
        <v>202</v>
      </c>
      <c r="B11" s="96" t="s">
        <v>1171</v>
      </c>
      <c r="C11" s="608" t="s">
        <v>1509</v>
      </c>
      <c r="D11" s="608" t="s">
        <v>1509</v>
      </c>
      <c r="E11" s="608" t="s">
        <v>1509</v>
      </c>
      <c r="F11" s="608" t="s">
        <v>1509</v>
      </c>
      <c r="G11" s="849" t="s">
        <v>1509</v>
      </c>
      <c r="H11" s="96" t="s">
        <v>1171</v>
      </c>
      <c r="I11" s="116" t="s">
        <v>1509</v>
      </c>
      <c r="J11" s="116" t="s">
        <v>1509</v>
      </c>
      <c r="K11" s="116" t="s">
        <v>1509</v>
      </c>
      <c r="L11" s="116" t="s">
        <v>1509</v>
      </c>
      <c r="M11" s="132" t="s">
        <v>1509</v>
      </c>
    </row>
    <row r="12" spans="1:13" ht="33" customHeight="1">
      <c r="A12" s="168" t="s">
        <v>205</v>
      </c>
      <c r="B12" s="96" t="s">
        <v>1171</v>
      </c>
      <c r="C12" s="608">
        <v>4.0000000000000001E-3</v>
      </c>
      <c r="D12" s="608">
        <v>1.018</v>
      </c>
      <c r="E12" s="608">
        <v>4.0000000000000001E-3</v>
      </c>
      <c r="F12" s="608">
        <v>5.0000000000000001E-3</v>
      </c>
      <c r="G12" s="608">
        <v>5.0000000000000001E-3</v>
      </c>
      <c r="H12" s="96" t="s">
        <v>1171</v>
      </c>
      <c r="I12" s="116">
        <v>6.0000000000000001E-3</v>
      </c>
      <c r="J12" s="116">
        <v>1.393</v>
      </c>
      <c r="K12" s="116">
        <v>7.0000000000000001E-3</v>
      </c>
      <c r="L12" s="116">
        <v>8.9999999999999993E-3</v>
      </c>
      <c r="M12" s="116">
        <v>8.9999999999999993E-3</v>
      </c>
    </row>
    <row r="13" spans="1:13" ht="33" customHeight="1">
      <c r="A13" s="364" t="s">
        <v>1173</v>
      </c>
      <c r="B13" s="109" t="s">
        <v>1171</v>
      </c>
      <c r="C13" s="117">
        <v>2.8000000000000001E-2</v>
      </c>
      <c r="D13" s="117">
        <v>2.8000000000000001E-2</v>
      </c>
      <c r="E13" s="117">
        <v>2.8000000000000001E-2</v>
      </c>
      <c r="F13" s="353">
        <v>0.03</v>
      </c>
      <c r="G13" s="353">
        <v>3.1E-2</v>
      </c>
      <c r="H13" s="1068" t="s">
        <v>1171</v>
      </c>
      <c r="I13" s="353">
        <v>0.03</v>
      </c>
      <c r="J13" s="117">
        <v>3.9E-2</v>
      </c>
      <c r="K13" s="117">
        <v>4.2000000000000003E-2</v>
      </c>
      <c r="L13" s="117">
        <v>4.5999999999999999E-2</v>
      </c>
      <c r="M13" s="117">
        <v>4.5999999999999999E-2</v>
      </c>
    </row>
    <row r="14" spans="1:13" ht="12.75" customHeight="1">
      <c r="A14" s="1720"/>
      <c r="B14" s="1721"/>
      <c r="M14" s="900" t="s">
        <v>1044</v>
      </c>
    </row>
    <row r="15" spans="1:13" ht="12.75" customHeight="1"/>
    <row r="16" spans="1:13" ht="12.75" customHeight="1"/>
    <row r="17" spans="2:7" ht="12.75" customHeight="1"/>
    <row r="18" spans="2:7" ht="12.75" customHeight="1"/>
    <row r="19" spans="2:7" ht="12.75" customHeight="1"/>
    <row r="20" spans="2:7" ht="12.75" customHeight="1"/>
    <row r="21" spans="2:7" ht="12.75" customHeight="1"/>
    <row r="22" spans="2:7" ht="12.75" customHeight="1"/>
    <row r="23" spans="2:7" ht="12.75" customHeight="1"/>
    <row r="24" spans="2:7" ht="12.75" customHeight="1"/>
    <row r="25" spans="2:7" ht="12.75" customHeight="1">
      <c r="B25" s="1"/>
      <c r="C25" s="1"/>
      <c r="D25" s="1"/>
      <c r="E25" s="1"/>
      <c r="F25" s="1"/>
      <c r="G25" s="1"/>
    </row>
    <row r="26" spans="2:7" ht="12.75" customHeight="1"/>
    <row r="27" spans="2:7" ht="12.75" customHeight="1"/>
    <row r="28" spans="2:7" ht="12.75" customHeight="1"/>
    <row r="29" spans="2:7" ht="12.75" customHeight="1"/>
    <row r="30" spans="2:7" ht="12.75" customHeight="1"/>
    <row r="31" spans="2:7" ht="12.75" customHeight="1"/>
    <row r="32" spans="2:7" ht="12.75" customHeight="1"/>
    <row r="33" ht="12.75" customHeight="1"/>
    <row r="34" ht="12.75" customHeight="1"/>
  </sheetData>
  <mergeCells count="6">
    <mergeCell ref="A14:B14"/>
    <mergeCell ref="A1:M1"/>
    <mergeCell ref="A2:M2"/>
    <mergeCell ref="B3:G3"/>
    <mergeCell ref="A3:A4"/>
    <mergeCell ref="H3:M3"/>
  </mergeCells>
  <phoneticPr fontId="0" type="noConversion"/>
  <printOptions horizontalCentered="1"/>
  <pageMargins left="0.1" right="0.1" top="0.88" bottom="0.1" header="0.16" footer="0.1"/>
  <pageSetup paperSize="9" orientation="landscape" blackAndWhite="1" horizontalDpi="4294967295" r:id="rId1"/>
  <headerFooter alignWithMargins="0"/>
</worksheet>
</file>

<file path=xl/worksheets/sheet46.xml><?xml version="1.0" encoding="utf-8"?>
<worksheet xmlns="http://schemas.openxmlformats.org/spreadsheetml/2006/main" xmlns:r="http://schemas.openxmlformats.org/officeDocument/2006/relationships">
  <sheetPr codeName="Sheet36"/>
  <dimension ref="A1:U24"/>
  <sheetViews>
    <sheetView topLeftCell="A13" workbookViewId="0">
      <selection activeCell="M5" sqref="M5"/>
    </sheetView>
  </sheetViews>
  <sheetFormatPr defaultRowHeight="12.75"/>
  <cols>
    <col min="1" max="1" width="30.140625" customWidth="1"/>
    <col min="2" max="2" width="15.42578125" customWidth="1"/>
    <col min="3" max="7" width="15.140625" customWidth="1"/>
  </cols>
  <sheetData>
    <row r="1" spans="1:21" ht="13.5" customHeight="1">
      <c r="A1" s="1363" t="s">
        <v>1432</v>
      </c>
      <c r="B1" s="1363"/>
      <c r="C1" s="1363"/>
      <c r="D1" s="1363"/>
      <c r="E1" s="1363"/>
      <c r="F1" s="1363"/>
      <c r="G1" s="1363"/>
      <c r="H1" s="148"/>
      <c r="I1" s="148"/>
      <c r="J1" s="148"/>
      <c r="K1" s="148"/>
      <c r="L1" s="148"/>
      <c r="M1" s="148"/>
      <c r="N1" s="148"/>
      <c r="O1" s="148"/>
      <c r="P1" s="7"/>
      <c r="Q1" s="7"/>
      <c r="R1" s="7"/>
      <c r="S1" s="7"/>
      <c r="T1" s="7"/>
      <c r="U1" s="7"/>
    </row>
    <row r="2" spans="1:21" ht="33.75" customHeight="1">
      <c r="A2" s="1477" t="str">
        <f>CONCATENATE("Classification of Forest Area, Out-turn of Forest Produce, Revenue and Expenditure 
of Forest Department in the district of ",District!A1)</f>
        <v>Classification of Forest Area, Out-turn of Forest Produce, Revenue and Expenditure 
of Forest Department in the district of Malda</v>
      </c>
      <c r="B2" s="1477"/>
      <c r="C2" s="1477"/>
      <c r="D2" s="1477"/>
      <c r="E2" s="1477"/>
      <c r="F2" s="1477"/>
      <c r="G2" s="1477"/>
      <c r="H2" s="32"/>
      <c r="I2" s="32"/>
      <c r="J2" s="32"/>
      <c r="K2" s="32"/>
      <c r="L2" s="32"/>
    </row>
    <row r="3" spans="1:21" ht="15" customHeight="1">
      <c r="A3" s="240" t="s">
        <v>206</v>
      </c>
      <c r="B3" s="240" t="s">
        <v>1090</v>
      </c>
      <c r="C3" s="489" t="str">
        <f>District!A10</f>
        <v>2009-10</v>
      </c>
      <c r="D3" s="489" t="str">
        <f>District!B10</f>
        <v>2010-11</v>
      </c>
      <c r="E3" s="489" t="str">
        <f>District!C10</f>
        <v>2011-12</v>
      </c>
      <c r="F3" s="489" t="str">
        <f>District!D10</f>
        <v>2012-13</v>
      </c>
      <c r="G3" s="489" t="str">
        <f>District!E10</f>
        <v>2013-14</v>
      </c>
    </row>
    <row r="4" spans="1:21" ht="15" customHeight="1">
      <c r="A4" s="151" t="s">
        <v>1208</v>
      </c>
      <c r="B4" s="151" t="s">
        <v>1209</v>
      </c>
      <c r="C4" s="151" t="s">
        <v>1210</v>
      </c>
      <c r="D4" s="151" t="s">
        <v>1211</v>
      </c>
      <c r="E4" s="151" t="s">
        <v>1212</v>
      </c>
      <c r="F4" s="151" t="s">
        <v>1213</v>
      </c>
      <c r="G4" s="153" t="s">
        <v>1214</v>
      </c>
    </row>
    <row r="5" spans="1:21" ht="21" customHeight="1">
      <c r="A5" s="818" t="s">
        <v>1416</v>
      </c>
      <c r="B5" s="477"/>
      <c r="C5" s="477"/>
      <c r="D5" s="477"/>
      <c r="E5" s="477"/>
      <c r="F5" s="1061"/>
      <c r="G5" s="505"/>
    </row>
    <row r="6" spans="1:21" ht="21" customHeight="1">
      <c r="A6" s="441" t="s">
        <v>207</v>
      </c>
      <c r="B6" s="478" t="s">
        <v>1614</v>
      </c>
      <c r="C6" s="98">
        <v>773.95</v>
      </c>
      <c r="D6" s="116">
        <v>773.95</v>
      </c>
      <c r="E6" s="116">
        <v>773.95</v>
      </c>
      <c r="F6" s="116">
        <v>773.95</v>
      </c>
      <c r="G6" s="116">
        <v>773.95</v>
      </c>
    </row>
    <row r="7" spans="1:21" ht="21" customHeight="1">
      <c r="A7" s="441" t="s">
        <v>208</v>
      </c>
      <c r="B7" s="592" t="s">
        <v>1171</v>
      </c>
      <c r="C7" s="98">
        <v>373.04</v>
      </c>
      <c r="D7" s="116">
        <v>373.04</v>
      </c>
      <c r="E7" s="116">
        <v>373.04</v>
      </c>
      <c r="F7" s="116">
        <v>373.04</v>
      </c>
      <c r="G7" s="116">
        <v>373.04</v>
      </c>
    </row>
    <row r="8" spans="1:21" ht="21" customHeight="1">
      <c r="A8" s="441" t="s">
        <v>209</v>
      </c>
      <c r="B8" s="592" t="s">
        <v>1171</v>
      </c>
      <c r="C8" s="98">
        <v>556.04999999999995</v>
      </c>
      <c r="D8" s="116">
        <v>556.04999999999995</v>
      </c>
      <c r="E8" s="129">
        <v>556.04999999999995</v>
      </c>
      <c r="F8" s="129">
        <v>556.04999999999995</v>
      </c>
      <c r="G8" s="129">
        <v>556.04999999999995</v>
      </c>
    </row>
    <row r="9" spans="1:21" ht="21" customHeight="1">
      <c r="A9" s="441" t="s">
        <v>210</v>
      </c>
      <c r="B9" s="592" t="s">
        <v>1171</v>
      </c>
      <c r="C9" s="112" t="s">
        <v>1509</v>
      </c>
      <c r="D9" s="112" t="s">
        <v>1509</v>
      </c>
      <c r="E9" s="116" t="s">
        <v>1509</v>
      </c>
      <c r="F9" s="628" t="s">
        <v>1509</v>
      </c>
      <c r="G9" s="534" t="s">
        <v>1509</v>
      </c>
    </row>
    <row r="10" spans="1:21" ht="21" customHeight="1">
      <c r="A10" s="441" t="s">
        <v>619</v>
      </c>
      <c r="B10" s="592" t="s">
        <v>1171</v>
      </c>
      <c r="C10" s="112" t="s">
        <v>1509</v>
      </c>
      <c r="D10" s="112" t="s">
        <v>1509</v>
      </c>
      <c r="E10" s="116" t="s">
        <v>1509</v>
      </c>
      <c r="F10" s="628" t="s">
        <v>1509</v>
      </c>
      <c r="G10" s="534" t="s">
        <v>1509</v>
      </c>
    </row>
    <row r="11" spans="1:21" ht="21" customHeight="1">
      <c r="A11" s="441" t="s">
        <v>213</v>
      </c>
      <c r="B11" s="592" t="s">
        <v>1171</v>
      </c>
      <c r="C11" s="112" t="s">
        <v>1509</v>
      </c>
      <c r="D11" s="112" t="s">
        <v>1509</v>
      </c>
      <c r="E11" s="116" t="s">
        <v>1509</v>
      </c>
      <c r="F11" s="628" t="s">
        <v>1509</v>
      </c>
      <c r="G11" s="534" t="s">
        <v>1509</v>
      </c>
    </row>
    <row r="12" spans="1:21" ht="21" customHeight="1">
      <c r="A12" s="441" t="s">
        <v>212</v>
      </c>
      <c r="B12" s="592" t="s">
        <v>1171</v>
      </c>
      <c r="C12" s="112" t="s">
        <v>1509</v>
      </c>
      <c r="D12" s="112" t="s">
        <v>1509</v>
      </c>
      <c r="E12" s="116" t="s">
        <v>1509</v>
      </c>
      <c r="F12" s="628" t="s">
        <v>1509</v>
      </c>
      <c r="G12" s="534" t="s">
        <v>1509</v>
      </c>
    </row>
    <row r="13" spans="1:21" ht="21" customHeight="1">
      <c r="A13" s="441" t="s">
        <v>211</v>
      </c>
      <c r="B13" s="592" t="s">
        <v>1171</v>
      </c>
      <c r="C13" s="119" t="s">
        <v>1509</v>
      </c>
      <c r="D13" s="119" t="s">
        <v>1509</v>
      </c>
      <c r="E13" s="610" t="s">
        <v>1509</v>
      </c>
      <c r="F13" s="628" t="s">
        <v>1509</v>
      </c>
      <c r="G13" s="534" t="s">
        <v>1509</v>
      </c>
    </row>
    <row r="14" spans="1:21" ht="15" customHeight="1">
      <c r="A14" s="426" t="s">
        <v>1233</v>
      </c>
      <c r="B14" s="276"/>
      <c r="C14" s="303">
        <f>SUM(C6:C13)</f>
        <v>1703.04</v>
      </c>
      <c r="D14" s="303">
        <f>SUM(D6:D13)</f>
        <v>1703.04</v>
      </c>
      <c r="E14" s="303">
        <f>SUM(E6:E13)</f>
        <v>1703.04</v>
      </c>
      <c r="F14" s="303">
        <f>SUM(F6:F13)</f>
        <v>1703.04</v>
      </c>
      <c r="G14" s="303">
        <f>SUM(G6:G13)</f>
        <v>1703.04</v>
      </c>
    </row>
    <row r="15" spans="1:21" ht="21" customHeight="1">
      <c r="A15" s="818" t="s">
        <v>214</v>
      </c>
      <c r="B15" s="479"/>
      <c r="C15" s="477"/>
      <c r="D15" s="477"/>
      <c r="E15" s="477"/>
      <c r="F15" s="505"/>
      <c r="G15" s="505"/>
    </row>
    <row r="16" spans="1:21" ht="26.25" customHeight="1">
      <c r="A16" s="441" t="s">
        <v>218</v>
      </c>
      <c r="B16" s="596" t="s">
        <v>38</v>
      </c>
      <c r="C16" s="352">
        <v>0.46</v>
      </c>
      <c r="D16" s="116">
        <v>0.129</v>
      </c>
      <c r="E16" s="116">
        <v>7.0999999999999994E-2</v>
      </c>
      <c r="F16" s="116" t="s">
        <v>1509</v>
      </c>
      <c r="G16" s="116">
        <v>0.496</v>
      </c>
    </row>
    <row r="17" spans="1:7" ht="21" customHeight="1">
      <c r="A17" s="441" t="s">
        <v>219</v>
      </c>
      <c r="B17" s="592" t="s">
        <v>1171</v>
      </c>
      <c r="C17" s="116">
        <v>4.1000000000000002E-2</v>
      </c>
      <c r="D17" s="352">
        <v>0.31</v>
      </c>
      <c r="E17" s="352">
        <v>1.2E-2</v>
      </c>
      <c r="F17" s="352" t="s">
        <v>1509</v>
      </c>
      <c r="G17" s="352">
        <v>6.6000000000000003E-2</v>
      </c>
    </row>
    <row r="18" spans="1:7" ht="21" customHeight="1">
      <c r="A18" s="441" t="s">
        <v>220</v>
      </c>
      <c r="B18" s="592" t="s">
        <v>1171</v>
      </c>
      <c r="C18" s="534" t="s">
        <v>1509</v>
      </c>
      <c r="D18" s="116" t="s">
        <v>1509</v>
      </c>
      <c r="E18" s="116" t="s">
        <v>1509</v>
      </c>
      <c r="F18" s="116" t="s">
        <v>1509</v>
      </c>
      <c r="G18" s="116" t="s">
        <v>1509</v>
      </c>
    </row>
    <row r="19" spans="1:7" ht="21" customHeight="1">
      <c r="A19" s="441" t="s">
        <v>221</v>
      </c>
      <c r="B19" s="96" t="s">
        <v>1093</v>
      </c>
      <c r="C19" s="116">
        <v>107</v>
      </c>
      <c r="D19" s="116" t="s">
        <v>1509</v>
      </c>
      <c r="E19" s="116" t="s">
        <v>1509</v>
      </c>
      <c r="F19" s="116" t="s">
        <v>1509</v>
      </c>
      <c r="G19" s="116" t="s">
        <v>1509</v>
      </c>
    </row>
    <row r="20" spans="1:7" ht="21" customHeight="1">
      <c r="A20" s="441" t="s">
        <v>222</v>
      </c>
      <c r="B20" s="592" t="s">
        <v>1171</v>
      </c>
      <c r="C20" s="534" t="s">
        <v>1509</v>
      </c>
      <c r="D20" s="116" t="s">
        <v>1509</v>
      </c>
      <c r="E20" s="116" t="s">
        <v>1509</v>
      </c>
      <c r="F20" s="116" t="s">
        <v>1509</v>
      </c>
      <c r="G20" s="116" t="s">
        <v>1509</v>
      </c>
    </row>
    <row r="21" spans="1:7" ht="21" customHeight="1">
      <c r="A21" s="819" t="s">
        <v>224</v>
      </c>
      <c r="B21" s="480"/>
      <c r="C21" s="116"/>
      <c r="D21" s="116"/>
      <c r="E21" s="116"/>
      <c r="F21" s="116"/>
      <c r="G21" s="116"/>
    </row>
    <row r="22" spans="1:7" ht="21" customHeight="1">
      <c r="A22" s="441" t="s">
        <v>225</v>
      </c>
      <c r="B22" s="595" t="s">
        <v>39</v>
      </c>
      <c r="C22" s="116">
        <v>10882</v>
      </c>
      <c r="D22" s="116">
        <v>1682</v>
      </c>
      <c r="E22" s="116">
        <v>17761</v>
      </c>
      <c r="F22" s="673">
        <v>15088.449000000001</v>
      </c>
      <c r="G22" s="673">
        <v>8284</v>
      </c>
    </row>
    <row r="23" spans="1:7" ht="21" customHeight="1">
      <c r="A23" s="481" t="s">
        <v>226</v>
      </c>
      <c r="B23" s="593" t="s">
        <v>1171</v>
      </c>
      <c r="C23" s="117">
        <v>34705</v>
      </c>
      <c r="D23" s="117">
        <v>38644</v>
      </c>
      <c r="E23" s="117">
        <v>38111</v>
      </c>
      <c r="F23" s="674">
        <v>7905.1379999999999</v>
      </c>
      <c r="G23" s="674">
        <v>7721</v>
      </c>
    </row>
    <row r="24" spans="1:7">
      <c r="C24" s="236"/>
      <c r="D24" s="236"/>
      <c r="E24" s="236"/>
      <c r="F24" s="236"/>
      <c r="G24" s="934" t="s">
        <v>1422</v>
      </c>
    </row>
  </sheetData>
  <mergeCells count="2">
    <mergeCell ref="A2:G2"/>
    <mergeCell ref="A1:G1"/>
  </mergeCells>
  <phoneticPr fontId="0" type="noConversion"/>
  <printOptions horizontalCentered="1"/>
  <pageMargins left="0.1" right="0.1" top="0.62" bottom="0.1" header="0.5" footer="0.5"/>
  <pageSetup paperSize="9" orientation="landscape" blackAndWhite="1" horizontalDpi="4294967295" r:id="rId1"/>
  <headerFooter alignWithMargins="0"/>
</worksheet>
</file>

<file path=xl/worksheets/sheet47.xml><?xml version="1.0" encoding="utf-8"?>
<worksheet xmlns="http://schemas.openxmlformats.org/spreadsheetml/2006/main" xmlns:r="http://schemas.openxmlformats.org/officeDocument/2006/relationships">
  <sheetPr codeName="Sheet57"/>
  <dimension ref="A1:K33"/>
  <sheetViews>
    <sheetView workbookViewId="0">
      <selection activeCell="M5" sqref="M5"/>
    </sheetView>
  </sheetViews>
  <sheetFormatPr defaultRowHeight="12.75"/>
  <cols>
    <col min="1" max="1" width="13.85546875" customWidth="1"/>
    <col min="2" max="2" width="13.28515625" customWidth="1"/>
    <col min="3" max="3" width="14" customWidth="1"/>
    <col min="4" max="4" width="12.85546875" customWidth="1"/>
    <col min="5" max="5" width="9.28515625" customWidth="1"/>
    <col min="6" max="6" width="15.42578125" customWidth="1"/>
    <col min="7" max="7" width="11.5703125" customWidth="1"/>
    <col min="8" max="8" width="11.7109375" customWidth="1"/>
    <col min="9" max="9" width="10.85546875" customWidth="1"/>
    <col min="10" max="10" width="11.42578125" customWidth="1"/>
    <col min="11" max="11" width="13.140625" customWidth="1"/>
  </cols>
  <sheetData>
    <row r="1" spans="1:11" ht="12.75" customHeight="1">
      <c r="A1" s="1723" t="s">
        <v>1433</v>
      </c>
      <c r="B1" s="1723"/>
      <c r="C1" s="1723"/>
      <c r="D1" s="1723"/>
      <c r="E1" s="1723"/>
      <c r="F1" s="1723"/>
      <c r="G1" s="1723"/>
      <c r="H1" s="1723"/>
      <c r="I1" s="1723"/>
      <c r="J1" s="1723"/>
      <c r="K1" s="1723"/>
    </row>
    <row r="2" spans="1:11" ht="15" customHeight="1">
      <c r="A2" s="1374" t="str">
        <f>CONCATENATE("Area Irrigated by different sources in the district of ",District!A1)</f>
        <v>Area Irrigated by different sources in the district of Malda</v>
      </c>
      <c r="B2" s="1374"/>
      <c r="C2" s="1374"/>
      <c r="D2" s="1374"/>
      <c r="E2" s="1374"/>
      <c r="F2" s="1374"/>
      <c r="G2" s="1374"/>
      <c r="H2" s="1374"/>
      <c r="I2" s="1374"/>
      <c r="J2" s="1374"/>
      <c r="K2" s="1374"/>
    </row>
    <row r="3" spans="1:11" ht="12.75" customHeight="1">
      <c r="B3" s="4"/>
      <c r="C3" s="4"/>
      <c r="D3" s="4"/>
      <c r="E3" s="4"/>
      <c r="F3" s="4"/>
      <c r="G3" s="4"/>
      <c r="H3" s="4"/>
      <c r="I3" s="4"/>
      <c r="J3" s="159"/>
      <c r="K3" s="159" t="s">
        <v>1612</v>
      </c>
    </row>
    <row r="4" spans="1:11" ht="15.75" customHeight="1">
      <c r="A4" s="1348" t="s">
        <v>1089</v>
      </c>
      <c r="B4" s="1357" t="s">
        <v>234</v>
      </c>
      <c r="C4" s="1357"/>
      <c r="D4" s="1357"/>
      <c r="E4" s="1357"/>
      <c r="F4" s="1357"/>
      <c r="G4" s="1357"/>
      <c r="H4" s="1357"/>
      <c r="I4" s="1357"/>
      <c r="J4" s="1357"/>
      <c r="K4" s="1358"/>
    </row>
    <row r="5" spans="1:11" ht="15.75" customHeight="1">
      <c r="A5" s="1349"/>
      <c r="B5" s="214" t="s">
        <v>40</v>
      </c>
      <c r="C5" s="240" t="s">
        <v>227</v>
      </c>
      <c r="D5" s="214" t="s">
        <v>228</v>
      </c>
      <c r="E5" s="240" t="s">
        <v>229</v>
      </c>
      <c r="F5" s="214" t="s">
        <v>230</v>
      </c>
      <c r="G5" s="240" t="s">
        <v>231</v>
      </c>
      <c r="H5" s="214" t="s">
        <v>232</v>
      </c>
      <c r="I5" s="240" t="s">
        <v>233</v>
      </c>
      <c r="J5" s="216" t="s">
        <v>1526</v>
      </c>
      <c r="K5" s="253" t="s">
        <v>1233</v>
      </c>
    </row>
    <row r="6" spans="1:11" ht="13.5" customHeight="1">
      <c r="A6" s="151" t="s">
        <v>1208</v>
      </c>
      <c r="B6" s="152" t="s">
        <v>1209</v>
      </c>
      <c r="C6" s="151" t="s">
        <v>1210</v>
      </c>
      <c r="D6" s="152" t="s">
        <v>1211</v>
      </c>
      <c r="E6" s="151" t="s">
        <v>1212</v>
      </c>
      <c r="F6" s="152" t="s">
        <v>1213</v>
      </c>
      <c r="G6" s="151" t="s">
        <v>1214</v>
      </c>
      <c r="H6" s="152" t="s">
        <v>1244</v>
      </c>
      <c r="I6" s="151" t="s">
        <v>1245</v>
      </c>
      <c r="J6" s="155" t="s">
        <v>1246</v>
      </c>
      <c r="K6" s="156" t="s">
        <v>1247</v>
      </c>
    </row>
    <row r="7" spans="1:11" ht="21" customHeight="1">
      <c r="A7" s="180" t="s">
        <v>1577</v>
      </c>
      <c r="B7" s="41" t="s">
        <v>1509</v>
      </c>
      <c r="C7" s="352">
        <v>1.333</v>
      </c>
      <c r="D7" s="351">
        <v>6.5679999999999996</v>
      </c>
      <c r="E7" s="352">
        <v>0.45</v>
      </c>
      <c r="F7" s="351">
        <v>0.88600000000000001</v>
      </c>
      <c r="G7" s="352">
        <v>82.813000000000002</v>
      </c>
      <c r="H7" s="351">
        <v>9.423</v>
      </c>
      <c r="I7" s="116" t="s">
        <v>1509</v>
      </c>
      <c r="J7" s="1236">
        <v>24.99</v>
      </c>
      <c r="K7" s="728">
        <f>SUM(B7:J7)</f>
        <v>126.46299999999999</v>
      </c>
    </row>
    <row r="8" spans="1:11" ht="21" customHeight="1">
      <c r="A8" s="180" t="s">
        <v>1576</v>
      </c>
      <c r="B8" s="41" t="s">
        <v>1509</v>
      </c>
      <c r="C8" s="352">
        <v>1.323</v>
      </c>
      <c r="D8" s="351">
        <v>6.6059999999999999</v>
      </c>
      <c r="E8" s="352">
        <v>0.45900000000000002</v>
      </c>
      <c r="F8" s="351">
        <v>0.90300000000000002</v>
      </c>
      <c r="G8" s="352">
        <v>83.003</v>
      </c>
      <c r="H8" s="351">
        <v>9.4710000000000001</v>
      </c>
      <c r="I8" s="1090" t="s">
        <v>1509</v>
      </c>
      <c r="J8" s="352">
        <v>24.998999999999999</v>
      </c>
      <c r="K8" s="728">
        <f>SUM(B8:J8)</f>
        <v>126.764</v>
      </c>
    </row>
    <row r="9" spans="1:11" ht="21" customHeight="1">
      <c r="A9" s="168" t="s">
        <v>267</v>
      </c>
      <c r="B9" s="121" t="s">
        <v>1509</v>
      </c>
      <c r="C9" s="512">
        <v>1.391</v>
      </c>
      <c r="D9" s="512">
        <v>6.57</v>
      </c>
      <c r="E9" s="512">
        <v>0.46800000000000003</v>
      </c>
      <c r="F9" s="512">
        <v>1.248</v>
      </c>
      <c r="G9" s="512">
        <v>83.242000000000004</v>
      </c>
      <c r="H9" s="512">
        <v>9.5960000000000001</v>
      </c>
      <c r="I9" s="512" t="s">
        <v>1509</v>
      </c>
      <c r="J9" s="352">
        <v>25.029</v>
      </c>
      <c r="K9" s="728">
        <f>SUM(B9:J9)</f>
        <v>127.54400000000001</v>
      </c>
    </row>
    <row r="10" spans="1:11" ht="21" customHeight="1">
      <c r="A10" s="168" t="s">
        <v>1094</v>
      </c>
      <c r="B10" s="121" t="s">
        <v>1509</v>
      </c>
      <c r="C10" s="512">
        <v>1.389</v>
      </c>
      <c r="D10" s="512">
        <v>6.585</v>
      </c>
      <c r="E10" s="512">
        <v>0.47699999999999998</v>
      </c>
      <c r="F10" s="512">
        <v>1.256</v>
      </c>
      <c r="G10" s="512">
        <v>83.275000000000006</v>
      </c>
      <c r="H10" s="512">
        <v>9.6059999999999999</v>
      </c>
      <c r="I10" s="512" t="s">
        <v>1509</v>
      </c>
      <c r="J10" s="352">
        <v>25.032</v>
      </c>
      <c r="K10" s="728">
        <f>SUM(B10:J10)</f>
        <v>127.61999999999999</v>
      </c>
    </row>
    <row r="11" spans="1:11" ht="21" customHeight="1">
      <c r="A11" s="364" t="s">
        <v>1595</v>
      </c>
      <c r="B11" s="117" t="s">
        <v>1509</v>
      </c>
      <c r="C11" s="729">
        <v>1.393</v>
      </c>
      <c r="D11" s="729">
        <v>6.59</v>
      </c>
      <c r="E11" s="729">
        <v>0.48899999999999999</v>
      </c>
      <c r="F11" s="729">
        <v>1.3540000000000001</v>
      </c>
      <c r="G11" s="729">
        <v>83.305999999999997</v>
      </c>
      <c r="H11" s="729">
        <v>9.6140000000000008</v>
      </c>
      <c r="I11" s="729" t="s">
        <v>1509</v>
      </c>
      <c r="J11" s="729">
        <v>25.036999999999999</v>
      </c>
      <c r="K11" s="698">
        <f>SUM(B11:J11)</f>
        <v>127.78300000000002</v>
      </c>
    </row>
    <row r="12" spans="1:11">
      <c r="A12" s="995" t="s">
        <v>299</v>
      </c>
      <c r="B12" s="315" t="s">
        <v>300</v>
      </c>
      <c r="C12" s="315"/>
      <c r="D12" s="989" t="s">
        <v>304</v>
      </c>
      <c r="E12" s="315" t="s">
        <v>368</v>
      </c>
      <c r="F12" s="25"/>
      <c r="G12" s="900" t="s">
        <v>117</v>
      </c>
      <c r="H12" s="257" t="s">
        <v>41</v>
      </c>
      <c r="J12" s="257"/>
      <c r="K12" s="166"/>
    </row>
    <row r="13" spans="1:11">
      <c r="A13" s="989" t="s">
        <v>1321</v>
      </c>
      <c r="B13" s="315" t="s">
        <v>301</v>
      </c>
      <c r="C13" s="315"/>
      <c r="D13" s="989" t="s">
        <v>312</v>
      </c>
      <c r="E13" s="315" t="s">
        <v>369</v>
      </c>
      <c r="F13" s="25"/>
      <c r="G13" s="315"/>
      <c r="H13" s="917" t="s">
        <v>42</v>
      </c>
      <c r="J13" s="25"/>
      <c r="K13" s="139"/>
    </row>
    <row r="14" spans="1:11">
      <c r="A14" s="989" t="s">
        <v>302</v>
      </c>
      <c r="B14" s="315" t="s">
        <v>303</v>
      </c>
      <c r="C14" s="315"/>
      <c r="D14" s="989" t="s">
        <v>235</v>
      </c>
      <c r="E14" s="315" t="s">
        <v>370</v>
      </c>
      <c r="F14" s="25"/>
      <c r="G14" s="315"/>
      <c r="H14" s="257" t="s">
        <v>43</v>
      </c>
      <c r="J14" s="25"/>
      <c r="K14" s="166"/>
    </row>
    <row r="15" spans="1:11">
      <c r="A15" s="314"/>
      <c r="B15" s="312"/>
      <c r="C15" s="312"/>
      <c r="D15" s="312"/>
    </row>
    <row r="16" spans="1:11">
      <c r="A16" s="314"/>
      <c r="B16" s="312"/>
      <c r="C16" s="312"/>
      <c r="D16" s="312"/>
    </row>
    <row r="17" spans="1:11">
      <c r="A17" s="312"/>
      <c r="B17" s="314"/>
      <c r="C17" s="312"/>
      <c r="D17" s="312"/>
    </row>
    <row r="18" spans="1:11" ht="12" customHeight="1">
      <c r="B18" s="1430" t="s">
        <v>1434</v>
      </c>
      <c r="C18" s="1430"/>
      <c r="D18" s="1430"/>
      <c r="E18" s="1430"/>
      <c r="F18" s="1430"/>
      <c r="G18" s="1430"/>
      <c r="H18" s="1430"/>
      <c r="I18" s="1430"/>
      <c r="J18" s="1430"/>
      <c r="K18" s="550"/>
    </row>
    <row r="19" spans="1:11" ht="15" customHeight="1">
      <c r="B19" s="1374" t="str">
        <f>CONCATENATE("Sources of Irrigation in the district of ",District!A1)</f>
        <v>Sources of Irrigation in the district of Malda</v>
      </c>
      <c r="C19" s="1374"/>
      <c r="D19" s="1374"/>
      <c r="E19" s="1374"/>
      <c r="F19" s="1374"/>
      <c r="G19" s="1374"/>
      <c r="H19" s="1374"/>
      <c r="I19" s="1374"/>
      <c r="J19" s="1374"/>
      <c r="K19" s="775"/>
    </row>
    <row r="20" spans="1:11" ht="12.75" customHeight="1">
      <c r="J20" s="162" t="s">
        <v>1253</v>
      </c>
    </row>
    <row r="21" spans="1:11" ht="16.5" customHeight="1">
      <c r="B21" s="525" t="s">
        <v>1089</v>
      </c>
      <c r="C21" s="240" t="s">
        <v>227</v>
      </c>
      <c r="D21" s="217" t="s">
        <v>228</v>
      </c>
      <c r="E21" s="240" t="s">
        <v>229</v>
      </c>
      <c r="F21" s="240" t="s">
        <v>230</v>
      </c>
      <c r="G21" s="216" t="s">
        <v>231</v>
      </c>
      <c r="H21" s="217" t="s">
        <v>232</v>
      </c>
      <c r="I21" s="240" t="s">
        <v>233</v>
      </c>
      <c r="J21" s="261" t="s">
        <v>1526</v>
      </c>
    </row>
    <row r="22" spans="1:11" ht="16.5" customHeight="1">
      <c r="B22" s="218" t="s">
        <v>1208</v>
      </c>
      <c r="C22" s="151" t="s">
        <v>1209</v>
      </c>
      <c r="D22" s="152" t="s">
        <v>1210</v>
      </c>
      <c r="E22" s="151" t="s">
        <v>1211</v>
      </c>
      <c r="F22" s="151" t="s">
        <v>1212</v>
      </c>
      <c r="G22" s="153" t="s">
        <v>1213</v>
      </c>
      <c r="H22" s="152" t="s">
        <v>1214</v>
      </c>
      <c r="I22" s="151" t="s">
        <v>1244</v>
      </c>
      <c r="J22" s="151" t="s">
        <v>1245</v>
      </c>
    </row>
    <row r="23" spans="1:11" ht="21" customHeight="1">
      <c r="B23" s="168" t="s">
        <v>1577</v>
      </c>
      <c r="C23" s="115">
        <v>255</v>
      </c>
      <c r="D23" s="115">
        <v>326</v>
      </c>
      <c r="E23" s="98">
        <v>39</v>
      </c>
      <c r="F23" s="116">
        <v>145</v>
      </c>
      <c r="G23" s="98">
        <v>33459</v>
      </c>
      <c r="H23" s="41">
        <v>483</v>
      </c>
      <c r="I23" s="534" t="s">
        <v>1509</v>
      </c>
      <c r="J23" s="116">
        <v>446</v>
      </c>
    </row>
    <row r="24" spans="1:11" ht="21" customHeight="1">
      <c r="B24" s="168" t="s">
        <v>1576</v>
      </c>
      <c r="C24" s="116">
        <v>255</v>
      </c>
      <c r="D24" s="116">
        <v>326</v>
      </c>
      <c r="E24" s="98">
        <v>39</v>
      </c>
      <c r="F24" s="116">
        <v>145</v>
      </c>
      <c r="G24" s="98">
        <v>33515</v>
      </c>
      <c r="H24" s="41">
        <v>483</v>
      </c>
      <c r="I24" s="116" t="s">
        <v>1509</v>
      </c>
      <c r="J24" s="116">
        <v>446</v>
      </c>
    </row>
    <row r="25" spans="1:11" ht="21" customHeight="1">
      <c r="B25" s="168" t="s">
        <v>267</v>
      </c>
      <c r="C25" s="116">
        <v>255</v>
      </c>
      <c r="D25" s="116">
        <v>326</v>
      </c>
      <c r="E25" s="41">
        <v>39</v>
      </c>
      <c r="F25" s="116">
        <v>192</v>
      </c>
      <c r="G25" s="41">
        <v>33595</v>
      </c>
      <c r="H25" s="121">
        <v>483</v>
      </c>
      <c r="I25" s="121" t="s">
        <v>1509</v>
      </c>
      <c r="J25" s="116">
        <v>446</v>
      </c>
    </row>
    <row r="26" spans="1:11" ht="21" customHeight="1">
      <c r="B26" s="168" t="s">
        <v>1094</v>
      </c>
      <c r="C26" s="116">
        <v>255</v>
      </c>
      <c r="D26" s="116">
        <v>326</v>
      </c>
      <c r="E26" s="41">
        <v>39</v>
      </c>
      <c r="F26" s="116">
        <v>192</v>
      </c>
      <c r="G26" s="41">
        <v>33602</v>
      </c>
      <c r="H26" s="121">
        <v>483</v>
      </c>
      <c r="I26" s="121" t="s">
        <v>1509</v>
      </c>
      <c r="J26" s="116">
        <v>446</v>
      </c>
    </row>
    <row r="27" spans="1:11" ht="21" customHeight="1">
      <c r="B27" s="364" t="s">
        <v>1595</v>
      </c>
      <c r="C27" s="117">
        <v>255</v>
      </c>
      <c r="D27" s="117">
        <v>326</v>
      </c>
      <c r="E27" s="94">
        <v>39</v>
      </c>
      <c r="F27" s="117">
        <v>204</v>
      </c>
      <c r="G27" s="117">
        <v>33616</v>
      </c>
      <c r="H27" s="117">
        <v>483</v>
      </c>
      <c r="I27" s="117" t="s">
        <v>1509</v>
      </c>
      <c r="J27" s="117">
        <v>446</v>
      </c>
    </row>
    <row r="28" spans="1:11">
      <c r="A28" s="314"/>
      <c r="B28" s="995" t="s">
        <v>299</v>
      </c>
      <c r="C28" s="315" t="s">
        <v>300</v>
      </c>
      <c r="D28" s="315"/>
      <c r="E28" s="989" t="s">
        <v>304</v>
      </c>
      <c r="F28" s="315" t="s">
        <v>368</v>
      </c>
      <c r="G28" s="900" t="s">
        <v>947</v>
      </c>
      <c r="H28" s="996" t="s">
        <v>1129</v>
      </c>
      <c r="I28" s="25"/>
      <c r="J28" s="128"/>
      <c r="K28" s="520"/>
    </row>
    <row r="29" spans="1:11" ht="13.5" customHeight="1">
      <c r="A29" s="312"/>
      <c r="B29" s="989" t="s">
        <v>1321</v>
      </c>
      <c r="C29" s="315" t="s">
        <v>301</v>
      </c>
      <c r="D29" s="315"/>
      <c r="E29" s="989" t="s">
        <v>312</v>
      </c>
      <c r="F29" s="315" t="s">
        <v>369</v>
      </c>
      <c r="G29" s="900" t="s">
        <v>948</v>
      </c>
      <c r="H29" s="971" t="s">
        <v>1130</v>
      </c>
      <c r="I29" s="25"/>
      <c r="J29" s="128"/>
      <c r="K29" s="186"/>
    </row>
    <row r="30" spans="1:11" ht="13.5" customHeight="1">
      <c r="A30" s="312"/>
      <c r="B30" s="989" t="s">
        <v>302</v>
      </c>
      <c r="C30" s="315" t="s">
        <v>303</v>
      </c>
      <c r="D30" s="315"/>
      <c r="E30" s="989" t="s">
        <v>235</v>
      </c>
      <c r="F30" s="315" t="s">
        <v>370</v>
      </c>
      <c r="G30" s="900" t="s">
        <v>955</v>
      </c>
      <c r="H30" s="1722" t="s">
        <v>981</v>
      </c>
      <c r="I30" s="1520"/>
      <c r="J30" s="1520"/>
      <c r="K30" s="24"/>
    </row>
    <row r="31" spans="1:11" ht="12" customHeight="1">
      <c r="A31" s="312"/>
      <c r="B31" s="25"/>
      <c r="C31" s="25"/>
      <c r="D31" s="315"/>
      <c r="E31" s="25"/>
      <c r="F31" s="25"/>
      <c r="G31" s="25"/>
      <c r="H31" s="1520"/>
      <c r="I31" s="1520"/>
      <c r="J31" s="1520"/>
      <c r="K31" s="24"/>
    </row>
    <row r="32" spans="1:11">
      <c r="A32" s="312"/>
      <c r="D32" s="315"/>
      <c r="E32" s="25"/>
      <c r="H32" s="2"/>
      <c r="I32" s="24"/>
      <c r="J32" s="24"/>
      <c r="K32" s="24"/>
    </row>
    <row r="33" spans="1:5">
      <c r="A33" s="312"/>
      <c r="D33" s="315"/>
      <c r="E33" s="25"/>
    </row>
  </sheetData>
  <mergeCells count="7">
    <mergeCell ref="H30:J31"/>
    <mergeCell ref="A1:K1"/>
    <mergeCell ref="A2:K2"/>
    <mergeCell ref="B18:J18"/>
    <mergeCell ref="B19:J19"/>
    <mergeCell ref="A4:A5"/>
    <mergeCell ref="B4:K4"/>
  </mergeCells>
  <phoneticPr fontId="0" type="noConversion"/>
  <conditionalFormatting sqref="I11 L1:IV1048576 A1:K10 K11:K65536 J11:J22 I15:I22 A11:A65536 B11:H22 B23:J65536">
    <cfRule type="cellIs" dxfId="10" priority="1" stopIfTrue="1" operator="equal">
      <formula>".."</formula>
    </cfRule>
  </conditionalFormatting>
  <printOptions horizontalCentered="1"/>
  <pageMargins left="0.1" right="0.1" top="0.7" bottom="0.1" header="0.7" footer="0.1"/>
  <pageSetup paperSize="9" orientation="landscape" blackAndWhite="1" horizontalDpi="4294967295" verticalDpi="300" r:id="rId1"/>
  <headerFooter alignWithMargins="0"/>
</worksheet>
</file>

<file path=xl/worksheets/sheet48.xml><?xml version="1.0" encoding="utf-8"?>
<worksheet xmlns="http://schemas.openxmlformats.org/spreadsheetml/2006/main" xmlns:r="http://schemas.openxmlformats.org/officeDocument/2006/relationships">
  <sheetPr codeName="Sheet59"/>
  <dimension ref="A1:J44"/>
  <sheetViews>
    <sheetView workbookViewId="0">
      <selection activeCell="H3" sqref="H3"/>
    </sheetView>
  </sheetViews>
  <sheetFormatPr defaultRowHeight="12.75"/>
  <cols>
    <col min="1" max="1" width="7.140625" customWidth="1"/>
    <col min="2" max="6" width="15.140625" customWidth="1"/>
    <col min="7" max="7" width="12.85546875" customWidth="1"/>
  </cols>
  <sheetData>
    <row r="1" spans="1:10" ht="15" customHeight="1">
      <c r="B1" s="1430" t="s">
        <v>1435</v>
      </c>
      <c r="C1" s="1430"/>
      <c r="D1" s="1430"/>
      <c r="E1" s="1430"/>
      <c r="F1" s="1430"/>
      <c r="G1" s="550"/>
    </row>
    <row r="2" spans="1:10" ht="14.25" customHeight="1">
      <c r="B2" s="1355" t="str">
        <f>CONCATENATE("Fertiliser Consumed in the district of ",District!A1)</f>
        <v>Fertiliser Consumed in the district of Malda</v>
      </c>
      <c r="C2" s="1355"/>
      <c r="D2" s="1355"/>
      <c r="E2" s="1355"/>
      <c r="F2" s="1355"/>
      <c r="G2" s="549"/>
      <c r="H2" s="33"/>
      <c r="I2" s="33"/>
      <c r="J2" s="33"/>
    </row>
    <row r="3" spans="1:10" ht="12.75" customHeight="1">
      <c r="F3" s="159" t="s">
        <v>1613</v>
      </c>
      <c r="H3" s="7"/>
      <c r="J3" s="7"/>
    </row>
    <row r="4" spans="1:10" ht="16.5" customHeight="1">
      <c r="A4" s="138"/>
      <c r="B4" s="240" t="s">
        <v>1089</v>
      </c>
      <c r="C4" s="217" t="s">
        <v>313</v>
      </c>
      <c r="D4" s="240" t="s">
        <v>314</v>
      </c>
      <c r="E4" s="217" t="s">
        <v>315</v>
      </c>
      <c r="F4" s="240" t="s">
        <v>1233</v>
      </c>
      <c r="G4" s="138"/>
      <c r="H4" s="7"/>
      <c r="I4" s="7"/>
      <c r="J4" s="7"/>
    </row>
    <row r="5" spans="1:10" ht="16.5" customHeight="1">
      <c r="A5" s="138"/>
      <c r="B5" s="699" t="s">
        <v>1208</v>
      </c>
      <c r="C5" s="700" t="s">
        <v>1209</v>
      </c>
      <c r="D5" s="699" t="s">
        <v>1210</v>
      </c>
      <c r="E5" s="700" t="s">
        <v>1211</v>
      </c>
      <c r="F5" s="699" t="s">
        <v>1212</v>
      </c>
      <c r="G5" s="138"/>
      <c r="H5" s="35"/>
      <c r="I5" s="35"/>
      <c r="J5" s="35"/>
    </row>
    <row r="6" spans="1:10" ht="24" customHeight="1">
      <c r="A6" s="138"/>
      <c r="B6" s="168" t="s">
        <v>1577</v>
      </c>
      <c r="C6" s="116">
        <v>52.8</v>
      </c>
      <c r="D6" s="116">
        <v>21.1</v>
      </c>
      <c r="E6" s="116">
        <v>28.4</v>
      </c>
      <c r="F6" s="98">
        <f>SUM(C6:E6)</f>
        <v>102.30000000000001</v>
      </c>
      <c r="G6" s="138"/>
    </row>
    <row r="7" spans="1:10" ht="24" customHeight="1">
      <c r="A7" s="138"/>
      <c r="B7" s="168" t="s">
        <v>1576</v>
      </c>
      <c r="C7" s="116">
        <v>54.3</v>
      </c>
      <c r="D7" s="116">
        <v>24.4</v>
      </c>
      <c r="E7" s="577">
        <v>20.399999999999999</v>
      </c>
      <c r="F7" s="98">
        <f>SUM(C7:E7)</f>
        <v>99.1</v>
      </c>
      <c r="G7" s="138"/>
    </row>
    <row r="8" spans="1:10" ht="24" customHeight="1">
      <c r="A8" s="138"/>
      <c r="B8" s="168" t="s">
        <v>267</v>
      </c>
      <c r="C8" s="577">
        <v>49.3</v>
      </c>
      <c r="D8" s="577">
        <v>25.8</v>
      </c>
      <c r="E8" s="577">
        <v>19.899999999999999</v>
      </c>
      <c r="F8" s="1235">
        <f>SUM(C8:E8)</f>
        <v>95</v>
      </c>
      <c r="G8" s="138"/>
    </row>
    <row r="9" spans="1:10" ht="24" customHeight="1">
      <c r="A9" s="138"/>
      <c r="B9" s="168" t="s">
        <v>1094</v>
      </c>
      <c r="C9" s="577">
        <v>55</v>
      </c>
      <c r="D9" s="577">
        <v>24</v>
      </c>
      <c r="E9" s="577">
        <v>16</v>
      </c>
      <c r="F9" s="1235">
        <f>SUM(C9:E9)</f>
        <v>95</v>
      </c>
      <c r="G9" s="138"/>
    </row>
    <row r="10" spans="1:10" ht="24" customHeight="1">
      <c r="A10" s="138"/>
      <c r="B10" s="364" t="s">
        <v>1595</v>
      </c>
      <c r="C10" s="1124">
        <v>45.6</v>
      </c>
      <c r="D10" s="1124">
        <v>13.5</v>
      </c>
      <c r="E10" s="895">
        <v>11.5</v>
      </c>
      <c r="F10" s="895">
        <f>SUM(C10:E10)</f>
        <v>70.599999999999994</v>
      </c>
      <c r="G10" s="138"/>
      <c r="H10" s="7"/>
      <c r="I10" s="7"/>
      <c r="J10" s="7"/>
    </row>
    <row r="11" spans="1:10">
      <c r="A11" s="138"/>
      <c r="B11" s="138"/>
      <c r="C11" s="138"/>
      <c r="D11" s="1050"/>
      <c r="E11" s="138"/>
      <c r="F11" s="1051" t="s">
        <v>1420</v>
      </c>
      <c r="G11" s="138"/>
    </row>
    <row r="12" spans="1:10">
      <c r="A12" s="138"/>
      <c r="B12" s="138"/>
      <c r="C12" s="138"/>
      <c r="D12" s="1052"/>
      <c r="E12" s="1053"/>
      <c r="F12" s="1053"/>
      <c r="G12" s="138"/>
    </row>
    <row r="13" spans="1:10">
      <c r="A13" s="138"/>
      <c r="B13" s="138"/>
      <c r="C13" s="138"/>
      <c r="D13" s="1052"/>
      <c r="E13" s="1053"/>
      <c r="F13" s="1053"/>
      <c r="G13" s="138"/>
    </row>
    <row r="14" spans="1:10" ht="18.75" customHeight="1">
      <c r="A14" s="138"/>
      <c r="B14" s="1444" t="s">
        <v>1436</v>
      </c>
      <c r="C14" s="1444"/>
      <c r="D14" s="1444"/>
      <c r="E14" s="1444"/>
      <c r="F14" s="1444"/>
      <c r="G14" s="1444"/>
    </row>
    <row r="15" spans="1:10" ht="38.25" customHeight="1">
      <c r="A15" s="138"/>
      <c r="B15" s="1544" t="str">
        <f>CONCATENATE("Warehousing and Cold Storage Facilities available to Cultivators 
in the district of ",District!A1)</f>
        <v>Warehousing and Cold Storage Facilities available to Cultivators 
in the district of Malda</v>
      </c>
      <c r="C15" s="1544"/>
      <c r="D15" s="1544"/>
      <c r="E15" s="1544"/>
      <c r="F15" s="1544"/>
      <c r="G15" s="1544"/>
    </row>
    <row r="16" spans="1:10" ht="21" customHeight="1">
      <c r="A16" s="1359" t="s">
        <v>1089</v>
      </c>
      <c r="B16" s="1360"/>
      <c r="C16" s="1391" t="s">
        <v>620</v>
      </c>
      <c r="D16" s="1392"/>
      <c r="E16" s="1639" t="s">
        <v>621</v>
      </c>
      <c r="F16" s="1392"/>
      <c r="G16" s="1346" t="s">
        <v>44</v>
      </c>
    </row>
    <row r="17" spans="1:7" ht="22.5" customHeight="1">
      <c r="A17" s="1381"/>
      <c r="B17" s="1604"/>
      <c r="C17" s="217" t="s">
        <v>1254</v>
      </c>
      <c r="D17" s="240" t="s">
        <v>371</v>
      </c>
      <c r="E17" s="217" t="s">
        <v>1254</v>
      </c>
      <c r="F17" s="240" t="s">
        <v>371</v>
      </c>
      <c r="G17" s="1347"/>
    </row>
    <row r="18" spans="1:7" ht="15.75" customHeight="1">
      <c r="A18" s="1353" t="s">
        <v>1208</v>
      </c>
      <c r="B18" s="1354"/>
      <c r="C18" s="152" t="s">
        <v>1209</v>
      </c>
      <c r="D18" s="151" t="s">
        <v>1210</v>
      </c>
      <c r="E18" s="152" t="s">
        <v>1211</v>
      </c>
      <c r="F18" s="151" t="s">
        <v>1212</v>
      </c>
      <c r="G18" s="155" t="s">
        <v>1213</v>
      </c>
    </row>
    <row r="19" spans="1:7" ht="24" customHeight="1">
      <c r="A19" s="1728" t="s">
        <v>1577</v>
      </c>
      <c r="B19" s="1729"/>
      <c r="C19" s="41">
        <v>6</v>
      </c>
      <c r="D19" s="116">
        <v>8210</v>
      </c>
      <c r="E19" s="41">
        <v>2</v>
      </c>
      <c r="F19" s="116">
        <v>10000</v>
      </c>
      <c r="G19" s="98">
        <v>8585</v>
      </c>
    </row>
    <row r="20" spans="1:7" ht="24" customHeight="1">
      <c r="A20" s="1342" t="s">
        <v>1576</v>
      </c>
      <c r="B20" s="1343"/>
      <c r="C20" s="121">
        <v>6</v>
      </c>
      <c r="D20" s="121">
        <v>8210</v>
      </c>
      <c r="E20" s="121">
        <v>2</v>
      </c>
      <c r="F20" s="121">
        <v>10000</v>
      </c>
      <c r="G20" s="116">
        <v>8697</v>
      </c>
    </row>
    <row r="21" spans="1:7" ht="24" customHeight="1">
      <c r="A21" s="1342" t="s">
        <v>267</v>
      </c>
      <c r="B21" s="1343"/>
      <c r="C21" s="121">
        <v>6</v>
      </c>
      <c r="D21" s="121">
        <v>8210</v>
      </c>
      <c r="E21" s="121">
        <v>2</v>
      </c>
      <c r="F21" s="121">
        <v>10242</v>
      </c>
      <c r="G21" s="116">
        <v>5278</v>
      </c>
    </row>
    <row r="22" spans="1:7" ht="24" customHeight="1">
      <c r="A22" s="1342" t="s">
        <v>1094</v>
      </c>
      <c r="B22" s="1343"/>
      <c r="C22" s="98">
        <v>6</v>
      </c>
      <c r="D22" s="98">
        <v>8210</v>
      </c>
      <c r="E22" s="98">
        <v>2</v>
      </c>
      <c r="F22" s="98">
        <v>10242</v>
      </c>
      <c r="G22" s="98">
        <v>5210</v>
      </c>
    </row>
    <row r="23" spans="1:7" ht="24" customHeight="1">
      <c r="A23" s="1730" t="s">
        <v>1595</v>
      </c>
      <c r="B23" s="1731"/>
      <c r="C23" s="117">
        <v>6</v>
      </c>
      <c r="D23" s="117">
        <v>8210</v>
      </c>
      <c r="E23" s="117">
        <v>2</v>
      </c>
      <c r="F23" s="94">
        <v>10242</v>
      </c>
      <c r="G23" s="94">
        <v>5130</v>
      </c>
    </row>
    <row r="24" spans="1:7" ht="12.75" customHeight="1">
      <c r="A24" s="1054"/>
      <c r="B24" s="1054"/>
      <c r="C24" s="1055"/>
      <c r="D24" s="964" t="s">
        <v>117</v>
      </c>
      <c r="E24" s="1056" t="s">
        <v>1323</v>
      </c>
      <c r="F24" s="1057"/>
      <c r="G24" s="1057"/>
    </row>
    <row r="25" spans="1:7">
      <c r="A25" s="1055"/>
      <c r="B25" s="1055"/>
      <c r="C25" s="1055"/>
      <c r="D25" s="1058"/>
      <c r="E25" s="1059" t="s">
        <v>1324</v>
      </c>
      <c r="F25" s="1052"/>
      <c r="G25" s="138"/>
    </row>
    <row r="26" spans="1:7">
      <c r="A26" s="138"/>
      <c r="B26" s="138"/>
      <c r="C26" s="138"/>
      <c r="D26" s="1052"/>
      <c r="E26" s="138"/>
      <c r="F26" s="1059"/>
      <c r="G26" s="138"/>
    </row>
    <row r="27" spans="1:7" ht="14.25" customHeight="1">
      <c r="A27" s="138"/>
      <c r="B27" s="1444" t="s">
        <v>1437</v>
      </c>
      <c r="C27" s="1444"/>
      <c r="D27" s="1444"/>
      <c r="E27" s="1444"/>
      <c r="F27" s="1444"/>
      <c r="G27" s="659"/>
    </row>
    <row r="28" spans="1:7" ht="33.75" customHeight="1">
      <c r="A28" s="138"/>
      <c r="B28" s="1727" t="str">
        <f>CONCATENATE("Estimated Production of Milk (Cow, Buffalo &amp; Goat) and 
Egg (Hen &amp; Duck) in the district of ",District!A1, " and West Bengal")</f>
        <v>Estimated Production of Milk (Cow, Buffalo &amp; Goat) and 
Egg (Hen &amp; Duck) in the district of Malda and West Bengal</v>
      </c>
      <c r="C28" s="1727"/>
      <c r="D28" s="1727"/>
      <c r="E28" s="1727"/>
      <c r="F28" s="1727"/>
      <c r="G28" s="896"/>
    </row>
    <row r="29" spans="1:7" s="138" customFormat="1" ht="16.5" customHeight="1">
      <c r="B29" s="1348" t="s">
        <v>1089</v>
      </c>
      <c r="C29" s="1391" t="s">
        <v>1615</v>
      </c>
      <c r="D29" s="1392"/>
      <c r="E29" s="1639" t="s">
        <v>1175</v>
      </c>
      <c r="F29" s="1392"/>
    </row>
    <row r="30" spans="1:7" s="138" customFormat="1" ht="16.5" customHeight="1">
      <c r="B30" s="1349"/>
      <c r="C30" s="259" t="s">
        <v>171</v>
      </c>
      <c r="D30" s="240" t="s">
        <v>172</v>
      </c>
      <c r="E30" s="217" t="s">
        <v>171</v>
      </c>
      <c r="F30" s="240" t="s">
        <v>172</v>
      </c>
    </row>
    <row r="31" spans="1:7" s="138" customFormat="1" ht="14.25" customHeight="1">
      <c r="B31" s="151" t="s">
        <v>1208</v>
      </c>
      <c r="C31" s="151" t="s">
        <v>1209</v>
      </c>
      <c r="D31" s="151" t="s">
        <v>1210</v>
      </c>
      <c r="E31" s="152" t="s">
        <v>1211</v>
      </c>
      <c r="F31" s="151" t="s">
        <v>1212</v>
      </c>
    </row>
    <row r="32" spans="1:7" s="138" customFormat="1" ht="18" customHeight="1">
      <c r="B32" s="180" t="s">
        <v>1577</v>
      </c>
      <c r="C32" s="116">
        <v>199</v>
      </c>
      <c r="D32" s="115">
        <v>4300</v>
      </c>
      <c r="E32" s="41">
        <v>146913</v>
      </c>
      <c r="F32" s="116">
        <v>3697839</v>
      </c>
    </row>
    <row r="33" spans="2:9" s="138" customFormat="1" ht="16.5" customHeight="1">
      <c r="B33" s="180" t="s">
        <v>1576</v>
      </c>
      <c r="C33" s="116">
        <v>202</v>
      </c>
      <c r="D33" s="116">
        <v>4472</v>
      </c>
      <c r="E33" s="41">
        <v>156633</v>
      </c>
      <c r="F33" s="116">
        <v>4000869</v>
      </c>
    </row>
    <row r="34" spans="2:9" s="138" customFormat="1" ht="18" customHeight="1">
      <c r="B34" s="180" t="s">
        <v>267</v>
      </c>
      <c r="C34" s="121">
        <v>205</v>
      </c>
      <c r="D34" s="116">
        <v>4660</v>
      </c>
      <c r="E34" s="98">
        <v>166947</v>
      </c>
      <c r="F34" s="98">
        <v>4337272</v>
      </c>
    </row>
    <row r="35" spans="2:9" s="138" customFormat="1" ht="18" customHeight="1">
      <c r="B35" s="168" t="s">
        <v>1094</v>
      </c>
      <c r="C35" s="116">
        <v>208</v>
      </c>
      <c r="D35" s="98">
        <v>4860</v>
      </c>
      <c r="E35" s="41">
        <v>179694</v>
      </c>
      <c r="F35" s="116">
        <v>4707268</v>
      </c>
    </row>
    <row r="36" spans="2:9" s="138" customFormat="1" ht="18" customHeight="1">
      <c r="B36" s="364" t="s">
        <v>1595</v>
      </c>
      <c r="C36" s="117">
        <v>205</v>
      </c>
      <c r="D36" s="117">
        <v>4906</v>
      </c>
      <c r="E36" s="119">
        <v>178019</v>
      </c>
      <c r="F36" s="94">
        <v>4746013</v>
      </c>
    </row>
    <row r="37" spans="2:9" ht="18" customHeight="1">
      <c r="B37" s="562"/>
      <c r="C37" s="15"/>
      <c r="D37" s="994" t="s">
        <v>316</v>
      </c>
      <c r="E37" s="1724" t="s">
        <v>110</v>
      </c>
      <c r="F37" s="1725"/>
    </row>
    <row r="38" spans="2:9" ht="18" customHeight="1">
      <c r="B38" s="26"/>
      <c r="D38" s="946"/>
      <c r="E38" s="1726"/>
      <c r="F38" s="1726"/>
    </row>
    <row r="39" spans="2:9" ht="18" customHeight="1">
      <c r="C39" s="166"/>
    </row>
    <row r="40" spans="2:9">
      <c r="F40" s="9"/>
    </row>
    <row r="44" spans="2:9">
      <c r="C44" s="304"/>
      <c r="F44" s="304"/>
      <c r="G44" s="304"/>
      <c r="H44" s="304"/>
      <c r="I44" s="1"/>
    </row>
  </sheetData>
  <mergeCells count="20">
    <mergeCell ref="B1:F1"/>
    <mergeCell ref="B2:F2"/>
    <mergeCell ref="A16:B17"/>
    <mergeCell ref="B14:G14"/>
    <mergeCell ref="C16:D16"/>
    <mergeCell ref="E16:F16"/>
    <mergeCell ref="G16:G17"/>
    <mergeCell ref="A20:B20"/>
    <mergeCell ref="B15:G15"/>
    <mergeCell ref="A18:B18"/>
    <mergeCell ref="A19:B19"/>
    <mergeCell ref="A23:B23"/>
    <mergeCell ref="A21:B21"/>
    <mergeCell ref="E37:F38"/>
    <mergeCell ref="C29:D29"/>
    <mergeCell ref="E29:F29"/>
    <mergeCell ref="B29:B30"/>
    <mergeCell ref="A22:B22"/>
    <mergeCell ref="B27:F27"/>
    <mergeCell ref="B28:F28"/>
  </mergeCells>
  <phoneticPr fontId="0" type="noConversion"/>
  <printOptions horizontalCentered="1"/>
  <pageMargins left="0.1" right="0.1" top="0.68" bottom="0.1" header="0.7" footer="0.1"/>
  <pageSetup paperSize="9" orientation="portrait" blackAndWhite="1" horizontalDpi="4294967295" r:id="rId1"/>
  <headerFooter alignWithMargins="0"/>
</worksheet>
</file>

<file path=xl/worksheets/sheet49.xml><?xml version="1.0" encoding="utf-8"?>
<worksheet xmlns="http://schemas.openxmlformats.org/spreadsheetml/2006/main" xmlns:r="http://schemas.openxmlformats.org/officeDocument/2006/relationships">
  <sheetPr codeName="Sheet62"/>
  <dimension ref="A1:G29"/>
  <sheetViews>
    <sheetView workbookViewId="0">
      <selection activeCell="M5" sqref="M5"/>
    </sheetView>
  </sheetViews>
  <sheetFormatPr defaultRowHeight="12.75"/>
  <cols>
    <col min="1" max="1" width="3.5703125" customWidth="1"/>
    <col min="2" max="2" width="21.5703125" style="2" customWidth="1"/>
    <col min="3" max="7" width="18.7109375" style="2" customWidth="1"/>
  </cols>
  <sheetData>
    <row r="1" spans="1:7" ht="13.5" customHeight="1">
      <c r="A1" s="1430" t="s">
        <v>1438</v>
      </c>
      <c r="B1" s="1430"/>
      <c r="C1" s="1430"/>
      <c r="D1" s="1430"/>
      <c r="E1" s="1430"/>
      <c r="F1" s="1430"/>
      <c r="G1" s="1430"/>
    </row>
    <row r="2" spans="1:7" ht="19.5" customHeight="1">
      <c r="A2" s="1638" t="str">
        <f>CONCATENATE("Live-stock and Poultry in the district of ",District!A1)</f>
        <v>Live-stock and Poultry in the district of Malda</v>
      </c>
      <c r="B2" s="1638"/>
      <c r="C2" s="1638"/>
      <c r="D2" s="1638"/>
      <c r="E2" s="1638"/>
      <c r="F2" s="1638"/>
      <c r="G2" s="1638"/>
    </row>
    <row r="3" spans="1:7" ht="15" customHeight="1">
      <c r="A3" s="1127"/>
      <c r="B3" s="1131"/>
      <c r="C3" s="1131"/>
      <c r="D3" s="1131"/>
      <c r="E3" s="1131"/>
      <c r="F3" s="1131"/>
      <c r="G3" s="1132" t="s">
        <v>1253</v>
      </c>
    </row>
    <row r="4" spans="1:7" ht="21" customHeight="1">
      <c r="A4" s="1732" t="s">
        <v>631</v>
      </c>
      <c r="B4" s="215" t="s">
        <v>1512</v>
      </c>
      <c r="C4" s="215">
        <v>1994</v>
      </c>
      <c r="D4" s="240">
        <v>1997</v>
      </c>
      <c r="E4" s="240">
        <v>2003</v>
      </c>
      <c r="F4" s="217">
        <v>2007</v>
      </c>
      <c r="G4" s="240">
        <v>2012</v>
      </c>
    </row>
    <row r="5" spans="1:7" ht="17.25" customHeight="1">
      <c r="A5" s="1733"/>
      <c r="B5" s="218" t="s">
        <v>1208</v>
      </c>
      <c r="C5" s="151" t="s">
        <v>1210</v>
      </c>
      <c r="D5" s="151" t="s">
        <v>1211</v>
      </c>
      <c r="E5" s="151" t="s">
        <v>1212</v>
      </c>
      <c r="F5" s="151" t="s">
        <v>1213</v>
      </c>
      <c r="G5" s="151" t="s">
        <v>1213</v>
      </c>
    </row>
    <row r="6" spans="1:7" ht="19.5" customHeight="1">
      <c r="A6" s="496">
        <v>1</v>
      </c>
      <c r="B6" s="665" t="s">
        <v>319</v>
      </c>
      <c r="C6" s="505"/>
      <c r="D6" s="505"/>
      <c r="E6" s="115"/>
      <c r="F6" s="115"/>
      <c r="G6" s="115"/>
    </row>
    <row r="7" spans="1:7" ht="19.5" customHeight="1">
      <c r="A7" s="374"/>
      <c r="B7" s="441" t="s">
        <v>842</v>
      </c>
      <c r="C7" s="116">
        <v>180180</v>
      </c>
      <c r="D7" s="116">
        <v>185467</v>
      </c>
      <c r="E7" s="116">
        <v>236005</v>
      </c>
      <c r="F7" s="116">
        <v>261234</v>
      </c>
      <c r="G7" s="116">
        <v>280956</v>
      </c>
    </row>
    <row r="8" spans="1:7" ht="19.5" customHeight="1">
      <c r="A8" s="113"/>
      <c r="B8" s="441" t="s">
        <v>622</v>
      </c>
      <c r="C8" s="112">
        <v>250434</v>
      </c>
      <c r="D8" s="116">
        <v>257884</v>
      </c>
      <c r="E8" s="116">
        <v>153358</v>
      </c>
      <c r="F8" s="116">
        <v>163504</v>
      </c>
      <c r="G8" s="116">
        <v>136389</v>
      </c>
    </row>
    <row r="9" spans="1:7" ht="19.5" customHeight="1">
      <c r="A9" s="113"/>
      <c r="B9" s="441" t="s">
        <v>1325</v>
      </c>
      <c r="C9" s="116">
        <v>190785</v>
      </c>
      <c r="D9" s="116">
        <v>196393</v>
      </c>
      <c r="E9" s="116">
        <v>270511</v>
      </c>
      <c r="F9" s="116">
        <v>306900</v>
      </c>
      <c r="G9" s="116">
        <v>337713</v>
      </c>
    </row>
    <row r="10" spans="1:7" ht="19.5" customHeight="1">
      <c r="A10" s="121"/>
      <c r="B10" s="666" t="s">
        <v>623</v>
      </c>
      <c r="C10" s="563">
        <f>SUM(C7:C9)</f>
        <v>621399</v>
      </c>
      <c r="D10" s="563">
        <f>SUM(D7:D9)</f>
        <v>639744</v>
      </c>
      <c r="E10" s="563">
        <f>SUM(E7:E9)</f>
        <v>659874</v>
      </c>
      <c r="F10" s="563">
        <f>SUM(F7:F9)</f>
        <v>731638</v>
      </c>
      <c r="G10" s="563">
        <f>SUM(G7:G9)</f>
        <v>755058</v>
      </c>
    </row>
    <row r="11" spans="1:7" ht="19.5" customHeight="1">
      <c r="A11" s="418">
        <v>2</v>
      </c>
      <c r="B11" s="660" t="s">
        <v>317</v>
      </c>
      <c r="C11" s="430"/>
      <c r="D11" s="430"/>
      <c r="E11" s="116"/>
      <c r="F11" s="116"/>
      <c r="G11" s="116"/>
    </row>
    <row r="12" spans="1:7" ht="19.5" customHeight="1">
      <c r="A12" s="121"/>
      <c r="B12" s="425" t="s">
        <v>843</v>
      </c>
      <c r="C12" s="112">
        <v>10894</v>
      </c>
      <c r="D12" s="112">
        <v>11032</v>
      </c>
      <c r="E12" s="116">
        <v>9165</v>
      </c>
      <c r="F12" s="116">
        <v>8459</v>
      </c>
      <c r="G12" s="116">
        <v>8771</v>
      </c>
    </row>
    <row r="13" spans="1:7" ht="19.5" customHeight="1">
      <c r="A13" s="374"/>
      <c r="B13" s="441" t="s">
        <v>622</v>
      </c>
      <c r="C13" s="116">
        <v>39120</v>
      </c>
      <c r="D13" s="116">
        <v>39614</v>
      </c>
      <c r="E13" s="116">
        <v>38872</v>
      </c>
      <c r="F13" s="116">
        <v>42371</v>
      </c>
      <c r="G13" s="116">
        <v>21560</v>
      </c>
    </row>
    <row r="14" spans="1:7" ht="19.5" customHeight="1">
      <c r="A14" s="121"/>
      <c r="B14" s="667" t="s">
        <v>1325</v>
      </c>
      <c r="C14" s="404">
        <v>9657</v>
      </c>
      <c r="D14" s="116">
        <v>9780</v>
      </c>
      <c r="E14" s="116">
        <v>10466</v>
      </c>
      <c r="F14" s="349" t="s">
        <v>1183</v>
      </c>
      <c r="G14" s="132">
        <v>8652</v>
      </c>
    </row>
    <row r="15" spans="1:7" ht="19.5" customHeight="1">
      <c r="A15" s="121"/>
      <c r="B15" s="666" t="s">
        <v>624</v>
      </c>
      <c r="C15" s="563">
        <f>SUM(C12:C14)</f>
        <v>59671</v>
      </c>
      <c r="D15" s="563">
        <f>SUM(D12:D14)</f>
        <v>60426</v>
      </c>
      <c r="E15" s="563">
        <f>SUM(E12:E14)</f>
        <v>58503</v>
      </c>
      <c r="F15" s="563">
        <f>SUM(F12:F14)</f>
        <v>50830</v>
      </c>
      <c r="G15" s="563">
        <f>SUM(G12:G14)</f>
        <v>38983</v>
      </c>
    </row>
    <row r="16" spans="1:7" ht="19.5" customHeight="1">
      <c r="A16" s="418">
        <v>3</v>
      </c>
      <c r="B16" s="441" t="s">
        <v>1326</v>
      </c>
      <c r="C16" s="112">
        <v>44920</v>
      </c>
      <c r="D16" s="112">
        <v>44942</v>
      </c>
      <c r="E16" s="116">
        <v>38877</v>
      </c>
      <c r="F16" s="116">
        <v>56208</v>
      </c>
      <c r="G16" s="116">
        <v>39061</v>
      </c>
    </row>
    <row r="17" spans="1:7" ht="19.5" customHeight="1">
      <c r="A17" s="418">
        <v>4</v>
      </c>
      <c r="B17" s="441" t="s">
        <v>375</v>
      </c>
      <c r="C17" s="112">
        <v>1989200</v>
      </c>
      <c r="D17" s="112">
        <v>2204996</v>
      </c>
      <c r="E17" s="116">
        <v>663440</v>
      </c>
      <c r="F17" s="116">
        <v>975506</v>
      </c>
      <c r="G17" s="116">
        <v>901749</v>
      </c>
    </row>
    <row r="18" spans="1:7" ht="19.5" customHeight="1">
      <c r="A18" s="418">
        <v>5</v>
      </c>
      <c r="B18" s="441" t="s">
        <v>45</v>
      </c>
      <c r="C18" s="116">
        <v>595</v>
      </c>
      <c r="D18" s="116">
        <v>600</v>
      </c>
      <c r="E18" s="116">
        <v>342</v>
      </c>
      <c r="F18" s="116">
        <v>249</v>
      </c>
      <c r="G18" s="116">
        <v>111</v>
      </c>
    </row>
    <row r="19" spans="1:7" ht="19.5" customHeight="1">
      <c r="A19" s="418">
        <v>6</v>
      </c>
      <c r="B19" s="441" t="s">
        <v>376</v>
      </c>
      <c r="C19" s="112">
        <v>53833</v>
      </c>
      <c r="D19" s="112">
        <v>58053</v>
      </c>
      <c r="E19" s="116">
        <v>60261</v>
      </c>
      <c r="F19" s="116">
        <v>60793</v>
      </c>
      <c r="G19" s="116">
        <v>53738</v>
      </c>
    </row>
    <row r="20" spans="1:7" ht="19.5" customHeight="1">
      <c r="A20" s="418">
        <v>7</v>
      </c>
      <c r="B20" s="441" t="s">
        <v>625</v>
      </c>
      <c r="C20" s="112" t="s">
        <v>1509</v>
      </c>
      <c r="D20" s="112" t="s">
        <v>1567</v>
      </c>
      <c r="E20" s="116">
        <v>65972</v>
      </c>
      <c r="F20" s="116">
        <v>58508</v>
      </c>
      <c r="G20" s="116">
        <f>G21-SUM(G10,G15:G19)</f>
        <v>25</v>
      </c>
    </row>
    <row r="21" spans="1:7" ht="19.5" customHeight="1">
      <c r="A21" s="418"/>
      <c r="B21" s="666" t="s">
        <v>1535</v>
      </c>
      <c r="C21" s="563">
        <f>SUM(C10,C15,C16:C20)</f>
        <v>2769618</v>
      </c>
      <c r="D21" s="563">
        <f>SUM(D10,D15,D16:D20)</f>
        <v>3008761</v>
      </c>
      <c r="E21" s="563">
        <f>SUM(E10,E15,E16:E20)</f>
        <v>1547269</v>
      </c>
      <c r="F21" s="563">
        <f>SUM(F10,F15,F16:F20)</f>
        <v>1933732</v>
      </c>
      <c r="G21" s="563">
        <v>1788725</v>
      </c>
    </row>
    <row r="22" spans="1:7" ht="19.5" customHeight="1">
      <c r="A22" s="418">
        <v>8</v>
      </c>
      <c r="B22" s="424" t="s">
        <v>320</v>
      </c>
      <c r="C22" s="116"/>
      <c r="D22" s="116"/>
      <c r="E22" s="116"/>
      <c r="F22" s="116"/>
      <c r="G22" s="116"/>
    </row>
    <row r="23" spans="1:7" ht="19.5" customHeight="1">
      <c r="A23" s="121"/>
      <c r="B23" s="441" t="s">
        <v>377</v>
      </c>
      <c r="C23" s="112">
        <v>1611511</v>
      </c>
      <c r="D23" s="116">
        <v>1770350</v>
      </c>
      <c r="E23" s="116">
        <v>1993528</v>
      </c>
      <c r="F23" s="116">
        <v>2876017</v>
      </c>
      <c r="G23" s="116">
        <v>2926641</v>
      </c>
    </row>
    <row r="24" spans="1:7" ht="19.5" customHeight="1">
      <c r="A24" s="121"/>
      <c r="B24" s="441" t="s">
        <v>378</v>
      </c>
      <c r="C24" s="112">
        <v>294358</v>
      </c>
      <c r="D24" s="116">
        <v>331847</v>
      </c>
      <c r="E24" s="116">
        <v>418447</v>
      </c>
      <c r="F24" s="116">
        <v>392330</v>
      </c>
      <c r="G24" s="116">
        <v>241899</v>
      </c>
    </row>
    <row r="25" spans="1:7" ht="19.5" customHeight="1">
      <c r="A25" s="121"/>
      <c r="B25" s="441" t="s">
        <v>1526</v>
      </c>
      <c r="C25" s="404">
        <v>299</v>
      </c>
      <c r="D25" s="116">
        <v>154</v>
      </c>
      <c r="E25" s="116">
        <v>495</v>
      </c>
      <c r="F25" s="116">
        <v>13695</v>
      </c>
      <c r="G25" s="116">
        <v>2330</v>
      </c>
    </row>
    <row r="26" spans="1:7" ht="19.5" customHeight="1">
      <c r="A26" s="604"/>
      <c r="B26" s="668" t="s">
        <v>626</v>
      </c>
      <c r="C26" s="603">
        <f>SUM(C23:C25)</f>
        <v>1906168</v>
      </c>
      <c r="D26" s="603">
        <f>SUM(D23:D25)</f>
        <v>2102351</v>
      </c>
      <c r="E26" s="603">
        <f>SUM(E23:E25)</f>
        <v>2412470</v>
      </c>
      <c r="F26" s="603">
        <f>SUM(F23:F25)</f>
        <v>3282042</v>
      </c>
      <c r="G26" s="603">
        <f>SUM(G23:G25)</f>
        <v>3170870</v>
      </c>
    </row>
    <row r="27" spans="1:7" ht="17.100000000000001" customHeight="1">
      <c r="A27" s="1734" t="s">
        <v>251</v>
      </c>
      <c r="B27" s="1734"/>
      <c r="C27" s="1734"/>
      <c r="D27" s="1734"/>
      <c r="E27" s="530"/>
      <c r="G27" s="984" t="s">
        <v>1033</v>
      </c>
    </row>
    <row r="28" spans="1:7">
      <c r="A28" s="1735"/>
      <c r="B28" s="1735"/>
      <c r="C28" s="1735"/>
      <c r="D28" s="1735"/>
    </row>
    <row r="29" spans="1:7">
      <c r="A29" s="1301"/>
      <c r="B29" s="1301"/>
      <c r="C29" s="1301"/>
      <c r="D29" s="1301"/>
    </row>
  </sheetData>
  <mergeCells count="4">
    <mergeCell ref="A4:A5"/>
    <mergeCell ref="A2:G2"/>
    <mergeCell ref="A1:G1"/>
    <mergeCell ref="A27:D28"/>
  </mergeCells>
  <phoneticPr fontId="0" type="noConversion"/>
  <conditionalFormatting sqref="A27">
    <cfRule type="cellIs" dxfId="9" priority="2" stopIfTrue="1" operator="equal">
      <formula>".."</formula>
    </cfRule>
  </conditionalFormatting>
  <conditionalFormatting sqref="A27">
    <cfRule type="cellIs" dxfId="8" priority="1" stopIfTrue="1" operator="equal">
      <formula>".."</formula>
    </cfRule>
  </conditionalFormatting>
  <printOptions horizontalCentered="1"/>
  <pageMargins left="0.1" right="0.1" top="0.7" bottom="0.1" header="0.7" footer="0.1"/>
  <pageSetup paperSize="9" orientation="landscape" blackAndWhite="1" horizontalDpi="4294967295" r:id="rId1"/>
  <headerFooter alignWithMargins="0"/>
</worksheet>
</file>

<file path=xl/worksheets/sheet5.xml><?xml version="1.0" encoding="utf-8"?>
<worksheet xmlns="http://schemas.openxmlformats.org/spreadsheetml/2006/main" xmlns:r="http://schemas.openxmlformats.org/officeDocument/2006/relationships">
  <sheetPr codeName="Sheet2"/>
  <dimension ref="A1:E122"/>
  <sheetViews>
    <sheetView topLeftCell="A28" workbookViewId="0">
      <selection activeCell="A51" sqref="A51"/>
    </sheetView>
  </sheetViews>
  <sheetFormatPr defaultRowHeight="12.75"/>
  <cols>
    <col min="1" max="1" width="38.7109375" customWidth="1"/>
    <col min="2" max="2" width="18.85546875" style="1" customWidth="1"/>
    <col min="3" max="3" width="13.42578125" style="1" customWidth="1"/>
    <col min="4" max="4" width="14.28515625" style="1" customWidth="1"/>
    <col min="5" max="5" width="9.140625" style="1"/>
    <col min="6" max="6" width="8.28515625" customWidth="1"/>
    <col min="9" max="9" width="10.5703125" customWidth="1"/>
  </cols>
  <sheetData>
    <row r="1" spans="1:5" ht="21.75" customHeight="1">
      <c r="A1" s="1338" t="str">
        <f>CONCATENATE(District!$A$1," at a glance")</f>
        <v>Malda at a glance</v>
      </c>
      <c r="B1" s="1338"/>
      <c r="C1" s="1338"/>
      <c r="D1" s="1338"/>
    </row>
    <row r="2" spans="1:5" ht="14.25" customHeight="1">
      <c r="A2" s="798" t="s">
        <v>1088</v>
      </c>
      <c r="B2" s="798" t="s">
        <v>1089</v>
      </c>
      <c r="C2" s="798" t="s">
        <v>1090</v>
      </c>
      <c r="D2" s="586" t="s">
        <v>1091</v>
      </c>
    </row>
    <row r="3" spans="1:5" ht="14.25" customHeight="1">
      <c r="A3" s="99" t="s">
        <v>1208</v>
      </c>
      <c r="B3" s="99" t="s">
        <v>1209</v>
      </c>
      <c r="C3" s="99" t="s">
        <v>1210</v>
      </c>
      <c r="D3" s="100" t="s">
        <v>1211</v>
      </c>
    </row>
    <row r="4" spans="1:5" ht="15" customHeight="1">
      <c r="A4" s="101" t="s">
        <v>503</v>
      </c>
      <c r="B4" s="96"/>
      <c r="C4" s="97"/>
      <c r="D4" s="98"/>
    </row>
    <row r="5" spans="1:5" ht="15" customHeight="1">
      <c r="A5" s="102" t="s">
        <v>1092</v>
      </c>
      <c r="B5" s="96"/>
      <c r="C5" s="97"/>
      <c r="D5" s="103" t="str">
        <f>'1.1,1.2'!F7</f>
        <v>English Bazar</v>
      </c>
      <c r="E5" s="3"/>
    </row>
    <row r="6" spans="1:5" ht="15" customHeight="1">
      <c r="A6" s="102" t="s">
        <v>710</v>
      </c>
      <c r="B6" s="96">
        <f>District!$B$2</f>
        <v>2014</v>
      </c>
      <c r="C6" s="97" t="s">
        <v>1093</v>
      </c>
      <c r="D6" s="98" t="str">
        <f>RIGHT('2.1'!A27,1)</f>
        <v>2</v>
      </c>
    </row>
    <row r="7" spans="1:5" ht="15" customHeight="1">
      <c r="A7" s="102" t="s">
        <v>1239</v>
      </c>
      <c r="B7" s="96" t="s">
        <v>1171</v>
      </c>
      <c r="C7" s="97" t="s">
        <v>1171</v>
      </c>
      <c r="D7" s="98">
        <f>'2.1'!B27</f>
        <v>13</v>
      </c>
    </row>
    <row r="8" spans="1:5" ht="15" customHeight="1">
      <c r="A8" s="102" t="s">
        <v>1095</v>
      </c>
      <c r="B8" s="96">
        <f>District!$B$4</f>
        <v>2011</v>
      </c>
      <c r="C8" s="97" t="s">
        <v>1171</v>
      </c>
      <c r="D8" s="98">
        <f>'2.1'!H27</f>
        <v>1613</v>
      </c>
    </row>
    <row r="9" spans="1:5" s="7" customFormat="1" ht="15" customHeight="1">
      <c r="A9" s="102" t="s">
        <v>711</v>
      </c>
      <c r="B9" s="96">
        <f>District!$B$5</f>
        <v>2001</v>
      </c>
      <c r="C9" s="97" t="s">
        <v>1171</v>
      </c>
      <c r="D9" s="98">
        <f>'2.1'!G27</f>
        <v>1798</v>
      </c>
      <c r="E9" s="8"/>
    </row>
    <row r="10" spans="1:5" ht="15" customHeight="1">
      <c r="A10" s="102" t="s">
        <v>712</v>
      </c>
      <c r="B10" s="96">
        <f>District!$B$2</f>
        <v>2014</v>
      </c>
      <c r="C10" s="97" t="s">
        <v>1171</v>
      </c>
      <c r="D10" s="98" t="str">
        <f>'2.1'!J27</f>
        <v>-</v>
      </c>
    </row>
    <row r="11" spans="1:5" ht="15" customHeight="1">
      <c r="A11" s="102" t="s">
        <v>1262</v>
      </c>
      <c r="B11" s="96" t="s">
        <v>1171</v>
      </c>
      <c r="C11" s="97" t="s">
        <v>1171</v>
      </c>
      <c r="D11" s="98">
        <f>'2.1'!L27</f>
        <v>2</v>
      </c>
    </row>
    <row r="12" spans="1:5" ht="15" customHeight="1">
      <c r="A12" s="102" t="s">
        <v>713</v>
      </c>
      <c r="B12" s="96" t="s">
        <v>1171</v>
      </c>
      <c r="C12" s="97" t="s">
        <v>1171</v>
      </c>
      <c r="D12" s="98">
        <f>'16.1'!A21</f>
        <v>15</v>
      </c>
    </row>
    <row r="13" spans="1:5" ht="15" customHeight="1">
      <c r="A13" s="102" t="s">
        <v>1001</v>
      </c>
      <c r="B13" s="96" t="s">
        <v>1171</v>
      </c>
      <c r="C13" s="97" t="s">
        <v>1171</v>
      </c>
      <c r="D13" s="98">
        <f>'2.1'!D27</f>
        <v>15</v>
      </c>
    </row>
    <row r="14" spans="1:5" ht="15" customHeight="1">
      <c r="A14" s="102" t="s">
        <v>1163</v>
      </c>
      <c r="B14" s="96" t="s">
        <v>1171</v>
      </c>
      <c r="C14" s="97" t="s">
        <v>1171</v>
      </c>
      <c r="D14" s="98">
        <f>'2.1'!E27</f>
        <v>146</v>
      </c>
    </row>
    <row r="15" spans="1:5" ht="15" customHeight="1">
      <c r="A15" s="102" t="s">
        <v>1164</v>
      </c>
      <c r="B15" s="96" t="s">
        <v>1171</v>
      </c>
      <c r="C15" s="97" t="s">
        <v>1171</v>
      </c>
      <c r="D15" s="98">
        <f>'2.1'!F27</f>
        <v>2268</v>
      </c>
    </row>
    <row r="16" spans="1:5" ht="15" customHeight="1">
      <c r="A16" s="101" t="s">
        <v>1167</v>
      </c>
      <c r="B16" s="96"/>
      <c r="C16" s="97"/>
      <c r="D16" s="98"/>
    </row>
    <row r="17" spans="1:4" ht="15" customHeight="1">
      <c r="A17" s="102" t="s">
        <v>1169</v>
      </c>
      <c r="B17" s="96">
        <f>District!$B$4</f>
        <v>2011</v>
      </c>
      <c r="C17" s="97" t="s">
        <v>1405</v>
      </c>
      <c r="D17" s="104">
        <f>'2.2,2.3'!$B$24</f>
        <v>3733</v>
      </c>
    </row>
    <row r="18" spans="1:4" ht="15" customHeight="1">
      <c r="A18" s="102" t="s">
        <v>1170</v>
      </c>
      <c r="B18" s="96" t="s">
        <v>1171</v>
      </c>
      <c r="C18" s="97" t="s">
        <v>1093</v>
      </c>
      <c r="D18" s="105">
        <f>'2.2,2.3'!$D$24</f>
        <v>3988845</v>
      </c>
    </row>
    <row r="19" spans="1:4" ht="15" customHeight="1">
      <c r="A19" s="102" t="s">
        <v>305</v>
      </c>
      <c r="B19" s="96" t="s">
        <v>1171</v>
      </c>
      <c r="C19" s="97" t="s">
        <v>1406</v>
      </c>
      <c r="D19" s="105">
        <f>'2.2,2.3'!$F$24</f>
        <v>1068.5360300026789</v>
      </c>
    </row>
    <row r="20" spans="1:4" ht="15" customHeight="1">
      <c r="A20" s="102" t="s">
        <v>306</v>
      </c>
      <c r="B20" s="96"/>
      <c r="C20" s="97"/>
      <c r="D20" s="105"/>
    </row>
    <row r="21" spans="1:4" ht="15" customHeight="1">
      <c r="A21" s="547" t="s">
        <v>276</v>
      </c>
      <c r="B21" s="96" t="s">
        <v>1171</v>
      </c>
      <c r="C21" s="97" t="s">
        <v>1016</v>
      </c>
      <c r="D21" s="104">
        <f>ROUND('2.2,2.3'!D44/'At a glance'!D18*100,2)</f>
        <v>51.43</v>
      </c>
    </row>
    <row r="22" spans="1:4" ht="15" customHeight="1">
      <c r="A22" s="547" t="s">
        <v>272</v>
      </c>
      <c r="B22" s="96" t="s">
        <v>1171</v>
      </c>
      <c r="C22" s="97" t="s">
        <v>1171</v>
      </c>
      <c r="D22" s="104">
        <f>ROUND('2.2,2.3'!E44/'At a glance'!D18*100,2)</f>
        <v>48.57</v>
      </c>
    </row>
    <row r="23" spans="1:4" ht="15" customHeight="1">
      <c r="A23" s="547" t="s">
        <v>274</v>
      </c>
      <c r="B23" s="96" t="s">
        <v>1171</v>
      </c>
      <c r="C23" s="97" t="s">
        <v>1171</v>
      </c>
      <c r="D23" s="104">
        <f>ROUND('2.2,2.3'!H44/'At a glance'!D18*100,2)</f>
        <v>86.42</v>
      </c>
    </row>
    <row r="24" spans="1:4" ht="15" customHeight="1">
      <c r="A24" s="102" t="s">
        <v>275</v>
      </c>
      <c r="B24" s="96" t="s">
        <v>1171</v>
      </c>
      <c r="C24" s="97" t="s">
        <v>1171</v>
      </c>
      <c r="D24" s="104">
        <f>ROUND('2.2,2.3'!G44/'At a glance'!D18*100,2)</f>
        <v>13.58</v>
      </c>
    </row>
    <row r="25" spans="1:4" ht="15" customHeight="1">
      <c r="A25" s="101" t="s">
        <v>2</v>
      </c>
      <c r="B25" s="96"/>
      <c r="C25" s="97"/>
      <c r="D25" s="98"/>
    </row>
    <row r="26" spans="1:4" ht="15" customHeight="1">
      <c r="A26" s="102" t="s">
        <v>714</v>
      </c>
      <c r="B26" s="96">
        <f>District!$B$2</f>
        <v>2014</v>
      </c>
      <c r="C26" s="97" t="s">
        <v>1172</v>
      </c>
      <c r="D26" s="98">
        <f>'1.1,1.2'!H28</f>
        <v>1292</v>
      </c>
    </row>
    <row r="27" spans="1:4" ht="15" customHeight="1">
      <c r="A27" s="102" t="s">
        <v>1181</v>
      </c>
      <c r="B27" s="96" t="s">
        <v>1171</v>
      </c>
      <c r="C27" s="97" t="s">
        <v>1182</v>
      </c>
      <c r="D27" s="98">
        <f>'1.3,1.4'!J19</f>
        <v>42</v>
      </c>
    </row>
    <row r="28" spans="1:4" ht="15" customHeight="1">
      <c r="A28" s="102" t="s">
        <v>715</v>
      </c>
      <c r="B28" s="96" t="s">
        <v>1171</v>
      </c>
      <c r="C28" s="97" t="s">
        <v>1171</v>
      </c>
      <c r="D28" s="98">
        <f>'1.3,1.4'!K19</f>
        <v>9</v>
      </c>
    </row>
    <row r="29" spans="1:4" ht="15" customHeight="1">
      <c r="A29" s="101" t="s">
        <v>1184</v>
      </c>
      <c r="B29" s="96"/>
      <c r="C29" s="97"/>
      <c r="D29" s="98"/>
    </row>
    <row r="30" spans="1:4" ht="15" customHeight="1">
      <c r="A30" s="102" t="s">
        <v>1633</v>
      </c>
      <c r="B30" s="96">
        <f>District!$B$4</f>
        <v>2011</v>
      </c>
      <c r="C30" s="97" t="s">
        <v>1016</v>
      </c>
      <c r="D30" s="104">
        <f>'2.7'!C27</f>
        <v>38.549999999999997</v>
      </c>
    </row>
    <row r="31" spans="1:4" ht="15" customHeight="1">
      <c r="A31" s="102" t="s">
        <v>1185</v>
      </c>
      <c r="B31" s="96" t="s">
        <v>1171</v>
      </c>
      <c r="C31" s="97" t="s">
        <v>1171</v>
      </c>
      <c r="D31" s="104">
        <f>'2.7'!Q27</f>
        <v>61.45</v>
      </c>
    </row>
    <row r="32" spans="1:4" ht="15" customHeight="1">
      <c r="A32" s="101" t="s">
        <v>1153</v>
      </c>
      <c r="B32" s="96"/>
      <c r="C32" s="97"/>
      <c r="D32" s="98"/>
    </row>
    <row r="33" spans="1:4" ht="15" customHeight="1">
      <c r="A33" s="102" t="s">
        <v>1186</v>
      </c>
      <c r="B33" s="96" t="str">
        <f>District!$B$3</f>
        <v>2013-14</v>
      </c>
      <c r="C33" s="106" t="s">
        <v>1002</v>
      </c>
      <c r="D33" s="104">
        <f>'5.1 ,5.1a'!M10</f>
        <v>232.16</v>
      </c>
    </row>
    <row r="34" spans="1:4" ht="25.5">
      <c r="A34" s="107" t="s">
        <v>510</v>
      </c>
      <c r="B34" s="96" t="s">
        <v>1171</v>
      </c>
      <c r="C34" s="97" t="s">
        <v>1016</v>
      </c>
      <c r="D34" s="104">
        <f>ROUND('5.5,5.5a'!K11/'5.1 ,5.1a'!M10*100,2)</f>
        <v>55.04</v>
      </c>
    </row>
    <row r="35" spans="1:4" ht="15" customHeight="1">
      <c r="A35" s="102" t="s">
        <v>277</v>
      </c>
      <c r="B35" s="96" t="s">
        <v>1171</v>
      </c>
      <c r="C35" s="97" t="s">
        <v>1407</v>
      </c>
      <c r="D35" s="98">
        <f>'5.3a'!G7</f>
        <v>3544</v>
      </c>
    </row>
    <row r="36" spans="1:4" ht="15" customHeight="1">
      <c r="A36" s="101" t="s">
        <v>1634</v>
      </c>
      <c r="B36" s="96"/>
      <c r="C36" s="97"/>
      <c r="D36" s="98"/>
    </row>
    <row r="37" spans="1:4" ht="15" customHeight="1">
      <c r="A37" s="107" t="s">
        <v>1168</v>
      </c>
      <c r="B37" s="96">
        <f>District!$B$2</f>
        <v>2014</v>
      </c>
      <c r="C37" s="97" t="s">
        <v>1093</v>
      </c>
      <c r="D37" s="98">
        <f>'3.1'!J12</f>
        <v>91</v>
      </c>
    </row>
    <row r="38" spans="1:4" ht="15" customHeight="1">
      <c r="A38" s="107" t="s">
        <v>719</v>
      </c>
      <c r="B38" s="96" t="str">
        <f>District!$B$3</f>
        <v>2013-14</v>
      </c>
      <c r="C38" s="97" t="s">
        <v>1171</v>
      </c>
      <c r="D38" s="98">
        <f>'3.2'!B11</f>
        <v>511</v>
      </c>
    </row>
    <row r="39" spans="1:4" ht="15" customHeight="1">
      <c r="A39" s="102" t="s">
        <v>307</v>
      </c>
      <c r="B39" s="96" t="s">
        <v>1171</v>
      </c>
      <c r="C39" s="97" t="s">
        <v>1171</v>
      </c>
      <c r="D39" s="98">
        <f>'3.2'!E11</f>
        <v>52</v>
      </c>
    </row>
    <row r="40" spans="1:4" ht="15" customHeight="1">
      <c r="A40" s="102" t="s">
        <v>1632</v>
      </c>
      <c r="B40" s="96">
        <f>District!$B$2</f>
        <v>2014</v>
      </c>
      <c r="C40" s="97" t="s">
        <v>1171</v>
      </c>
      <c r="D40" s="98">
        <f>'3.1'!K12</f>
        <v>2652</v>
      </c>
    </row>
    <row r="41" spans="1:4" ht="15" customHeight="1">
      <c r="A41" s="102" t="s">
        <v>1489</v>
      </c>
      <c r="B41" s="96" t="s">
        <v>1171</v>
      </c>
      <c r="C41" s="97" t="s">
        <v>1171</v>
      </c>
      <c r="D41" s="98">
        <f>ROUND(D40/(D18/100000),0)</f>
        <v>66</v>
      </c>
    </row>
    <row r="42" spans="1:4" ht="15" customHeight="1">
      <c r="A42" s="101" t="s">
        <v>791</v>
      </c>
      <c r="B42" s="96"/>
      <c r="C42" s="97"/>
      <c r="D42" s="98"/>
    </row>
    <row r="43" spans="1:4" ht="15" customHeight="1">
      <c r="A43" s="102" t="s">
        <v>504</v>
      </c>
      <c r="B43" s="96" t="str">
        <f>District!$B$3</f>
        <v>2013-14</v>
      </c>
      <c r="C43" s="97" t="s">
        <v>1093</v>
      </c>
      <c r="D43" s="98">
        <f>'4.1a'!I8</f>
        <v>1942</v>
      </c>
    </row>
    <row r="44" spans="1:4" ht="15" customHeight="1">
      <c r="A44" s="102" t="s">
        <v>505</v>
      </c>
      <c r="B44" s="96" t="s">
        <v>1171</v>
      </c>
      <c r="C44" s="97" t="s">
        <v>1171</v>
      </c>
      <c r="D44" s="98">
        <f>'4.1a'!I13</f>
        <v>185</v>
      </c>
    </row>
    <row r="45" spans="1:4" ht="15" customHeight="1">
      <c r="A45" s="102" t="s">
        <v>506</v>
      </c>
      <c r="B45" s="96" t="s">
        <v>1171</v>
      </c>
      <c r="C45" s="97" t="s">
        <v>1171</v>
      </c>
      <c r="D45" s="98">
        <f>'4.1a'!I18</f>
        <v>128</v>
      </c>
    </row>
    <row r="46" spans="1:4" ht="15" customHeight="1">
      <c r="A46" s="102" t="s">
        <v>507</v>
      </c>
      <c r="B46" s="96" t="s">
        <v>1171</v>
      </c>
      <c r="C46" s="97" t="s">
        <v>1171</v>
      </c>
      <c r="D46" s="98">
        <f>'4.1a'!I23</f>
        <v>208</v>
      </c>
    </row>
    <row r="47" spans="1:4" ht="15" customHeight="1">
      <c r="A47" s="102" t="s">
        <v>508</v>
      </c>
      <c r="B47" s="96" t="s">
        <v>1171</v>
      </c>
      <c r="C47" s="97" t="s">
        <v>1171</v>
      </c>
      <c r="D47" s="98">
        <f>'4.1a'!I29</f>
        <v>10</v>
      </c>
    </row>
    <row r="48" spans="1:4" ht="15" customHeight="1">
      <c r="A48" s="102" t="s">
        <v>509</v>
      </c>
      <c r="B48" s="96" t="s">
        <v>1171</v>
      </c>
      <c r="C48" s="97" t="s">
        <v>1171</v>
      </c>
      <c r="D48" s="98">
        <f>IF(SUM('4.1a'!I30,'4.1b'!I34)=0,"-",SUM('4.1a'!I30,'4.1b'!I34))</f>
        <v>1</v>
      </c>
    </row>
    <row r="49" spans="1:4" ht="15" customHeight="1">
      <c r="A49" s="102" t="s">
        <v>792</v>
      </c>
      <c r="B49" s="96">
        <f>District!$B$4</f>
        <v>2011</v>
      </c>
      <c r="C49" s="97" t="s">
        <v>1016</v>
      </c>
      <c r="D49" s="104">
        <f>'4.5'!$H$26</f>
        <v>66.239999999999995</v>
      </c>
    </row>
    <row r="50" spans="1:4" ht="15" customHeight="1">
      <c r="A50" s="102" t="s">
        <v>793</v>
      </c>
      <c r="B50" s="96" t="s">
        <v>1171</v>
      </c>
      <c r="C50" s="97" t="s">
        <v>1171</v>
      </c>
      <c r="D50" s="104">
        <f>'4.5'!$I$26</f>
        <v>56.96</v>
      </c>
    </row>
    <row r="51" spans="1:4" ht="15" customHeight="1">
      <c r="A51" s="108" t="s">
        <v>794</v>
      </c>
      <c r="B51" s="109" t="s">
        <v>1171</v>
      </c>
      <c r="C51" s="110" t="s">
        <v>1171</v>
      </c>
      <c r="D51" s="111">
        <f>'4.5'!$J$26</f>
        <v>61.73</v>
      </c>
    </row>
    <row r="52" spans="1:4">
      <c r="A52" s="540"/>
      <c r="B52" s="427"/>
      <c r="C52" s="541"/>
      <c r="D52" s="882" t="s">
        <v>216</v>
      </c>
    </row>
    <row r="53" spans="1:4">
      <c r="A53" s="1341" t="s">
        <v>1564</v>
      </c>
      <c r="B53" s="1341"/>
      <c r="C53" s="1341"/>
      <c r="D53" s="1341"/>
    </row>
    <row r="54" spans="1:4" ht="20.25">
      <c r="A54" s="1340" t="str">
        <f>CONCATENATE(District!$A$1," at a glance (concld.)")</f>
        <v>Malda at a glance (concld.)</v>
      </c>
      <c r="B54" s="1340"/>
      <c r="C54" s="1340"/>
      <c r="D54" s="1340"/>
    </row>
    <row r="55" spans="1:4" ht="14.25" customHeight="1">
      <c r="A55" s="798" t="s">
        <v>1088</v>
      </c>
      <c r="B55" s="798" t="s">
        <v>1089</v>
      </c>
      <c r="C55" s="798" t="s">
        <v>1090</v>
      </c>
      <c r="D55" s="586" t="s">
        <v>1091</v>
      </c>
    </row>
    <row r="56" spans="1:4" ht="14.25" customHeight="1">
      <c r="A56" s="99" t="s">
        <v>1208</v>
      </c>
      <c r="B56" s="99" t="s">
        <v>1209</v>
      </c>
      <c r="C56" s="99" t="s">
        <v>1210</v>
      </c>
      <c r="D56" s="100" t="s">
        <v>1211</v>
      </c>
    </row>
    <row r="57" spans="1:4" ht="15" customHeight="1">
      <c r="A57" s="101" t="s">
        <v>1152</v>
      </c>
      <c r="B57" s="96"/>
      <c r="C57" s="97"/>
      <c r="D57" s="98"/>
    </row>
    <row r="58" spans="1:4" ht="15" customHeight="1">
      <c r="A58" s="102" t="s">
        <v>308</v>
      </c>
      <c r="B58" s="96">
        <f>District!$B$2</f>
        <v>2014</v>
      </c>
      <c r="C58" s="97" t="s">
        <v>1093</v>
      </c>
      <c r="D58" s="98" t="str">
        <f>'9.1'!G9</f>
        <v>82 (P)</v>
      </c>
    </row>
    <row r="59" spans="1:4" ht="15" customHeight="1">
      <c r="A59" s="547" t="s">
        <v>720</v>
      </c>
      <c r="B59" s="96" t="str">
        <f>District!B3</f>
        <v>2013-14</v>
      </c>
      <c r="C59" s="97" t="s">
        <v>1171</v>
      </c>
      <c r="D59" s="362">
        <f>'8.1,8.2'!D11</f>
        <v>2891</v>
      </c>
    </row>
    <row r="60" spans="1:4" ht="15" customHeight="1">
      <c r="A60" s="101" t="s">
        <v>1151</v>
      </c>
      <c r="B60" s="96"/>
      <c r="C60" s="97"/>
      <c r="D60" s="98"/>
    </row>
    <row r="61" spans="1:4" ht="15" customHeight="1">
      <c r="A61" s="102" t="s">
        <v>309</v>
      </c>
      <c r="B61" s="96" t="s">
        <v>803</v>
      </c>
      <c r="C61" s="97" t="s">
        <v>1171</v>
      </c>
      <c r="D61" s="98">
        <f>'9.1'!G11</f>
        <v>8520</v>
      </c>
    </row>
    <row r="62" spans="1:4" ht="15" customHeight="1">
      <c r="A62" s="102" t="s">
        <v>223</v>
      </c>
      <c r="B62" s="96">
        <f>District!$B$2</f>
        <v>2014</v>
      </c>
      <c r="C62" s="97" t="s">
        <v>1171</v>
      </c>
      <c r="D62" s="98" t="str">
        <f>'9.1'!G10</f>
        <v>3319 (P)</v>
      </c>
    </row>
    <row r="63" spans="1:4" ht="15" customHeight="1">
      <c r="A63" s="547" t="s">
        <v>720</v>
      </c>
      <c r="B63" s="96" t="str">
        <f>District!B3</f>
        <v>2013-14</v>
      </c>
      <c r="C63" s="97" t="s">
        <v>1171</v>
      </c>
      <c r="D63" s="362">
        <f>'8.1,8.2'!F11</f>
        <v>18658</v>
      </c>
    </row>
    <row r="64" spans="1:4" ht="15" customHeight="1">
      <c r="A64" s="101" t="s">
        <v>1150</v>
      </c>
      <c r="B64" s="96"/>
      <c r="C64" s="97"/>
      <c r="D64" s="98"/>
    </row>
    <row r="65" spans="1:4" ht="15" customHeight="1">
      <c r="A65" s="102" t="s">
        <v>721</v>
      </c>
      <c r="B65" s="96">
        <f>District!$B$2</f>
        <v>2014</v>
      </c>
      <c r="C65" s="97" t="s">
        <v>1171</v>
      </c>
      <c r="D65" s="98">
        <f>'10.1,10.2'!F13</f>
        <v>282637</v>
      </c>
    </row>
    <row r="66" spans="1:4" ht="15" customHeight="1">
      <c r="A66" s="101" t="s">
        <v>1187</v>
      </c>
      <c r="B66" s="96"/>
      <c r="C66" s="97"/>
      <c r="D66" s="98"/>
    </row>
    <row r="67" spans="1:4" ht="15" customHeight="1">
      <c r="A67" s="102" t="s">
        <v>679</v>
      </c>
      <c r="B67" s="96" t="str">
        <f>District!$B$3</f>
        <v>2013-14</v>
      </c>
      <c r="C67" s="97" t="s">
        <v>1171</v>
      </c>
      <c r="D67" s="98">
        <f>'8.1,8.2'!F39</f>
        <v>1796</v>
      </c>
    </row>
    <row r="68" spans="1:4" ht="15" customHeight="1">
      <c r="A68" s="102" t="s">
        <v>1018</v>
      </c>
      <c r="B68" s="96" t="s">
        <v>1171</v>
      </c>
      <c r="C68" s="106" t="s">
        <v>969</v>
      </c>
      <c r="D68" s="105">
        <f>'8.2a'!J10</f>
        <v>345639</v>
      </c>
    </row>
    <row r="69" spans="1:4" ht="15" customHeight="1">
      <c r="A69" s="101" t="s">
        <v>1188</v>
      </c>
      <c r="B69" s="96"/>
      <c r="C69" s="97"/>
      <c r="D69" s="98"/>
    </row>
    <row r="70" spans="1:4" ht="15" customHeight="1">
      <c r="A70" s="102" t="s">
        <v>1189</v>
      </c>
      <c r="B70" s="96" t="s">
        <v>1171</v>
      </c>
      <c r="C70" s="97" t="s">
        <v>1093</v>
      </c>
      <c r="D70" s="98">
        <f>'7.1'!C49</f>
        <v>592</v>
      </c>
    </row>
    <row r="71" spans="1:4" ht="15" customHeight="1">
      <c r="A71" s="102" t="s">
        <v>1190</v>
      </c>
      <c r="B71" s="96" t="s">
        <v>1171</v>
      </c>
      <c r="C71" s="97" t="s">
        <v>1171</v>
      </c>
      <c r="D71" s="98">
        <f>'7.1'!D49</f>
        <v>155785</v>
      </c>
    </row>
    <row r="72" spans="1:4" ht="15" customHeight="1">
      <c r="A72" s="102" t="s">
        <v>1191</v>
      </c>
      <c r="B72" s="96" t="s">
        <v>1171</v>
      </c>
      <c r="C72" s="106" t="s">
        <v>945</v>
      </c>
      <c r="D72" s="98">
        <f>'7.1'!E49</f>
        <v>9244227</v>
      </c>
    </row>
    <row r="73" spans="1:4" ht="15" customHeight="1">
      <c r="A73" s="1260" t="s">
        <v>511</v>
      </c>
      <c r="B73" s="96"/>
      <c r="C73" s="106"/>
      <c r="D73" s="98"/>
    </row>
    <row r="74" spans="1:4" ht="15" customHeight="1">
      <c r="A74" s="102" t="s">
        <v>1192</v>
      </c>
      <c r="B74" s="1121" t="str">
        <f>"June, " &amp; '7.2,7.3'!A13</f>
        <v>June, 2014</v>
      </c>
      <c r="C74" s="97" t="s">
        <v>1093</v>
      </c>
      <c r="D74" s="98">
        <f>'7.2,7.3'!N13</f>
        <v>189</v>
      </c>
    </row>
    <row r="75" spans="1:4" ht="15" customHeight="1">
      <c r="A75" s="101" t="s">
        <v>1149</v>
      </c>
      <c r="B75" s="96"/>
      <c r="C75" s="97"/>
      <c r="D75" s="98"/>
    </row>
    <row r="76" spans="1:4" ht="15" customHeight="1">
      <c r="A76" s="102" t="s">
        <v>1193</v>
      </c>
      <c r="B76" s="96" t="str">
        <f>District!$B$3</f>
        <v>2013-14</v>
      </c>
      <c r="C76" s="97" t="s">
        <v>1093</v>
      </c>
      <c r="D76" s="98">
        <f>'12.5,12.6,12.7'!B22</f>
        <v>334</v>
      </c>
    </row>
    <row r="77" spans="1:4" ht="15" customHeight="1">
      <c r="A77" s="102" t="s">
        <v>1194</v>
      </c>
      <c r="B77" s="96" t="s">
        <v>1171</v>
      </c>
      <c r="C77" s="97" t="s">
        <v>1171</v>
      </c>
      <c r="D77" s="98" t="str">
        <f>'12.5,12.6,12.7'!F22</f>
        <v>-</v>
      </c>
    </row>
    <row r="78" spans="1:4" ht="15" customHeight="1">
      <c r="A78" s="102" t="s">
        <v>795</v>
      </c>
      <c r="B78" s="96" t="s">
        <v>1171</v>
      </c>
      <c r="C78" s="97" t="s">
        <v>1296</v>
      </c>
      <c r="D78" s="104">
        <f>SUM('12.1,12.2'!B11,'12.1,12.2'!E11,'12.1,12.2'!H11,'12.1,12.2'!K11,'12.3,12.4'!C10:E10)</f>
        <v>4270.9800000000005</v>
      </c>
    </row>
    <row r="79" spans="1:4" ht="15" customHeight="1">
      <c r="A79" s="102" t="s">
        <v>796</v>
      </c>
      <c r="B79" s="96" t="s">
        <v>1171</v>
      </c>
      <c r="C79" s="97" t="s">
        <v>1171</v>
      </c>
      <c r="D79" s="104">
        <f>SUM('12.1,12.2'!C11,'12.1,12.2'!F11,'12.1,12.2'!I11,'12.3,12.4'!F10:H10)</f>
        <v>4655.8999999999996</v>
      </c>
    </row>
    <row r="80" spans="1:4" ht="15" customHeight="1">
      <c r="A80" s="102" t="s">
        <v>697</v>
      </c>
      <c r="B80" s="96" t="s">
        <v>1171</v>
      </c>
      <c r="C80" s="97" t="s">
        <v>1093</v>
      </c>
      <c r="D80" s="98">
        <f>'12.3,12.4'!K28</f>
        <v>184509</v>
      </c>
    </row>
    <row r="81" spans="1:4" ht="15" customHeight="1">
      <c r="A81" s="101" t="s">
        <v>1200</v>
      </c>
      <c r="B81" s="96"/>
      <c r="C81" s="97"/>
      <c r="D81" s="98"/>
    </row>
    <row r="82" spans="1:4" ht="15" customHeight="1">
      <c r="A82" s="102" t="s">
        <v>722</v>
      </c>
      <c r="B82" s="96" t="s">
        <v>1171</v>
      </c>
      <c r="C82" s="106" t="s">
        <v>945</v>
      </c>
      <c r="D82" s="105">
        <f>'15.2'!B10</f>
        <v>194933</v>
      </c>
    </row>
    <row r="83" spans="1:4" ht="15" customHeight="1">
      <c r="A83" s="108" t="s">
        <v>1502</v>
      </c>
      <c r="B83" s="109" t="s">
        <v>1171</v>
      </c>
      <c r="C83" s="110" t="s">
        <v>1171</v>
      </c>
      <c r="D83" s="94">
        <f>'15.1'!L10</f>
        <v>1650812</v>
      </c>
    </row>
    <row r="84" spans="1:4">
      <c r="A84" s="1150"/>
      <c r="B84"/>
      <c r="C84"/>
      <c r="D84"/>
    </row>
    <row r="85" spans="1:4">
      <c r="B85"/>
      <c r="C85"/>
      <c r="D85"/>
    </row>
    <row r="86" spans="1:4" ht="18" hidden="1">
      <c r="A86" s="1339" t="s">
        <v>733</v>
      </c>
      <c r="B86" s="1339"/>
      <c r="C86" s="1339"/>
      <c r="D86"/>
    </row>
    <row r="87" spans="1:4" hidden="1">
      <c r="A87" s="332" t="s">
        <v>445</v>
      </c>
      <c r="B87" s="333" t="s">
        <v>734</v>
      </c>
      <c r="C87"/>
    </row>
    <row r="88" spans="1:4" hidden="1">
      <c r="A88" s="332" t="s">
        <v>416</v>
      </c>
      <c r="B88" s="333" t="s">
        <v>735</v>
      </c>
      <c r="C88"/>
    </row>
    <row r="89" spans="1:4" hidden="1">
      <c r="A89" s="158" t="s">
        <v>417</v>
      </c>
      <c r="B89" s="333" t="s">
        <v>736</v>
      </c>
      <c r="C89"/>
    </row>
    <row r="90" spans="1:4" hidden="1">
      <c r="A90" s="158" t="s">
        <v>419</v>
      </c>
      <c r="B90" s="333" t="s">
        <v>737</v>
      </c>
      <c r="C90"/>
    </row>
    <row r="91" spans="1:4" hidden="1">
      <c r="A91" s="158" t="s">
        <v>420</v>
      </c>
      <c r="B91" s="333" t="s">
        <v>738</v>
      </c>
      <c r="C91"/>
    </row>
    <row r="92" spans="1:4" hidden="1">
      <c r="A92" s="158" t="s">
        <v>418</v>
      </c>
      <c r="B92" s="333" t="s">
        <v>476</v>
      </c>
      <c r="C92"/>
    </row>
    <row r="93" spans="1:4" hidden="1">
      <c r="A93" s="158" t="s">
        <v>421</v>
      </c>
      <c r="B93" s="333" t="s">
        <v>739</v>
      </c>
      <c r="C93"/>
    </row>
    <row r="94" spans="1:4" hidden="1">
      <c r="A94" s="158" t="s">
        <v>437</v>
      </c>
      <c r="B94" s="333" t="s">
        <v>740</v>
      </c>
      <c r="C94"/>
    </row>
    <row r="95" spans="1:4" hidden="1">
      <c r="A95" s="158" t="s">
        <v>438</v>
      </c>
      <c r="B95" s="333" t="s">
        <v>1096</v>
      </c>
      <c r="C95"/>
    </row>
    <row r="96" spans="1:4" hidden="1">
      <c r="A96" s="158" t="s">
        <v>439</v>
      </c>
      <c r="B96" s="333" t="s">
        <v>1097</v>
      </c>
      <c r="C96"/>
    </row>
    <row r="97" spans="1:3" hidden="1">
      <c r="A97" s="158" t="s">
        <v>442</v>
      </c>
      <c r="B97" s="333" t="s">
        <v>90</v>
      </c>
      <c r="C97"/>
    </row>
    <row r="98" spans="1:3" hidden="1">
      <c r="A98" s="158" t="s">
        <v>443</v>
      </c>
      <c r="B98" s="333" t="s">
        <v>1257</v>
      </c>
      <c r="C98"/>
    </row>
    <row r="99" spans="1:3" hidden="1">
      <c r="A99" s="158" t="s">
        <v>444</v>
      </c>
      <c r="B99" s="333" t="s">
        <v>1256</v>
      </c>
      <c r="C99"/>
    </row>
    <row r="100" spans="1:3">
      <c r="A100" s="1"/>
      <c r="C100"/>
    </row>
    <row r="122" spans="1:4">
      <c r="A122" s="1337" t="s">
        <v>1566</v>
      </c>
      <c r="B122" s="1337"/>
      <c r="C122" s="1337"/>
      <c r="D122" s="1337"/>
    </row>
  </sheetData>
  <mergeCells count="5">
    <mergeCell ref="A122:D122"/>
    <mergeCell ref="A1:D1"/>
    <mergeCell ref="A86:C86"/>
    <mergeCell ref="A54:D54"/>
    <mergeCell ref="A53:D53"/>
  </mergeCells>
  <phoneticPr fontId="0" type="noConversion"/>
  <printOptions horizontalCentered="1"/>
  <pageMargins left="0.1" right="0.1" top="0.46" bottom="0.1" header="0.48" footer="0.1"/>
  <pageSetup paperSize="9" orientation="portrait" blackAndWhite="1" r:id="rId1"/>
  <headerFooter alignWithMargins="0"/>
  <rowBreaks count="1" manualBreakCount="1">
    <brk id="53" max="16383" man="1"/>
  </rowBreaks>
  <legacyDrawing r:id="rId2"/>
  <oleObjects>
    <oleObject progId="Word.Document.8" shapeId="29697" r:id="rId3"/>
  </oleObjects>
</worksheet>
</file>

<file path=xl/worksheets/sheet50.xml><?xml version="1.0" encoding="utf-8"?>
<worksheet xmlns="http://schemas.openxmlformats.org/spreadsheetml/2006/main" xmlns:r="http://schemas.openxmlformats.org/officeDocument/2006/relationships">
  <sheetPr codeName="Sheet38"/>
  <dimension ref="A1:J52"/>
  <sheetViews>
    <sheetView topLeftCell="A5" workbookViewId="0">
      <selection activeCell="M5" sqref="M5"/>
    </sheetView>
  </sheetViews>
  <sheetFormatPr defaultRowHeight="12.75"/>
  <cols>
    <col min="2" max="2" width="13.28515625" customWidth="1"/>
    <col min="3" max="7" width="12.7109375" customWidth="1"/>
    <col min="8" max="8" width="15.5703125" customWidth="1"/>
    <col min="9" max="9" width="12.7109375" customWidth="1"/>
    <col min="10" max="10" width="13.7109375" customWidth="1"/>
  </cols>
  <sheetData>
    <row r="1" spans="1:10" ht="12.75" customHeight="1">
      <c r="A1" s="1363" t="s">
        <v>1439</v>
      </c>
      <c r="B1" s="1363"/>
      <c r="C1" s="1363"/>
      <c r="D1" s="1363"/>
      <c r="E1" s="1363"/>
      <c r="F1" s="1363"/>
      <c r="G1" s="1363"/>
      <c r="H1" s="1363"/>
      <c r="I1" s="1363"/>
      <c r="J1" s="1363"/>
    </row>
    <row r="2" spans="1:10" ht="13.5" customHeight="1">
      <c r="A2" s="1477" t="str">
        <f>CONCATENATE("Veterinary Hospitals, Veterinary Personnel and Cases treated in the district of ",District!A1)</f>
        <v>Veterinary Hospitals, Veterinary Personnel and Cases treated in the district of Malda</v>
      </c>
      <c r="B2" s="1477"/>
      <c r="C2" s="1477"/>
      <c r="D2" s="1477"/>
      <c r="E2" s="1477"/>
      <c r="F2" s="1477"/>
      <c r="G2" s="1477"/>
      <c r="H2" s="1477"/>
      <c r="I2" s="1477"/>
      <c r="J2" s="1477"/>
    </row>
    <row r="3" spans="1:10" ht="11.25" customHeight="1">
      <c r="B3" s="4"/>
      <c r="C3" s="4"/>
      <c r="D3" s="4"/>
      <c r="E3" s="4"/>
      <c r="F3" s="4"/>
      <c r="G3" s="4"/>
      <c r="H3" s="4"/>
      <c r="J3" s="159" t="s">
        <v>1253</v>
      </c>
    </row>
    <row r="4" spans="1:10" ht="45" customHeight="1">
      <c r="A4" s="1391" t="s">
        <v>1089</v>
      </c>
      <c r="B4" s="1392"/>
      <c r="C4" s="258" t="s">
        <v>617</v>
      </c>
      <c r="D4" s="545" t="s">
        <v>383</v>
      </c>
      <c r="E4" s="261" t="s">
        <v>384</v>
      </c>
      <c r="F4" s="545" t="s">
        <v>385</v>
      </c>
      <c r="G4" s="261" t="s">
        <v>386</v>
      </c>
      <c r="H4" s="772" t="s">
        <v>1541</v>
      </c>
      <c r="I4" s="258" t="s">
        <v>1642</v>
      </c>
      <c r="J4" s="773" t="s">
        <v>1542</v>
      </c>
    </row>
    <row r="5" spans="1:10" ht="12.75" customHeight="1">
      <c r="A5" s="1741" t="s">
        <v>1208</v>
      </c>
      <c r="B5" s="1742"/>
      <c r="C5" s="466" t="s">
        <v>1209</v>
      </c>
      <c r="D5" s="328" t="s">
        <v>1210</v>
      </c>
      <c r="E5" s="466" t="s">
        <v>1211</v>
      </c>
      <c r="F5" s="328" t="s">
        <v>1212</v>
      </c>
      <c r="G5" s="466" t="s">
        <v>1213</v>
      </c>
      <c r="H5" s="328" t="s">
        <v>1214</v>
      </c>
      <c r="I5" s="466" t="s">
        <v>1244</v>
      </c>
      <c r="J5" s="467" t="s">
        <v>1245</v>
      </c>
    </row>
    <row r="6" spans="1:10" ht="15.95" customHeight="1">
      <c r="A6" s="1745" t="str">
        <f>District!K9</f>
        <v>2009-10</v>
      </c>
      <c r="B6" s="1746"/>
      <c r="C6" s="116">
        <v>4</v>
      </c>
      <c r="D6" s="41">
        <v>15</v>
      </c>
      <c r="E6" s="116">
        <v>15</v>
      </c>
      <c r="F6" s="41">
        <v>146</v>
      </c>
      <c r="G6" s="116" t="s">
        <v>1509</v>
      </c>
      <c r="H6" s="41" t="s">
        <v>1217</v>
      </c>
      <c r="I6" s="116" t="s">
        <v>553</v>
      </c>
      <c r="J6" s="98">
        <v>586844</v>
      </c>
    </row>
    <row r="7" spans="1:10" ht="15.95" customHeight="1">
      <c r="A7" s="1743" t="str">
        <f>District!K10</f>
        <v>2010-11</v>
      </c>
      <c r="B7" s="1744"/>
      <c r="C7" s="116">
        <v>4</v>
      </c>
      <c r="D7" s="41">
        <v>15</v>
      </c>
      <c r="E7" s="116">
        <v>15</v>
      </c>
      <c r="F7" s="41">
        <v>146</v>
      </c>
      <c r="G7" s="116" t="s">
        <v>1509</v>
      </c>
      <c r="H7" s="41" t="s">
        <v>269</v>
      </c>
      <c r="I7" s="116" t="s">
        <v>553</v>
      </c>
      <c r="J7" s="98">
        <v>593290</v>
      </c>
    </row>
    <row r="8" spans="1:10" ht="15.95" customHeight="1">
      <c r="A8" s="1743" t="str">
        <f>District!K11</f>
        <v>2011-12</v>
      </c>
      <c r="B8" s="1744"/>
      <c r="C8" s="98">
        <v>4</v>
      </c>
      <c r="D8" s="41">
        <v>15</v>
      </c>
      <c r="E8" s="116">
        <v>15</v>
      </c>
      <c r="F8" s="116">
        <v>146</v>
      </c>
      <c r="G8" s="534" t="s">
        <v>1509</v>
      </c>
      <c r="H8" s="116" t="s">
        <v>269</v>
      </c>
      <c r="I8" s="116" t="s">
        <v>553</v>
      </c>
      <c r="J8" s="116">
        <v>597700</v>
      </c>
    </row>
    <row r="9" spans="1:10" ht="15.95" customHeight="1">
      <c r="A9" s="1743" t="str">
        <f>District!K12</f>
        <v>2012-13</v>
      </c>
      <c r="B9" s="1744"/>
      <c r="C9" s="98">
        <v>4</v>
      </c>
      <c r="D9" s="41">
        <v>15</v>
      </c>
      <c r="E9" s="116">
        <v>15</v>
      </c>
      <c r="F9" s="116">
        <v>146</v>
      </c>
      <c r="G9" s="534" t="s">
        <v>1509</v>
      </c>
      <c r="H9" s="116" t="s">
        <v>1217</v>
      </c>
      <c r="I9" s="116">
        <v>153</v>
      </c>
      <c r="J9" s="116">
        <v>656332</v>
      </c>
    </row>
    <row r="10" spans="1:10" ht="15.95" customHeight="1">
      <c r="A10" s="1753" t="str">
        <f>District!K13</f>
        <v>2013-14</v>
      </c>
      <c r="B10" s="1754"/>
      <c r="C10" s="98">
        <f>IF(SUM(C12,C19)=0,"-",SUM(C12,C19))</f>
        <v>4</v>
      </c>
      <c r="D10" s="98">
        <f t="shared" ref="D10:J10" si="0">IF(SUM(D12,D19)=0,"-",SUM(D12,D19))</f>
        <v>15</v>
      </c>
      <c r="E10" s="98">
        <f t="shared" si="0"/>
        <v>15</v>
      </c>
      <c r="F10" s="98">
        <f t="shared" si="0"/>
        <v>146</v>
      </c>
      <c r="G10" s="98" t="str">
        <f t="shared" si="0"/>
        <v>-</v>
      </c>
      <c r="H10" s="98">
        <f>IF(SUM(H12,H19)=0,"-",SUM(H12,H19))</f>
        <v>148</v>
      </c>
      <c r="I10" s="98">
        <f>IF(SUM(I12,I19)=0,"-",SUM(I12,I19))</f>
        <v>55</v>
      </c>
      <c r="J10" s="98">
        <f t="shared" si="0"/>
        <v>956785</v>
      </c>
    </row>
    <row r="11" spans="1:10" ht="24.75" customHeight="1">
      <c r="A11" s="1389" t="s">
        <v>410</v>
      </c>
      <c r="B11" s="1392"/>
      <c r="C11" s="1535" t="str">
        <f>"Year : " &amp; A10</f>
        <v>Year : 2013-14</v>
      </c>
      <c r="D11" s="1536"/>
      <c r="E11" s="1536"/>
      <c r="F11" s="1536"/>
      <c r="G11" s="1536"/>
      <c r="H11" s="1536"/>
      <c r="I11" s="1536"/>
      <c r="J11" s="1537"/>
    </row>
    <row r="12" spans="1:10" ht="14.25" customHeight="1">
      <c r="A12" s="1747" t="s">
        <v>1155</v>
      </c>
      <c r="B12" s="1748"/>
      <c r="C12" s="439">
        <f t="shared" ref="C12:J12" si="1">IF(SUM(C13:C18)=0,"-",SUM(C13:C18))</f>
        <v>2</v>
      </c>
      <c r="D12" s="211">
        <f>IF(SUM(D13:D18)=0,"-",SUM(D13:D18))</f>
        <v>6</v>
      </c>
      <c r="E12" s="439">
        <f>IF(SUM(E13:E18)=0,"-",SUM(E13:E18))</f>
        <v>6</v>
      </c>
      <c r="F12" s="211">
        <f t="shared" si="1"/>
        <v>49</v>
      </c>
      <c r="G12" s="372" t="str">
        <f t="shared" si="1"/>
        <v>-</v>
      </c>
      <c r="H12" s="211">
        <f t="shared" si="1"/>
        <v>45</v>
      </c>
      <c r="I12" s="372">
        <f t="shared" si="1"/>
        <v>21</v>
      </c>
      <c r="J12" s="103">
        <f t="shared" si="1"/>
        <v>383346</v>
      </c>
    </row>
    <row r="13" spans="1:10" ht="14.25" customHeight="1">
      <c r="A13" s="1749" t="s">
        <v>1051</v>
      </c>
      <c r="B13" s="1750"/>
      <c r="C13" s="362">
        <v>1</v>
      </c>
      <c r="D13" s="121">
        <v>1</v>
      </c>
      <c r="E13" s="116">
        <v>1</v>
      </c>
      <c r="F13" s="41">
        <v>7</v>
      </c>
      <c r="G13" s="116" t="s">
        <v>1509</v>
      </c>
      <c r="H13" s="41">
        <v>9</v>
      </c>
      <c r="I13" s="116">
        <v>5</v>
      </c>
      <c r="J13" s="98">
        <v>88529</v>
      </c>
    </row>
    <row r="14" spans="1:10" ht="14.25" customHeight="1">
      <c r="A14" s="1751" t="s">
        <v>495</v>
      </c>
      <c r="B14" s="1752"/>
      <c r="C14" s="116" t="s">
        <v>1509</v>
      </c>
      <c r="D14" s="121">
        <v>1</v>
      </c>
      <c r="E14" s="116">
        <v>1</v>
      </c>
      <c r="F14" s="41">
        <v>9</v>
      </c>
      <c r="G14" s="116" t="s">
        <v>1509</v>
      </c>
      <c r="H14" s="41">
        <v>5</v>
      </c>
      <c r="I14" s="116">
        <v>3</v>
      </c>
      <c r="J14" s="98">
        <v>46182</v>
      </c>
    </row>
    <row r="15" spans="1:10" ht="14.25" customHeight="1">
      <c r="A15" s="1342" t="s">
        <v>531</v>
      </c>
      <c r="B15" s="1736"/>
      <c r="C15" s="116">
        <v>1</v>
      </c>
      <c r="D15" s="121">
        <v>1</v>
      </c>
      <c r="E15" s="116">
        <v>1</v>
      </c>
      <c r="F15" s="41">
        <v>8</v>
      </c>
      <c r="G15" s="116" t="s">
        <v>1509</v>
      </c>
      <c r="H15" s="41">
        <v>6</v>
      </c>
      <c r="I15" s="116">
        <v>4</v>
      </c>
      <c r="J15" s="98">
        <v>60242</v>
      </c>
    </row>
    <row r="16" spans="1:10" ht="14.25" customHeight="1">
      <c r="A16" s="1342" t="s">
        <v>532</v>
      </c>
      <c r="B16" s="1736"/>
      <c r="C16" s="116" t="s">
        <v>1509</v>
      </c>
      <c r="D16" s="121">
        <v>1</v>
      </c>
      <c r="E16" s="116">
        <v>1</v>
      </c>
      <c r="F16" s="41">
        <v>7</v>
      </c>
      <c r="G16" s="116" t="s">
        <v>1509</v>
      </c>
      <c r="H16" s="41">
        <v>10</v>
      </c>
      <c r="I16" s="116">
        <v>3</v>
      </c>
      <c r="J16" s="98">
        <v>72706</v>
      </c>
    </row>
    <row r="17" spans="1:10" ht="14.25" customHeight="1">
      <c r="A17" s="1342" t="s">
        <v>533</v>
      </c>
      <c r="B17" s="1736"/>
      <c r="C17" s="116" t="s">
        <v>1509</v>
      </c>
      <c r="D17" s="121">
        <v>1</v>
      </c>
      <c r="E17" s="116">
        <v>1</v>
      </c>
      <c r="F17" s="41">
        <v>10</v>
      </c>
      <c r="G17" s="116" t="s">
        <v>1509</v>
      </c>
      <c r="H17" s="41">
        <v>7</v>
      </c>
      <c r="I17" s="116">
        <v>3</v>
      </c>
      <c r="J17" s="98">
        <v>35325</v>
      </c>
    </row>
    <row r="18" spans="1:10" ht="14.25" customHeight="1">
      <c r="A18" s="1342" t="s">
        <v>573</v>
      </c>
      <c r="B18" s="1736"/>
      <c r="C18" s="116" t="s">
        <v>1509</v>
      </c>
      <c r="D18" s="121">
        <v>1</v>
      </c>
      <c r="E18" s="116">
        <v>1</v>
      </c>
      <c r="F18" s="41">
        <v>8</v>
      </c>
      <c r="G18" s="116" t="s">
        <v>1509</v>
      </c>
      <c r="H18" s="41">
        <v>8</v>
      </c>
      <c r="I18" s="116">
        <v>3</v>
      </c>
      <c r="J18" s="98">
        <v>80362</v>
      </c>
    </row>
    <row r="19" spans="1:10" ht="14.25" customHeight="1">
      <c r="A19" s="1738" t="s">
        <v>1543</v>
      </c>
      <c r="B19" s="1739"/>
      <c r="C19" s="372">
        <f t="shared" ref="C19:J19" si="2">IF(SUM(C20:C30)=0,"-",SUM(C20:C30))</f>
        <v>2</v>
      </c>
      <c r="D19" s="210">
        <f t="shared" si="2"/>
        <v>9</v>
      </c>
      <c r="E19" s="372">
        <f t="shared" si="2"/>
        <v>9</v>
      </c>
      <c r="F19" s="211">
        <f t="shared" si="2"/>
        <v>97</v>
      </c>
      <c r="G19" s="372" t="str">
        <f t="shared" si="2"/>
        <v>-</v>
      </c>
      <c r="H19" s="372">
        <f t="shared" si="2"/>
        <v>103</v>
      </c>
      <c r="I19" s="372">
        <f t="shared" si="2"/>
        <v>34</v>
      </c>
      <c r="J19" s="103">
        <f t="shared" si="2"/>
        <v>573439</v>
      </c>
    </row>
    <row r="20" spans="1:10" ht="14.25" customHeight="1">
      <c r="A20" s="1342" t="s">
        <v>576</v>
      </c>
      <c r="B20" s="1736"/>
      <c r="C20" s="116">
        <v>1</v>
      </c>
      <c r="D20" s="41">
        <v>1</v>
      </c>
      <c r="E20" s="116">
        <v>1</v>
      </c>
      <c r="F20" s="41">
        <v>15</v>
      </c>
      <c r="G20" s="116" t="s">
        <v>1509</v>
      </c>
      <c r="H20" s="41">
        <v>14</v>
      </c>
      <c r="I20" s="116">
        <v>4</v>
      </c>
      <c r="J20" s="116">
        <v>66766</v>
      </c>
    </row>
    <row r="21" spans="1:10" ht="14.25" customHeight="1">
      <c r="A21" s="1342" t="s">
        <v>1510</v>
      </c>
      <c r="B21" s="1736"/>
      <c r="C21" s="116" t="s">
        <v>1509</v>
      </c>
      <c r="D21" s="41">
        <v>1</v>
      </c>
      <c r="E21" s="116">
        <v>1</v>
      </c>
      <c r="F21" s="41">
        <v>6</v>
      </c>
      <c r="G21" s="116" t="s">
        <v>1509</v>
      </c>
      <c r="H21" s="41">
        <v>6</v>
      </c>
      <c r="I21" s="116">
        <v>3</v>
      </c>
      <c r="J21" s="98">
        <v>60664</v>
      </c>
    </row>
    <row r="22" spans="1:10" ht="14.25" customHeight="1">
      <c r="A22" s="1342" t="s">
        <v>577</v>
      </c>
      <c r="B22" s="1736"/>
      <c r="C22" s="116" t="s">
        <v>1509</v>
      </c>
      <c r="D22" s="41">
        <v>1</v>
      </c>
      <c r="E22" s="116">
        <v>1</v>
      </c>
      <c r="F22" s="41">
        <v>11</v>
      </c>
      <c r="G22" s="116" t="s">
        <v>1509</v>
      </c>
      <c r="H22" s="41">
        <v>12</v>
      </c>
      <c r="I22" s="116">
        <v>3</v>
      </c>
      <c r="J22" s="98">
        <v>42857</v>
      </c>
    </row>
    <row r="23" spans="1:10" ht="14.25" customHeight="1">
      <c r="A23" s="1342" t="s">
        <v>578</v>
      </c>
      <c r="B23" s="1736"/>
      <c r="C23" s="116" t="s">
        <v>1509</v>
      </c>
      <c r="D23" s="41" t="s">
        <v>1509</v>
      </c>
      <c r="E23" s="534">
        <v>1</v>
      </c>
      <c r="F23" s="41">
        <v>6</v>
      </c>
      <c r="G23" s="116" t="s">
        <v>1509</v>
      </c>
      <c r="H23" s="41">
        <v>7</v>
      </c>
      <c r="I23" s="116">
        <v>3</v>
      </c>
      <c r="J23" s="98">
        <v>59944</v>
      </c>
    </row>
    <row r="24" spans="1:10" ht="14.25" customHeight="1">
      <c r="A24" s="1342" t="s">
        <v>490</v>
      </c>
      <c r="B24" s="1736"/>
      <c r="C24" s="116" t="s">
        <v>1509</v>
      </c>
      <c r="D24" s="41">
        <v>1</v>
      </c>
      <c r="E24" s="116">
        <v>1</v>
      </c>
      <c r="F24" s="41">
        <v>11</v>
      </c>
      <c r="G24" s="116" t="s">
        <v>1509</v>
      </c>
      <c r="H24" s="41">
        <v>11</v>
      </c>
      <c r="I24" s="116">
        <v>3</v>
      </c>
      <c r="J24" s="98">
        <v>109181</v>
      </c>
    </row>
    <row r="25" spans="1:10" ht="14.25" customHeight="1">
      <c r="A25" s="1342" t="s">
        <v>580</v>
      </c>
      <c r="B25" s="1736"/>
      <c r="C25" s="116" t="s">
        <v>1509</v>
      </c>
      <c r="D25" s="41">
        <v>1</v>
      </c>
      <c r="E25" s="116">
        <v>1</v>
      </c>
      <c r="F25" s="41">
        <v>11</v>
      </c>
      <c r="G25" s="116" t="s">
        <v>1509</v>
      </c>
      <c r="H25" s="41">
        <v>11</v>
      </c>
      <c r="I25" s="116">
        <v>3</v>
      </c>
      <c r="J25" s="98">
        <v>75003</v>
      </c>
    </row>
    <row r="26" spans="1:10" ht="14.25" customHeight="1">
      <c r="A26" s="1342" t="s">
        <v>585</v>
      </c>
      <c r="B26" s="1736"/>
      <c r="C26" s="116" t="s">
        <v>1509</v>
      </c>
      <c r="D26" s="41">
        <v>1</v>
      </c>
      <c r="E26" s="116">
        <v>1</v>
      </c>
      <c r="F26" s="41">
        <v>14</v>
      </c>
      <c r="G26" s="116" t="s">
        <v>1509</v>
      </c>
      <c r="H26" s="41">
        <v>14</v>
      </c>
      <c r="I26" s="116">
        <v>3</v>
      </c>
      <c r="J26" s="98">
        <v>34208</v>
      </c>
    </row>
    <row r="27" spans="1:10" ht="14.25" customHeight="1">
      <c r="A27" s="1342" t="s">
        <v>586</v>
      </c>
      <c r="B27" s="1736"/>
      <c r="C27" s="116" t="s">
        <v>1509</v>
      </c>
      <c r="D27" s="41">
        <v>1</v>
      </c>
      <c r="E27" s="116">
        <v>1</v>
      </c>
      <c r="F27" s="41">
        <v>9</v>
      </c>
      <c r="G27" s="116" t="s">
        <v>1509</v>
      </c>
      <c r="H27" s="41">
        <v>10</v>
      </c>
      <c r="I27" s="116">
        <v>3</v>
      </c>
      <c r="J27" s="98">
        <v>92611</v>
      </c>
    </row>
    <row r="28" spans="1:10" ht="14.25" customHeight="1">
      <c r="A28" s="1342" t="s">
        <v>587</v>
      </c>
      <c r="B28" s="1736"/>
      <c r="C28" s="116" t="s">
        <v>1509</v>
      </c>
      <c r="D28" s="41">
        <v>1</v>
      </c>
      <c r="E28" s="116">
        <v>1</v>
      </c>
      <c r="F28" s="41">
        <v>14</v>
      </c>
      <c r="G28" s="116" t="s">
        <v>1509</v>
      </c>
      <c r="H28" s="41">
        <v>18</v>
      </c>
      <c r="I28" s="116">
        <v>3</v>
      </c>
      <c r="J28" s="98">
        <v>22593</v>
      </c>
    </row>
    <row r="29" spans="1:10" ht="14.25" customHeight="1">
      <c r="A29" s="1342" t="s">
        <v>1511</v>
      </c>
      <c r="B29" s="1736"/>
      <c r="C29" s="116" t="s">
        <v>1509</v>
      </c>
      <c r="D29" s="41">
        <v>1</v>
      </c>
      <c r="E29" s="116" t="s">
        <v>1509</v>
      </c>
      <c r="F29" s="41" t="s">
        <v>1509</v>
      </c>
      <c r="G29" s="116" t="s">
        <v>1509</v>
      </c>
      <c r="H29" s="41" t="s">
        <v>1509</v>
      </c>
      <c r="I29" s="849" t="s">
        <v>1183</v>
      </c>
      <c r="J29" s="1259" t="s">
        <v>1183</v>
      </c>
    </row>
    <row r="30" spans="1:10" ht="14.25" customHeight="1">
      <c r="A30" s="1730" t="s">
        <v>579</v>
      </c>
      <c r="B30" s="1740"/>
      <c r="C30" s="117">
        <v>1</v>
      </c>
      <c r="D30" s="117" t="s">
        <v>1509</v>
      </c>
      <c r="E30" s="117" t="s">
        <v>1509</v>
      </c>
      <c r="F30" s="29" t="s">
        <v>1509</v>
      </c>
      <c r="G30" s="117" t="s">
        <v>1509</v>
      </c>
      <c r="H30" s="29" t="s">
        <v>1509</v>
      </c>
      <c r="I30" s="1248">
        <v>6</v>
      </c>
      <c r="J30" s="94">
        <v>9612</v>
      </c>
    </row>
    <row r="31" spans="1:10" ht="12" customHeight="1">
      <c r="A31" s="1737" t="s">
        <v>1218</v>
      </c>
      <c r="B31" s="1737"/>
      <c r="C31" s="1079"/>
      <c r="D31" s="1080"/>
      <c r="E31" s="1080"/>
      <c r="F31" s="986"/>
      <c r="H31" s="987"/>
      <c r="I31" s="987"/>
      <c r="J31" s="985" t="s">
        <v>517</v>
      </c>
    </row>
    <row r="32" spans="1:10" ht="12" customHeight="1">
      <c r="A32" s="1721" t="s">
        <v>1219</v>
      </c>
      <c r="B32" s="1721"/>
      <c r="C32" s="1079"/>
      <c r="D32" s="1080"/>
      <c r="E32" s="1080"/>
      <c r="F32" s="1080"/>
      <c r="G32" s="1079"/>
      <c r="H32" s="1080"/>
      <c r="I32" s="128"/>
      <c r="J32" s="128"/>
    </row>
    <row r="33" spans="1:10" ht="12" customHeight="1">
      <c r="A33" s="315" t="s">
        <v>387</v>
      </c>
      <c r="B33" s="25"/>
      <c r="C33" s="25"/>
      <c r="D33" s="25"/>
      <c r="E33" s="315" t="s">
        <v>1082</v>
      </c>
      <c r="F33" s="25"/>
      <c r="G33" s="986"/>
      <c r="H33" s="25"/>
      <c r="I33" s="128"/>
      <c r="J33" s="128"/>
    </row>
    <row r="34" spans="1:10" ht="12" customHeight="1">
      <c r="A34" s="315" t="s">
        <v>388</v>
      </c>
      <c r="B34" s="25"/>
      <c r="C34" s="25"/>
      <c r="D34" s="25"/>
      <c r="E34" s="315" t="s">
        <v>1083</v>
      </c>
      <c r="F34" s="986"/>
      <c r="G34" s="986"/>
      <c r="H34" s="25"/>
      <c r="I34" s="128"/>
      <c r="J34" s="128"/>
    </row>
    <row r="35" spans="1:10" ht="12" customHeight="1">
      <c r="A35" s="315" t="s">
        <v>390</v>
      </c>
      <c r="B35" s="25"/>
      <c r="C35" s="25"/>
      <c r="D35" s="25"/>
      <c r="E35" s="315" t="s">
        <v>1084</v>
      </c>
      <c r="F35" s="992"/>
      <c r="G35" s="992"/>
      <c r="H35" s="992"/>
      <c r="I35" s="128"/>
      <c r="J35" s="128"/>
    </row>
    <row r="36" spans="1:10" ht="12" customHeight="1">
      <c r="A36" s="993" t="s">
        <v>389</v>
      </c>
      <c r="B36" s="993"/>
      <c r="C36" s="993"/>
      <c r="D36" s="993"/>
      <c r="E36" s="993"/>
      <c r="F36" s="993"/>
      <c r="G36" s="25"/>
      <c r="H36" s="25"/>
      <c r="I36" s="25"/>
      <c r="J36" s="25"/>
    </row>
    <row r="37" spans="1:10">
      <c r="I37" s="2"/>
      <c r="J37" s="2"/>
    </row>
    <row r="52" ht="19.5" customHeight="1"/>
  </sheetData>
  <mergeCells count="32">
    <mergeCell ref="A11:B11"/>
    <mergeCell ref="A16:B16"/>
    <mergeCell ref="A9:B9"/>
    <mergeCell ref="A6:B6"/>
    <mergeCell ref="A7:B7"/>
    <mergeCell ref="A21:B21"/>
    <mergeCell ref="A25:B25"/>
    <mergeCell ref="A12:B12"/>
    <mergeCell ref="A17:B17"/>
    <mergeCell ref="A13:B13"/>
    <mergeCell ref="A14:B14"/>
    <mergeCell ref="A10:B10"/>
    <mergeCell ref="A28:B28"/>
    <mergeCell ref="A26:B26"/>
    <mergeCell ref="A1:J1"/>
    <mergeCell ref="A2:J2"/>
    <mergeCell ref="A4:B4"/>
    <mergeCell ref="A5:B5"/>
    <mergeCell ref="C11:J11"/>
    <mergeCell ref="A23:B23"/>
    <mergeCell ref="A22:B22"/>
    <mergeCell ref="A8:B8"/>
    <mergeCell ref="A15:B15"/>
    <mergeCell ref="A18:B18"/>
    <mergeCell ref="A31:B31"/>
    <mergeCell ref="A32:B32"/>
    <mergeCell ref="A19:B19"/>
    <mergeCell ref="A20:B20"/>
    <mergeCell ref="A30:B30"/>
    <mergeCell ref="A29:B29"/>
    <mergeCell ref="A24:B24"/>
    <mergeCell ref="A27:B27"/>
  </mergeCells>
  <phoneticPr fontId="0" type="noConversion"/>
  <conditionalFormatting sqref="A1:B5 C1:IV1048576 A11:B65536 A6:A10">
    <cfRule type="cellIs" dxfId="7" priority="1" stopIfTrue="1" operator="equal">
      <formula>".."</formula>
    </cfRule>
  </conditionalFormatting>
  <printOptions horizontalCentered="1"/>
  <pageMargins left="0.1" right="0.1" top="0.54" bottom="0.1" header="0.7" footer="0.1"/>
  <pageSetup paperSize="9" orientation="landscape" blackAndWhite="1" horizontalDpi="4294967295" r:id="rId1"/>
  <headerFooter alignWithMargins="0"/>
</worksheet>
</file>

<file path=xl/worksheets/sheet51.xml><?xml version="1.0" encoding="utf-8"?>
<worksheet xmlns="http://schemas.openxmlformats.org/spreadsheetml/2006/main" xmlns:r="http://schemas.openxmlformats.org/officeDocument/2006/relationships">
  <sheetPr codeName="Sheet63"/>
  <dimension ref="A1:H55"/>
  <sheetViews>
    <sheetView workbookViewId="0">
      <selection activeCell="M5" sqref="M5"/>
    </sheetView>
  </sheetViews>
  <sheetFormatPr defaultRowHeight="12.75"/>
  <cols>
    <col min="1" max="1" width="2.85546875" customWidth="1"/>
    <col min="2" max="2" width="17.140625" customWidth="1"/>
    <col min="3" max="3" width="10.28515625" customWidth="1"/>
    <col min="4" max="4" width="10.140625" customWidth="1"/>
    <col min="5" max="5" width="16.85546875" customWidth="1"/>
    <col min="6" max="6" width="16.140625" customWidth="1"/>
    <col min="7" max="7" width="15.7109375" style="1246" customWidth="1"/>
  </cols>
  <sheetData>
    <row r="1" spans="1:7" ht="12" customHeight="1">
      <c r="A1" s="1363" t="s">
        <v>455</v>
      </c>
      <c r="B1" s="1363"/>
      <c r="C1" s="1363"/>
      <c r="D1" s="1363"/>
      <c r="E1" s="1363"/>
      <c r="F1" s="1363"/>
      <c r="G1" s="1363"/>
    </row>
    <row r="2" spans="1:7" ht="14.25" customHeight="1">
      <c r="A2" s="1485" t="str">
        <f>CONCATENATE("Progress of Co-operative Movement in the district of ",District!A1)</f>
        <v>Progress of Co-operative Movement in the district of Malda</v>
      </c>
      <c r="B2" s="1485"/>
      <c r="C2" s="1485"/>
      <c r="D2" s="1485"/>
      <c r="E2" s="1485"/>
      <c r="F2" s="1485"/>
      <c r="G2" s="1485"/>
    </row>
    <row r="3" spans="1:7" ht="14.25" customHeight="1">
      <c r="A3" s="1433" t="s">
        <v>46</v>
      </c>
      <c r="B3" s="1434"/>
      <c r="C3" s="1391" t="s">
        <v>944</v>
      </c>
      <c r="D3" s="1392"/>
      <c r="E3" s="1346" t="s">
        <v>1620</v>
      </c>
      <c r="F3" s="1346" t="s">
        <v>1536</v>
      </c>
      <c r="G3" s="1757" t="s">
        <v>1621</v>
      </c>
    </row>
    <row r="4" spans="1:7">
      <c r="A4" s="1406"/>
      <c r="B4" s="1452"/>
      <c r="C4" s="1359" t="s">
        <v>1189</v>
      </c>
      <c r="D4" s="1348" t="s">
        <v>1190</v>
      </c>
      <c r="E4" s="1377"/>
      <c r="F4" s="1377"/>
      <c r="G4" s="1758"/>
    </row>
    <row r="5" spans="1:7">
      <c r="A5" s="1406"/>
      <c r="B5" s="1452"/>
      <c r="C5" s="1381"/>
      <c r="D5" s="1370"/>
      <c r="E5" s="1377"/>
      <c r="F5" s="1377"/>
      <c r="G5" s="1758"/>
    </row>
    <row r="6" spans="1:7">
      <c r="A6" s="1406"/>
      <c r="B6" s="1452"/>
      <c r="C6" s="1381"/>
      <c r="D6" s="1370"/>
      <c r="E6" s="1347"/>
      <c r="F6" s="1377"/>
      <c r="G6" s="1758"/>
    </row>
    <row r="7" spans="1:7">
      <c r="A7" s="1755" t="s">
        <v>1208</v>
      </c>
      <c r="B7" s="1756"/>
      <c r="C7" s="218" t="s">
        <v>1209</v>
      </c>
      <c r="D7" s="151" t="s">
        <v>1210</v>
      </c>
      <c r="E7" s="237" t="s">
        <v>1211</v>
      </c>
      <c r="F7" s="272" t="s">
        <v>1212</v>
      </c>
      <c r="G7" s="1242" t="s">
        <v>1213</v>
      </c>
    </row>
    <row r="8" spans="1:7" ht="13.5" customHeight="1">
      <c r="A8" s="1048">
        <v>1</v>
      </c>
      <c r="B8" s="944" t="s">
        <v>391</v>
      </c>
      <c r="C8" s="505"/>
      <c r="D8" s="505"/>
      <c r="E8" s="505"/>
      <c r="F8" s="505"/>
      <c r="G8" s="1243"/>
    </row>
    <row r="9" spans="1:7" ht="15" customHeight="1">
      <c r="A9" s="121"/>
      <c r="B9" s="1042" t="s">
        <v>1577</v>
      </c>
      <c r="C9" s="116">
        <v>1</v>
      </c>
      <c r="D9" s="116">
        <v>682</v>
      </c>
      <c r="E9" s="116">
        <v>3672797</v>
      </c>
      <c r="F9" s="116">
        <v>1458057</v>
      </c>
      <c r="G9" s="105">
        <v>1303324</v>
      </c>
    </row>
    <row r="10" spans="1:7" ht="15" customHeight="1">
      <c r="A10" s="121"/>
      <c r="B10" s="1042" t="s">
        <v>1576</v>
      </c>
      <c r="C10" s="116">
        <v>1</v>
      </c>
      <c r="D10" s="116">
        <v>698</v>
      </c>
      <c r="E10" s="116">
        <v>2986150</v>
      </c>
      <c r="F10" s="116">
        <v>2303615</v>
      </c>
      <c r="G10" s="105">
        <v>257472</v>
      </c>
    </row>
    <row r="11" spans="1:7" ht="15" customHeight="1">
      <c r="A11" s="121"/>
      <c r="B11" s="1042" t="s">
        <v>267</v>
      </c>
      <c r="C11" s="116">
        <v>1</v>
      </c>
      <c r="D11" s="116">
        <v>698</v>
      </c>
      <c r="E11" s="116">
        <v>4983974</v>
      </c>
      <c r="F11" s="116">
        <v>2303616</v>
      </c>
      <c r="G11" s="105">
        <v>1249236</v>
      </c>
    </row>
    <row r="12" spans="1:7" ht="15" customHeight="1">
      <c r="A12" s="121"/>
      <c r="B12" s="1042" t="s">
        <v>1094</v>
      </c>
      <c r="C12" s="116">
        <v>1</v>
      </c>
      <c r="D12" s="116">
        <v>699</v>
      </c>
      <c r="E12" s="116">
        <v>6007352</v>
      </c>
      <c r="F12" s="116">
        <v>2799257</v>
      </c>
      <c r="G12" s="105">
        <v>1200046.3400000001</v>
      </c>
    </row>
    <row r="13" spans="1:7" ht="15" customHeight="1">
      <c r="A13" s="121"/>
      <c r="B13" s="1042" t="s">
        <v>1595</v>
      </c>
      <c r="C13" s="116">
        <v>1</v>
      </c>
      <c r="D13" s="116">
        <v>705</v>
      </c>
      <c r="E13" s="116">
        <v>6532403</v>
      </c>
      <c r="F13" s="116">
        <v>3136216</v>
      </c>
      <c r="G13" s="105">
        <v>2388283</v>
      </c>
    </row>
    <row r="14" spans="1:7" ht="15" customHeight="1">
      <c r="A14" s="1048">
        <v>2</v>
      </c>
      <c r="B14" s="546" t="s">
        <v>101</v>
      </c>
      <c r="C14" s="1049"/>
      <c r="D14" s="1049"/>
      <c r="E14" s="116"/>
      <c r="F14" s="430"/>
      <c r="G14" s="1243"/>
    </row>
    <row r="15" spans="1:7" ht="15" customHeight="1">
      <c r="A15" s="121"/>
      <c r="B15" s="1042" t="s">
        <v>1577</v>
      </c>
      <c r="C15" s="116">
        <v>1</v>
      </c>
      <c r="D15" s="116">
        <v>4308</v>
      </c>
      <c r="E15" s="116">
        <v>522317</v>
      </c>
      <c r="F15" s="116">
        <v>261678</v>
      </c>
      <c r="G15" s="105">
        <v>163362</v>
      </c>
    </row>
    <row r="16" spans="1:7" ht="15" customHeight="1">
      <c r="A16" s="121"/>
      <c r="B16" s="1042" t="s">
        <v>1576</v>
      </c>
      <c r="C16" s="116">
        <v>1</v>
      </c>
      <c r="D16" s="116">
        <v>4777</v>
      </c>
      <c r="E16" s="116">
        <v>722064</v>
      </c>
      <c r="F16" s="116">
        <v>441202</v>
      </c>
      <c r="G16" s="105">
        <v>253824</v>
      </c>
    </row>
    <row r="17" spans="1:7" ht="15" customHeight="1">
      <c r="A17" s="121"/>
      <c r="B17" s="1042" t="s">
        <v>267</v>
      </c>
      <c r="C17" s="116">
        <v>1</v>
      </c>
      <c r="D17" s="116">
        <v>4653</v>
      </c>
      <c r="E17" s="116">
        <v>891756</v>
      </c>
      <c r="F17" s="116">
        <v>526582</v>
      </c>
      <c r="G17" s="105">
        <v>338901</v>
      </c>
    </row>
    <row r="18" spans="1:7" ht="15" customHeight="1">
      <c r="A18" s="121"/>
      <c r="B18" s="1042" t="s">
        <v>1094</v>
      </c>
      <c r="C18" s="116">
        <v>1</v>
      </c>
      <c r="D18" s="116">
        <v>4590</v>
      </c>
      <c r="E18" s="116">
        <v>968827</v>
      </c>
      <c r="F18" s="116">
        <v>490175</v>
      </c>
      <c r="G18" s="105">
        <v>341201</v>
      </c>
    </row>
    <row r="19" spans="1:7" ht="15" customHeight="1">
      <c r="A19" s="121"/>
      <c r="B19" s="1042" t="s">
        <v>1595</v>
      </c>
      <c r="C19" s="116">
        <v>1</v>
      </c>
      <c r="D19" s="116">
        <v>5374</v>
      </c>
      <c r="E19" s="116">
        <v>10454</v>
      </c>
      <c r="F19" s="116">
        <v>694097</v>
      </c>
      <c r="G19" s="105">
        <v>28035</v>
      </c>
    </row>
    <row r="20" spans="1:7" ht="13.5" customHeight="1">
      <c r="A20" s="1048">
        <v>3</v>
      </c>
      <c r="B20" s="546" t="s">
        <v>627</v>
      </c>
      <c r="C20" s="945"/>
      <c r="D20" s="1049"/>
      <c r="E20" s="1049"/>
      <c r="F20" s="430"/>
      <c r="G20" s="1243"/>
    </row>
    <row r="21" spans="1:7" ht="15" customHeight="1">
      <c r="A21" s="121"/>
      <c r="B21" s="1042" t="s">
        <v>1577</v>
      </c>
      <c r="C21" s="116">
        <v>184</v>
      </c>
      <c r="D21" s="116">
        <v>138293</v>
      </c>
      <c r="E21" s="116">
        <v>619168</v>
      </c>
      <c r="F21" s="116">
        <v>563268</v>
      </c>
      <c r="G21" s="105">
        <v>451290</v>
      </c>
    </row>
    <row r="22" spans="1:7" ht="15" customHeight="1">
      <c r="A22" s="121"/>
      <c r="B22" s="1042" t="s">
        <v>1576</v>
      </c>
      <c r="C22" s="116">
        <v>185</v>
      </c>
      <c r="D22" s="116">
        <v>146597</v>
      </c>
      <c r="E22" s="116">
        <v>631914</v>
      </c>
      <c r="F22" s="116">
        <v>691119</v>
      </c>
      <c r="G22" s="105">
        <v>558977</v>
      </c>
    </row>
    <row r="23" spans="1:7" ht="15" customHeight="1">
      <c r="A23" s="121"/>
      <c r="B23" s="1042" t="s">
        <v>267</v>
      </c>
      <c r="C23" s="116">
        <v>184</v>
      </c>
      <c r="D23" s="116">
        <v>148399</v>
      </c>
      <c r="E23" s="116">
        <v>643057</v>
      </c>
      <c r="F23" s="116">
        <v>750766</v>
      </c>
      <c r="G23" s="105">
        <v>563075</v>
      </c>
    </row>
    <row r="24" spans="1:7" ht="15" customHeight="1">
      <c r="A24" s="121"/>
      <c r="B24" s="1042" t="s">
        <v>1094</v>
      </c>
      <c r="C24" s="116">
        <v>186</v>
      </c>
      <c r="D24" s="116">
        <v>149571</v>
      </c>
      <c r="E24" s="116">
        <v>647227</v>
      </c>
      <c r="F24" s="116">
        <v>865596</v>
      </c>
      <c r="G24" s="105">
        <v>701133</v>
      </c>
    </row>
    <row r="25" spans="1:7" ht="15" customHeight="1">
      <c r="A25" s="121"/>
      <c r="B25" s="1042" t="s">
        <v>1595</v>
      </c>
      <c r="C25" s="116">
        <v>210</v>
      </c>
      <c r="D25" s="116">
        <v>117503</v>
      </c>
      <c r="E25" s="116">
        <v>2339942</v>
      </c>
      <c r="F25" s="116">
        <v>587700</v>
      </c>
      <c r="G25" s="105">
        <v>481086</v>
      </c>
    </row>
    <row r="26" spans="1:7" ht="13.5" customHeight="1">
      <c r="A26" s="1048">
        <v>4</v>
      </c>
      <c r="B26" s="546" t="s">
        <v>628</v>
      </c>
      <c r="C26" s="1049"/>
      <c r="D26" s="1049"/>
      <c r="E26" s="1049"/>
      <c r="F26" s="430"/>
      <c r="G26" s="1243"/>
    </row>
    <row r="27" spans="1:7" ht="15" customHeight="1">
      <c r="A27" s="121"/>
      <c r="B27" s="1042" t="s">
        <v>1577</v>
      </c>
      <c r="C27" s="116">
        <v>195</v>
      </c>
      <c r="D27" s="116">
        <v>9794</v>
      </c>
      <c r="E27" s="116">
        <v>10232</v>
      </c>
      <c r="F27" s="116">
        <v>208237</v>
      </c>
      <c r="G27" s="105">
        <v>195743</v>
      </c>
    </row>
    <row r="28" spans="1:7" ht="15" customHeight="1">
      <c r="A28" s="121"/>
      <c r="B28" s="1042" t="s">
        <v>1576</v>
      </c>
      <c r="C28" s="116">
        <v>195</v>
      </c>
      <c r="D28" s="116">
        <v>9782</v>
      </c>
      <c r="E28" s="116">
        <v>9981</v>
      </c>
      <c r="F28" s="116">
        <v>272790</v>
      </c>
      <c r="G28" s="105">
        <v>261878</v>
      </c>
    </row>
    <row r="29" spans="1:7" ht="15" customHeight="1">
      <c r="A29" s="121"/>
      <c r="B29" s="1042" t="s">
        <v>267</v>
      </c>
      <c r="C29" s="116">
        <v>195</v>
      </c>
      <c r="D29" s="116">
        <v>9841</v>
      </c>
      <c r="E29" s="116">
        <v>10392</v>
      </c>
      <c r="F29" s="116">
        <v>357114</v>
      </c>
      <c r="G29" s="105">
        <v>339258</v>
      </c>
    </row>
    <row r="30" spans="1:7" ht="15" customHeight="1">
      <c r="A30" s="121"/>
      <c r="B30" s="1042" t="s">
        <v>1094</v>
      </c>
      <c r="C30" s="116">
        <v>195</v>
      </c>
      <c r="D30" s="116">
        <v>9854</v>
      </c>
      <c r="E30" s="116">
        <v>11435</v>
      </c>
      <c r="F30" s="116">
        <v>413268</v>
      </c>
      <c r="G30" s="105">
        <v>405003</v>
      </c>
    </row>
    <row r="31" spans="1:7" ht="15" customHeight="1">
      <c r="A31" s="121"/>
      <c r="B31" s="1042" t="s">
        <v>1595</v>
      </c>
      <c r="C31" s="116">
        <v>201</v>
      </c>
      <c r="D31" s="116">
        <v>21874</v>
      </c>
      <c r="E31" s="116">
        <v>287301</v>
      </c>
      <c r="F31" s="116">
        <v>235892</v>
      </c>
      <c r="G31" s="105">
        <v>56505</v>
      </c>
    </row>
    <row r="32" spans="1:7" ht="13.5" customHeight="1">
      <c r="A32" s="1048">
        <v>5</v>
      </c>
      <c r="B32" s="546" t="s">
        <v>392</v>
      </c>
      <c r="C32" s="1049"/>
      <c r="D32" s="1049"/>
      <c r="E32" s="1049"/>
      <c r="F32" s="430"/>
      <c r="G32" s="1243"/>
    </row>
    <row r="33" spans="1:7" ht="15" customHeight="1">
      <c r="A33" s="121"/>
      <c r="B33" s="1042" t="s">
        <v>1577</v>
      </c>
      <c r="C33" s="112">
        <f t="shared" ref="C33:G37" si="0">SUM(C9,C15,C21,C27)</f>
        <v>381</v>
      </c>
      <c r="D33" s="112">
        <f t="shared" si="0"/>
        <v>153077</v>
      </c>
      <c r="E33" s="116">
        <f t="shared" si="0"/>
        <v>4824514</v>
      </c>
      <c r="F33" s="116">
        <f t="shared" si="0"/>
        <v>2491240</v>
      </c>
      <c r="G33" s="105">
        <f t="shared" si="0"/>
        <v>2113719</v>
      </c>
    </row>
    <row r="34" spans="1:7" ht="15" customHeight="1">
      <c r="A34" s="121"/>
      <c r="B34" s="1042" t="s">
        <v>1576</v>
      </c>
      <c r="C34" s="112">
        <f t="shared" si="0"/>
        <v>382</v>
      </c>
      <c r="D34" s="112">
        <f t="shared" si="0"/>
        <v>161854</v>
      </c>
      <c r="E34" s="116">
        <f t="shared" si="0"/>
        <v>4350109</v>
      </c>
      <c r="F34" s="116">
        <f t="shared" si="0"/>
        <v>3708726</v>
      </c>
      <c r="G34" s="105">
        <f t="shared" si="0"/>
        <v>1332151</v>
      </c>
    </row>
    <row r="35" spans="1:7" ht="15" customHeight="1">
      <c r="A35" s="121"/>
      <c r="B35" s="1042" t="s">
        <v>267</v>
      </c>
      <c r="C35" s="112">
        <f t="shared" si="0"/>
        <v>381</v>
      </c>
      <c r="D35" s="112">
        <f t="shared" si="0"/>
        <v>163591</v>
      </c>
      <c r="E35" s="116">
        <f t="shared" si="0"/>
        <v>6529179</v>
      </c>
      <c r="F35" s="116">
        <f t="shared" si="0"/>
        <v>3938078</v>
      </c>
      <c r="G35" s="105">
        <f t="shared" si="0"/>
        <v>2490470</v>
      </c>
    </row>
    <row r="36" spans="1:7" ht="15" customHeight="1">
      <c r="A36" s="121"/>
      <c r="B36" s="1042" t="s">
        <v>1094</v>
      </c>
      <c r="C36" s="112">
        <f t="shared" si="0"/>
        <v>383</v>
      </c>
      <c r="D36" s="112">
        <f t="shared" si="0"/>
        <v>164714</v>
      </c>
      <c r="E36" s="116">
        <f t="shared" si="0"/>
        <v>7634841</v>
      </c>
      <c r="F36" s="116">
        <f t="shared" si="0"/>
        <v>4568296</v>
      </c>
      <c r="G36" s="105">
        <f t="shared" si="0"/>
        <v>2647383.34</v>
      </c>
    </row>
    <row r="37" spans="1:7" ht="15" customHeight="1">
      <c r="A37" s="121"/>
      <c r="B37" s="1042" t="s">
        <v>1595</v>
      </c>
      <c r="C37" s="112">
        <f t="shared" si="0"/>
        <v>413</v>
      </c>
      <c r="D37" s="112">
        <f t="shared" si="0"/>
        <v>145456</v>
      </c>
      <c r="E37" s="116">
        <f t="shared" si="0"/>
        <v>9170100</v>
      </c>
      <c r="F37" s="116">
        <f t="shared" si="0"/>
        <v>4653905</v>
      </c>
      <c r="G37" s="673">
        <f t="shared" si="0"/>
        <v>2953909</v>
      </c>
    </row>
    <row r="38" spans="1:7" ht="13.5" customHeight="1">
      <c r="A38" s="1048">
        <v>6</v>
      </c>
      <c r="B38" s="546" t="s">
        <v>629</v>
      </c>
      <c r="C38" s="1049"/>
      <c r="D38" s="430"/>
      <c r="E38" s="430"/>
      <c r="F38" s="430"/>
      <c r="G38" s="1243"/>
    </row>
    <row r="39" spans="1:7" ht="15" customHeight="1">
      <c r="A39" s="121"/>
      <c r="B39" s="1042" t="s">
        <v>1577</v>
      </c>
      <c r="C39" s="116">
        <v>161</v>
      </c>
      <c r="D39" s="116">
        <v>5232</v>
      </c>
      <c r="E39" s="116">
        <v>82746</v>
      </c>
      <c r="F39" s="534" t="s">
        <v>1509</v>
      </c>
      <c r="G39" s="1244" t="s">
        <v>1509</v>
      </c>
    </row>
    <row r="40" spans="1:7" ht="15" customHeight="1">
      <c r="A40" s="121"/>
      <c r="B40" s="1042" t="s">
        <v>1576</v>
      </c>
      <c r="C40" s="116">
        <v>164</v>
      </c>
      <c r="D40" s="116">
        <v>5343</v>
      </c>
      <c r="E40" s="116">
        <v>85684</v>
      </c>
      <c r="F40" s="534" t="s">
        <v>1509</v>
      </c>
      <c r="G40" s="1244" t="s">
        <v>1509</v>
      </c>
    </row>
    <row r="41" spans="1:7" ht="15" customHeight="1">
      <c r="A41" s="121"/>
      <c r="B41" s="1042" t="s">
        <v>267</v>
      </c>
      <c r="C41" s="116">
        <v>161</v>
      </c>
      <c r="D41" s="116">
        <v>5355</v>
      </c>
      <c r="E41" s="116">
        <v>86113</v>
      </c>
      <c r="F41" s="534" t="s">
        <v>1509</v>
      </c>
      <c r="G41" s="1244" t="s">
        <v>1509</v>
      </c>
    </row>
    <row r="42" spans="1:7" ht="15" customHeight="1">
      <c r="A42" s="121"/>
      <c r="B42" s="1042" t="s">
        <v>1094</v>
      </c>
      <c r="C42" s="116">
        <v>165</v>
      </c>
      <c r="D42" s="116">
        <v>5367</v>
      </c>
      <c r="E42" s="116">
        <v>86285</v>
      </c>
      <c r="F42" s="534" t="s">
        <v>1509</v>
      </c>
      <c r="G42" s="1244" t="s">
        <v>1509</v>
      </c>
    </row>
    <row r="43" spans="1:7" ht="15" customHeight="1">
      <c r="A43" s="121"/>
      <c r="B43" s="1042" t="s">
        <v>1595</v>
      </c>
      <c r="C43" s="116">
        <v>179</v>
      </c>
      <c r="D43" s="116">
        <v>10329</v>
      </c>
      <c r="E43" s="116">
        <v>74127</v>
      </c>
      <c r="F43" s="116" t="s">
        <v>1509</v>
      </c>
      <c r="G43" s="105" t="s">
        <v>1509</v>
      </c>
    </row>
    <row r="44" spans="1:7" ht="13.5" customHeight="1">
      <c r="A44" s="1048">
        <v>7</v>
      </c>
      <c r="B44" s="546" t="s">
        <v>398</v>
      </c>
      <c r="C44" s="1049"/>
      <c r="D44" s="1049"/>
      <c r="E44" s="1049"/>
      <c r="F44" s="430"/>
      <c r="G44" s="1243"/>
    </row>
    <row r="45" spans="1:7" ht="15" customHeight="1">
      <c r="A45" s="121"/>
      <c r="B45" s="1042" t="s">
        <v>1577</v>
      </c>
      <c r="C45" s="116">
        <f t="shared" ref="C45:G47" si="1">SUM(C33,C39)</f>
        <v>542</v>
      </c>
      <c r="D45" s="116">
        <f t="shared" si="1"/>
        <v>158309</v>
      </c>
      <c r="E45" s="116">
        <f t="shared" si="1"/>
        <v>4907260</v>
      </c>
      <c r="F45" s="116">
        <f t="shared" si="1"/>
        <v>2491240</v>
      </c>
      <c r="G45" s="105">
        <f t="shared" si="1"/>
        <v>2113719</v>
      </c>
    </row>
    <row r="46" spans="1:7" ht="15" customHeight="1">
      <c r="A46" s="121"/>
      <c r="B46" s="1042" t="s">
        <v>1576</v>
      </c>
      <c r="C46" s="116">
        <f t="shared" si="1"/>
        <v>546</v>
      </c>
      <c r="D46" s="116">
        <f t="shared" si="1"/>
        <v>167197</v>
      </c>
      <c r="E46" s="116">
        <f t="shared" si="1"/>
        <v>4435793</v>
      </c>
      <c r="F46" s="116">
        <f t="shared" si="1"/>
        <v>3708726</v>
      </c>
      <c r="G46" s="105">
        <f t="shared" si="1"/>
        <v>1332151</v>
      </c>
    </row>
    <row r="47" spans="1:7" ht="15" customHeight="1">
      <c r="A47" s="121"/>
      <c r="B47" s="1042" t="s">
        <v>267</v>
      </c>
      <c r="C47" s="116">
        <f t="shared" si="1"/>
        <v>542</v>
      </c>
      <c r="D47" s="116">
        <f t="shared" si="1"/>
        <v>168946</v>
      </c>
      <c r="E47" s="116">
        <f t="shared" si="1"/>
        <v>6615292</v>
      </c>
      <c r="F47" s="116">
        <f t="shared" si="1"/>
        <v>3938078</v>
      </c>
      <c r="G47" s="105">
        <f t="shared" si="1"/>
        <v>2490470</v>
      </c>
    </row>
    <row r="48" spans="1:7" ht="15" customHeight="1">
      <c r="A48" s="121"/>
      <c r="B48" s="1042" t="s">
        <v>1094</v>
      </c>
      <c r="C48" s="116">
        <f t="shared" ref="C48:G49" si="2">SUM(C36,C42)</f>
        <v>548</v>
      </c>
      <c r="D48" s="116">
        <f t="shared" si="2"/>
        <v>170081</v>
      </c>
      <c r="E48" s="116">
        <f t="shared" si="2"/>
        <v>7721126</v>
      </c>
      <c r="F48" s="116">
        <f t="shared" si="2"/>
        <v>4568296</v>
      </c>
      <c r="G48" s="105">
        <f>SUM(G36,G42)</f>
        <v>2647383.34</v>
      </c>
    </row>
    <row r="49" spans="1:8" ht="15" customHeight="1">
      <c r="A49" s="127"/>
      <c r="B49" s="1043" t="s">
        <v>1595</v>
      </c>
      <c r="C49" s="117">
        <f t="shared" si="2"/>
        <v>592</v>
      </c>
      <c r="D49" s="117">
        <f t="shared" si="2"/>
        <v>155785</v>
      </c>
      <c r="E49" s="117">
        <f t="shared" si="2"/>
        <v>9244227</v>
      </c>
      <c r="F49" s="117">
        <f t="shared" si="2"/>
        <v>4653905</v>
      </c>
      <c r="G49" s="674">
        <f t="shared" si="2"/>
        <v>2953909</v>
      </c>
    </row>
    <row r="50" spans="1:8" ht="24.75" customHeight="1">
      <c r="A50" s="68"/>
      <c r="B50" s="68"/>
      <c r="C50" s="68"/>
      <c r="E50" s="990" t="s">
        <v>947</v>
      </c>
      <c r="F50" s="1761" t="s">
        <v>322</v>
      </c>
      <c r="G50" s="1762"/>
    </row>
    <row r="51" spans="1:8" ht="24.75" customHeight="1">
      <c r="E51" s="991" t="s">
        <v>948</v>
      </c>
      <c r="F51" s="1759" t="s">
        <v>239</v>
      </c>
      <c r="G51" s="1760"/>
    </row>
    <row r="52" spans="1:8" ht="27.75" customHeight="1">
      <c r="E52" s="991" t="s">
        <v>955</v>
      </c>
      <c r="F52" s="1759" t="s">
        <v>50</v>
      </c>
      <c r="G52" s="1760"/>
    </row>
    <row r="53" spans="1:8">
      <c r="F53" s="786"/>
      <c r="G53" s="1245"/>
    </row>
    <row r="55" spans="1:8">
      <c r="H55" s="1"/>
    </row>
  </sheetData>
  <mergeCells count="13">
    <mergeCell ref="F52:G52"/>
    <mergeCell ref="E3:E6"/>
    <mergeCell ref="A3:B6"/>
    <mergeCell ref="F50:G50"/>
    <mergeCell ref="F51:G51"/>
    <mergeCell ref="C3:D3"/>
    <mergeCell ref="F3:F6"/>
    <mergeCell ref="A1:G1"/>
    <mergeCell ref="A7:B7"/>
    <mergeCell ref="G3:G6"/>
    <mergeCell ref="A2:G2"/>
    <mergeCell ref="C4:C6"/>
    <mergeCell ref="D4:D6"/>
  </mergeCells>
  <phoneticPr fontId="0" type="noConversion"/>
  <printOptions horizontalCentered="1"/>
  <pageMargins left="0.1" right="0.1" top="0.59" bottom="0.1" header="0.56999999999999995" footer="0.1"/>
  <pageSetup paperSize="9" orientation="portrait" blackAndWhite="1" horizontalDpi="4294967295" r:id="rId1"/>
  <headerFooter alignWithMargins="0"/>
</worksheet>
</file>

<file path=xl/worksheets/sheet52.xml><?xml version="1.0" encoding="utf-8"?>
<worksheet xmlns="http://schemas.openxmlformats.org/spreadsheetml/2006/main" xmlns:r="http://schemas.openxmlformats.org/officeDocument/2006/relationships">
  <sheetPr codeName="Sheet64"/>
  <dimension ref="A1:V34"/>
  <sheetViews>
    <sheetView workbookViewId="0">
      <selection activeCell="U2" sqref="U2"/>
    </sheetView>
  </sheetViews>
  <sheetFormatPr defaultRowHeight="12.75"/>
  <cols>
    <col min="1" max="1" width="12.28515625" customWidth="1"/>
    <col min="2" max="2" width="4.85546875" customWidth="1"/>
    <col min="3" max="3" width="7.28515625" customWidth="1"/>
    <col min="4" max="4" width="8" customWidth="1"/>
    <col min="5" max="5" width="8.28515625" customWidth="1"/>
    <col min="6" max="6" width="4.85546875" customWidth="1"/>
    <col min="7" max="7" width="7.5703125" customWidth="1"/>
    <col min="8" max="8" width="8" customWidth="1"/>
    <col min="9" max="9" width="8.28515625" customWidth="1"/>
    <col min="10" max="10" width="4.85546875" customWidth="1"/>
    <col min="11" max="11" width="7.42578125" customWidth="1"/>
    <col min="12" max="12" width="8" customWidth="1"/>
    <col min="13" max="13" width="8.28515625" customWidth="1"/>
    <col min="14" max="14" width="6.140625" customWidth="1"/>
    <col min="15" max="15" width="7.5703125" customWidth="1"/>
    <col min="16" max="16" width="8.140625" customWidth="1"/>
    <col min="17" max="17" width="8.28515625" customWidth="1"/>
    <col min="18" max="18" width="10.140625" customWidth="1"/>
  </cols>
  <sheetData>
    <row r="1" spans="1:21" ht="12.75" customHeight="1">
      <c r="A1" s="1363" t="s">
        <v>1441</v>
      </c>
      <c r="B1" s="1363"/>
      <c r="C1" s="1363"/>
      <c r="D1" s="1363"/>
      <c r="E1" s="1363"/>
      <c r="F1" s="1363"/>
      <c r="G1" s="1363"/>
      <c r="H1" s="1363"/>
      <c r="I1" s="1363"/>
      <c r="J1" s="1363"/>
      <c r="K1" s="1363"/>
      <c r="L1" s="1363"/>
      <c r="M1" s="1363"/>
      <c r="N1" s="1363"/>
      <c r="O1" s="1363"/>
      <c r="P1" s="1363"/>
      <c r="Q1" s="1363"/>
      <c r="R1" s="1363"/>
    </row>
    <row r="2" spans="1:21" ht="16.5">
      <c r="A2" s="1374" t="str">
        <f>CONCATENATE("Progress of Commercial Banking in the district of ",District!A1)</f>
        <v>Progress of Commercial Banking in the district of Malda</v>
      </c>
      <c r="B2" s="1374"/>
      <c r="C2" s="1374"/>
      <c r="D2" s="1374"/>
      <c r="E2" s="1374"/>
      <c r="F2" s="1374"/>
      <c r="G2" s="1374"/>
      <c r="H2" s="1374"/>
      <c r="I2" s="1374"/>
      <c r="J2" s="1374"/>
      <c r="K2" s="1374"/>
      <c r="L2" s="1374"/>
      <c r="M2" s="1374"/>
      <c r="N2" s="1374"/>
      <c r="O2" s="1374"/>
      <c r="P2" s="1374"/>
      <c r="Q2" s="1374"/>
      <c r="R2" s="1374"/>
    </row>
    <row r="3" spans="1:21">
      <c r="B3" s="4"/>
      <c r="C3" s="4"/>
      <c r="D3" s="4"/>
      <c r="E3" s="4"/>
      <c r="F3" s="4"/>
      <c r="G3" s="4"/>
      <c r="H3" s="4"/>
      <c r="I3" s="4"/>
      <c r="J3" s="4"/>
      <c r="K3" s="4"/>
      <c r="L3" s="4"/>
      <c r="M3" s="4"/>
      <c r="N3" s="4"/>
      <c r="O3" s="4"/>
      <c r="P3" s="4"/>
      <c r="Q3" s="159"/>
      <c r="R3" s="159"/>
    </row>
    <row r="4" spans="1:21" ht="15" customHeight="1">
      <c r="A4" s="1346" t="s">
        <v>399</v>
      </c>
      <c r="B4" s="1639" t="s">
        <v>1268</v>
      </c>
      <c r="C4" s="1639"/>
      <c r="D4" s="1639"/>
      <c r="E4" s="1392"/>
      <c r="F4" s="1639" t="s">
        <v>47</v>
      </c>
      <c r="G4" s="1639"/>
      <c r="H4" s="1639"/>
      <c r="I4" s="1392"/>
      <c r="J4" s="1639" t="s">
        <v>400</v>
      </c>
      <c r="K4" s="1639"/>
      <c r="L4" s="1639"/>
      <c r="M4" s="1639"/>
      <c r="N4" s="1391" t="s">
        <v>1233</v>
      </c>
      <c r="O4" s="1639"/>
      <c r="P4" s="1639"/>
      <c r="Q4" s="1392"/>
      <c r="R4" s="1346" t="s">
        <v>800</v>
      </c>
    </row>
    <row r="5" spans="1:21" ht="15" customHeight="1">
      <c r="A5" s="1377"/>
      <c r="B5" s="1780" t="s">
        <v>1622</v>
      </c>
      <c r="C5" s="1780" t="s">
        <v>1623</v>
      </c>
      <c r="D5" s="1780" t="s">
        <v>1624</v>
      </c>
      <c r="E5" s="1783" t="s">
        <v>241</v>
      </c>
      <c r="F5" s="1780" t="s">
        <v>1622</v>
      </c>
      <c r="G5" s="1780" t="s">
        <v>1623</v>
      </c>
      <c r="H5" s="1780" t="s">
        <v>1624</v>
      </c>
      <c r="I5" s="1783" t="s">
        <v>241</v>
      </c>
      <c r="J5" s="1780" t="s">
        <v>1622</v>
      </c>
      <c r="K5" s="1780" t="s">
        <v>1623</v>
      </c>
      <c r="L5" s="1780" t="s">
        <v>1624</v>
      </c>
      <c r="M5" s="1783" t="s">
        <v>241</v>
      </c>
      <c r="N5" s="1780" t="s">
        <v>1622</v>
      </c>
      <c r="O5" s="1780" t="s">
        <v>1623</v>
      </c>
      <c r="P5" s="1780" t="s">
        <v>1624</v>
      </c>
      <c r="Q5" s="1783" t="s">
        <v>241</v>
      </c>
      <c r="R5" s="1377"/>
    </row>
    <row r="6" spans="1:21" ht="15" customHeight="1">
      <c r="A6" s="1377"/>
      <c r="B6" s="1781"/>
      <c r="C6" s="1781"/>
      <c r="D6" s="1781"/>
      <c r="E6" s="1784"/>
      <c r="F6" s="1781"/>
      <c r="G6" s="1781"/>
      <c r="H6" s="1781"/>
      <c r="I6" s="1784"/>
      <c r="J6" s="1781"/>
      <c r="K6" s="1781"/>
      <c r="L6" s="1781"/>
      <c r="M6" s="1784"/>
      <c r="N6" s="1781"/>
      <c r="O6" s="1781"/>
      <c r="P6" s="1781"/>
      <c r="Q6" s="1784"/>
      <c r="R6" s="1377"/>
    </row>
    <row r="7" spans="1:21" ht="13.5" customHeight="1">
      <c r="A7" s="1347"/>
      <c r="B7" s="1782"/>
      <c r="C7" s="1782"/>
      <c r="D7" s="1782"/>
      <c r="E7" s="1785"/>
      <c r="F7" s="1782"/>
      <c r="G7" s="1782"/>
      <c r="H7" s="1782"/>
      <c r="I7" s="1785"/>
      <c r="J7" s="1782"/>
      <c r="K7" s="1782"/>
      <c r="L7" s="1782"/>
      <c r="M7" s="1785"/>
      <c r="N7" s="1782"/>
      <c r="O7" s="1782"/>
      <c r="P7" s="1782"/>
      <c r="Q7" s="1785"/>
      <c r="R7" s="1347"/>
    </row>
    <row r="8" spans="1:21" ht="15.75" customHeight="1">
      <c r="A8" s="272" t="s">
        <v>1208</v>
      </c>
      <c r="B8" s="272" t="s">
        <v>1209</v>
      </c>
      <c r="C8" s="272" t="s">
        <v>1210</v>
      </c>
      <c r="D8" s="272" t="s">
        <v>1211</v>
      </c>
      <c r="E8" s="238" t="s">
        <v>1212</v>
      </c>
      <c r="F8" s="272" t="s">
        <v>1213</v>
      </c>
      <c r="G8" s="272" t="s">
        <v>1214</v>
      </c>
      <c r="H8" s="272" t="s">
        <v>1244</v>
      </c>
      <c r="I8" s="238" t="s">
        <v>1245</v>
      </c>
      <c r="J8" s="272" t="s">
        <v>1246</v>
      </c>
      <c r="K8" s="272" t="s">
        <v>1247</v>
      </c>
      <c r="L8" s="272" t="s">
        <v>1271</v>
      </c>
      <c r="M8" s="238" t="s">
        <v>1272</v>
      </c>
      <c r="N8" s="272" t="s">
        <v>1273</v>
      </c>
      <c r="O8" s="272" t="s">
        <v>1274</v>
      </c>
      <c r="P8" s="272" t="s">
        <v>1275</v>
      </c>
      <c r="Q8" s="238" t="s">
        <v>1276</v>
      </c>
      <c r="R8" s="238" t="s">
        <v>1278</v>
      </c>
    </row>
    <row r="9" spans="1:21" ht="18" customHeight="1">
      <c r="A9" s="180">
        <v>2010</v>
      </c>
      <c r="B9" s="116">
        <v>116</v>
      </c>
      <c r="C9" s="116">
        <v>1242</v>
      </c>
      <c r="D9" s="116">
        <v>642</v>
      </c>
      <c r="E9" s="104">
        <f>ROUND(D9/C9*100,2)</f>
        <v>51.69</v>
      </c>
      <c r="F9" s="116">
        <v>30</v>
      </c>
      <c r="G9" s="116">
        <v>890</v>
      </c>
      <c r="H9" s="116">
        <v>224</v>
      </c>
      <c r="I9" s="104">
        <f>ROUND(H9/G9*100,2)</f>
        <v>25.17</v>
      </c>
      <c r="J9" s="116">
        <v>12</v>
      </c>
      <c r="K9" s="116">
        <v>654</v>
      </c>
      <c r="L9" s="116">
        <v>313</v>
      </c>
      <c r="M9" s="104">
        <f>ROUND(L9/K9*100,2)</f>
        <v>47.86</v>
      </c>
      <c r="N9" s="116">
        <f>SUM(B9,F9,J9)</f>
        <v>158</v>
      </c>
      <c r="O9" s="116">
        <f>SUM(C9,G9,K9)</f>
        <v>2786</v>
      </c>
      <c r="P9" s="116">
        <f>SUM(D9,H9,L9)</f>
        <v>1179</v>
      </c>
      <c r="Q9" s="104">
        <f>ROUND(P9/O9*100,2)</f>
        <v>42.32</v>
      </c>
      <c r="R9" s="608" t="s">
        <v>801</v>
      </c>
    </row>
    <row r="10" spans="1:21" ht="18" customHeight="1">
      <c r="A10" s="180">
        <v>2011</v>
      </c>
      <c r="B10" s="116">
        <v>116</v>
      </c>
      <c r="C10" s="116">
        <v>1498</v>
      </c>
      <c r="D10" s="116">
        <v>742</v>
      </c>
      <c r="E10" s="104">
        <f>ROUND(D10/C10*100,2)</f>
        <v>49.53</v>
      </c>
      <c r="F10" s="116">
        <v>31</v>
      </c>
      <c r="G10" s="116">
        <v>1094</v>
      </c>
      <c r="H10" s="116">
        <v>294</v>
      </c>
      <c r="I10" s="104">
        <f>ROUND(H10/G10*100,2)</f>
        <v>26.87</v>
      </c>
      <c r="J10" s="116">
        <v>12</v>
      </c>
      <c r="K10" s="116">
        <v>794</v>
      </c>
      <c r="L10" s="116">
        <v>376</v>
      </c>
      <c r="M10" s="104">
        <f>ROUND(L10/K10*100,2)</f>
        <v>47.36</v>
      </c>
      <c r="N10" s="116">
        <f>SUM(B10,F10,J10)</f>
        <v>159</v>
      </c>
      <c r="O10" s="116">
        <f>SUM(C10,G10,K10)</f>
        <v>3386</v>
      </c>
      <c r="P10" s="116">
        <v>1411</v>
      </c>
      <c r="Q10" s="104">
        <f>ROUND(P10/O10*100,2)</f>
        <v>41.67</v>
      </c>
      <c r="R10" s="608">
        <f>ROUND('2.2,2.3'!B$44/'7.2,7.3'!N10/1000,0)</f>
        <v>25</v>
      </c>
    </row>
    <row r="11" spans="1:21" ht="18" customHeight="1">
      <c r="A11" s="180">
        <v>2012</v>
      </c>
      <c r="B11" s="116">
        <v>122</v>
      </c>
      <c r="C11" s="116">
        <v>1772</v>
      </c>
      <c r="D11" s="116">
        <v>853</v>
      </c>
      <c r="E11" s="104">
        <f>ROUND(D11/C11*100,2)</f>
        <v>48.14</v>
      </c>
      <c r="F11" s="116">
        <v>33</v>
      </c>
      <c r="G11" s="116">
        <v>1352</v>
      </c>
      <c r="H11" s="116">
        <v>347</v>
      </c>
      <c r="I11" s="104">
        <f>ROUND(H11/G11*100,2)</f>
        <v>25.67</v>
      </c>
      <c r="J11" s="116">
        <v>14</v>
      </c>
      <c r="K11" s="116">
        <v>945</v>
      </c>
      <c r="L11" s="116">
        <v>417</v>
      </c>
      <c r="M11" s="104">
        <f>ROUND(L11/K11*100,2)</f>
        <v>44.13</v>
      </c>
      <c r="N11" s="116">
        <f>SUM(B11,F11,J11)</f>
        <v>169</v>
      </c>
      <c r="O11" s="116">
        <v>4069</v>
      </c>
      <c r="P11" s="116">
        <v>1617</v>
      </c>
      <c r="Q11" s="1269">
        <f>ROUND(P11/O11*100,2)</f>
        <v>39.74</v>
      </c>
      <c r="R11" s="608">
        <f>ROUND('2.2,2.3'!B$44/'7.2,7.3'!N11/1000,0)</f>
        <v>24</v>
      </c>
    </row>
    <row r="12" spans="1:21" ht="18" customHeight="1">
      <c r="A12" s="180">
        <v>2013</v>
      </c>
      <c r="B12" s="116">
        <v>125</v>
      </c>
      <c r="C12" s="116">
        <v>2168</v>
      </c>
      <c r="D12" s="116">
        <v>959</v>
      </c>
      <c r="E12" s="104">
        <f>ROUND(D12/C12*100,2)</f>
        <v>44.23</v>
      </c>
      <c r="F12" s="116">
        <v>34</v>
      </c>
      <c r="G12" s="116">
        <v>1681</v>
      </c>
      <c r="H12" s="116">
        <v>405</v>
      </c>
      <c r="I12" s="104">
        <f>ROUND(H12/G12*100,2)</f>
        <v>24.09</v>
      </c>
      <c r="J12" s="116">
        <v>15</v>
      </c>
      <c r="K12" s="116">
        <v>1037</v>
      </c>
      <c r="L12" s="116">
        <v>458</v>
      </c>
      <c r="M12" s="129">
        <f>ROUND(L12/K12*100,2)</f>
        <v>44.17</v>
      </c>
      <c r="N12" s="116">
        <f>SUM(B12,F12,J12)</f>
        <v>174</v>
      </c>
      <c r="O12" s="116">
        <f>SUM(C12,G12,K12)</f>
        <v>4886</v>
      </c>
      <c r="P12" s="608">
        <v>1823</v>
      </c>
      <c r="Q12" s="837">
        <f>ROUND(P12/O12*100,2)</f>
        <v>37.31</v>
      </c>
      <c r="R12" s="608">
        <f>ROUND('2.2,2.3'!B$44/'7.2,7.3'!N12/1000,0)</f>
        <v>23</v>
      </c>
    </row>
    <row r="13" spans="1:21" ht="18" customHeight="1">
      <c r="A13" s="252">
        <v>2014</v>
      </c>
      <c r="B13" s="117">
        <v>135</v>
      </c>
      <c r="C13" s="117">
        <v>2509</v>
      </c>
      <c r="D13" s="117">
        <v>1043</v>
      </c>
      <c r="E13" s="111">
        <f>ROUND(D13/C13*100,2)</f>
        <v>41.57</v>
      </c>
      <c r="F13" s="117">
        <v>36</v>
      </c>
      <c r="G13" s="117">
        <v>1816</v>
      </c>
      <c r="H13" s="117">
        <v>474</v>
      </c>
      <c r="I13" s="111">
        <f>ROUND(H13/G13*100,2)</f>
        <v>26.1</v>
      </c>
      <c r="J13" s="117">
        <v>18</v>
      </c>
      <c r="K13" s="117">
        <v>1180</v>
      </c>
      <c r="L13" s="117">
        <v>486</v>
      </c>
      <c r="M13" s="111">
        <f>ROUND(L13/K13*100,2)</f>
        <v>41.19</v>
      </c>
      <c r="N13" s="117">
        <f>SUM(B13,F13,J13)</f>
        <v>189</v>
      </c>
      <c r="O13" s="117">
        <f>SUM(C13,G13,K13)</f>
        <v>5505</v>
      </c>
      <c r="P13" s="117">
        <f>SUM(D13,H13,L13)</f>
        <v>2003</v>
      </c>
      <c r="Q13" s="837">
        <f>ROUND(P13/O13*100,2)</f>
        <v>36.39</v>
      </c>
      <c r="R13" s="608">
        <f>ROUND('2.2,2.3'!B$44/'7.2,7.3'!N13/1000,0)</f>
        <v>21</v>
      </c>
    </row>
    <row r="14" spans="1:21" ht="12.75" customHeight="1">
      <c r="A14" s="1178" t="s">
        <v>54</v>
      </c>
      <c r="B14" s="1179" t="s">
        <v>402</v>
      </c>
      <c r="C14" s="1179"/>
      <c r="D14" s="1179"/>
      <c r="E14" s="1179"/>
      <c r="F14" s="1179"/>
      <c r="G14" s="1179"/>
      <c r="H14" s="1179"/>
      <c r="I14" s="1179"/>
      <c r="J14" s="1179"/>
      <c r="K14" s="1179"/>
      <c r="L14" s="1179"/>
      <c r="M14" s="1180" t="s">
        <v>321</v>
      </c>
      <c r="N14" s="1786" t="s">
        <v>1138</v>
      </c>
      <c r="O14" s="1786"/>
      <c r="P14" s="1786"/>
      <c r="Q14" s="1786"/>
      <c r="R14" s="1786"/>
      <c r="S14" s="158"/>
      <c r="T14" s="158"/>
      <c r="U14" s="158"/>
    </row>
    <row r="15" spans="1:21" ht="12.75" customHeight="1">
      <c r="A15" s="1179"/>
      <c r="B15" s="1179" t="s">
        <v>403</v>
      </c>
      <c r="C15" s="1179"/>
      <c r="D15" s="1179"/>
      <c r="E15" s="1179"/>
      <c r="F15" s="1179"/>
      <c r="G15" s="1179"/>
      <c r="H15" s="1179"/>
      <c r="I15" s="1179"/>
      <c r="J15" s="1179"/>
      <c r="K15" s="1179"/>
      <c r="L15" s="1179"/>
      <c r="M15" s="1177"/>
      <c r="N15" s="1787"/>
      <c r="O15" s="1787"/>
      <c r="P15" s="1787"/>
      <c r="Q15" s="1787"/>
      <c r="R15" s="1787"/>
    </row>
    <row r="16" spans="1:21" ht="12.75" customHeight="1">
      <c r="A16" s="1179"/>
      <c r="B16" s="1179" t="s">
        <v>404</v>
      </c>
      <c r="C16" s="1179"/>
      <c r="D16" s="1179"/>
      <c r="E16" s="1179"/>
      <c r="F16" s="1179"/>
      <c r="G16" s="1179"/>
      <c r="H16" s="1179"/>
      <c r="I16" s="1179"/>
      <c r="J16" s="1179"/>
      <c r="K16" s="1179"/>
      <c r="L16" s="1179"/>
      <c r="M16" s="1177"/>
      <c r="N16" s="1787"/>
      <c r="O16" s="1787"/>
      <c r="P16" s="1787"/>
      <c r="Q16" s="1787"/>
      <c r="R16" s="1787"/>
    </row>
    <row r="17" spans="1:22" ht="12.75" customHeight="1">
      <c r="A17" s="1179"/>
      <c r="B17" s="1179" t="s">
        <v>807</v>
      </c>
      <c r="C17" s="1179"/>
      <c r="D17" s="1179"/>
      <c r="E17" s="1179"/>
      <c r="F17" s="1179"/>
      <c r="G17" s="1179"/>
      <c r="H17" s="1179"/>
      <c r="I17" s="1179"/>
      <c r="J17" s="1179"/>
      <c r="K17" s="1179"/>
      <c r="L17" s="1179"/>
      <c r="M17" s="1177"/>
      <c r="N17" s="1787"/>
      <c r="O17" s="1787"/>
      <c r="P17" s="1787"/>
      <c r="Q17" s="1787"/>
      <c r="R17" s="1787"/>
    </row>
    <row r="18" spans="1:22" ht="14.1" customHeight="1">
      <c r="A18" s="1208" t="s">
        <v>908</v>
      </c>
      <c r="B18" s="1181"/>
      <c r="C18" s="1181"/>
      <c r="D18" s="1181"/>
      <c r="E18" s="1181"/>
      <c r="F18" s="1182"/>
      <c r="G18" s="1182"/>
      <c r="H18" s="1182"/>
      <c r="I18" s="1182"/>
      <c r="J18" s="1182"/>
      <c r="K18" s="1182"/>
      <c r="L18" s="1182"/>
      <c r="M18" s="1177"/>
      <c r="N18" s="1177"/>
      <c r="O18" s="1177"/>
      <c r="P18" s="1177"/>
      <c r="Q18" s="1177"/>
      <c r="R18" s="1177"/>
    </row>
    <row r="19" spans="1:22" ht="14.1" customHeight="1">
      <c r="A19" s="1208" t="s">
        <v>907</v>
      </c>
      <c r="B19" s="1181"/>
      <c r="C19" s="1181"/>
      <c r="D19" s="1181"/>
      <c r="E19" s="1181"/>
      <c r="F19" s="1182"/>
      <c r="G19" s="1182"/>
      <c r="H19" s="1182"/>
      <c r="I19" s="1182"/>
      <c r="J19" s="1182"/>
      <c r="K19" s="1182"/>
      <c r="L19" s="1182"/>
      <c r="M19" s="1177"/>
      <c r="N19" s="1177"/>
      <c r="O19" s="1177"/>
      <c r="P19" s="1177"/>
      <c r="Q19" s="1177"/>
      <c r="R19" s="1177"/>
    </row>
    <row r="20" spans="1:22" ht="14.1" customHeight="1">
      <c r="A20" s="312"/>
      <c r="B20" s="523"/>
      <c r="C20" s="523"/>
      <c r="D20" s="523"/>
      <c r="E20" s="523"/>
      <c r="F20" s="523"/>
      <c r="G20" s="523"/>
      <c r="H20" s="523"/>
      <c r="I20" s="523"/>
      <c r="J20" s="523"/>
    </row>
    <row r="21" spans="1:22" ht="14.1" customHeight="1">
      <c r="A21" s="312"/>
      <c r="B21" s="523"/>
      <c r="C21" s="1363" t="s">
        <v>1440</v>
      </c>
      <c r="D21" s="1363"/>
      <c r="E21" s="1363"/>
      <c r="F21" s="1363"/>
      <c r="G21" s="1363"/>
      <c r="H21" s="1363"/>
      <c r="I21" s="1363"/>
      <c r="J21" s="1363"/>
      <c r="K21" s="1363"/>
      <c r="L21" s="1363"/>
      <c r="M21" s="1363"/>
      <c r="N21" s="1363"/>
      <c r="O21" s="1363"/>
      <c r="P21" s="1363"/>
      <c r="Q21" s="1363"/>
    </row>
    <row r="22" spans="1:22" ht="20.25" customHeight="1">
      <c r="C22" s="1373" t="str">
        <f>CONCATENATE("Progress of L.I.C. in the district of ",District!A1)</f>
        <v>Progress of L.I.C. in the district of Malda</v>
      </c>
      <c r="D22" s="1373"/>
      <c r="E22" s="1373"/>
      <c r="F22" s="1373"/>
      <c r="G22" s="1373"/>
      <c r="H22" s="1373"/>
      <c r="I22" s="1373"/>
      <c r="J22" s="1373"/>
      <c r="K22" s="1373"/>
      <c r="L22" s="1373"/>
      <c r="M22" s="1373"/>
      <c r="N22" s="1373"/>
      <c r="O22" s="1373"/>
      <c r="P22" s="1373"/>
      <c r="Q22" s="1373"/>
      <c r="T22" s="732"/>
      <c r="U22" s="732"/>
    </row>
    <row r="23" spans="1:22" ht="18" customHeight="1">
      <c r="C23" s="1359" t="s">
        <v>1089</v>
      </c>
      <c r="D23" s="1360"/>
      <c r="E23" s="1391" t="s">
        <v>405</v>
      </c>
      <c r="F23" s="1639"/>
      <c r="G23" s="1639"/>
      <c r="H23" s="1392"/>
      <c r="I23" s="1548" t="s">
        <v>1010</v>
      </c>
      <c r="J23" s="1548"/>
      <c r="K23" s="1548"/>
      <c r="L23" s="1548"/>
      <c r="M23" s="1548"/>
      <c r="N23" s="1391" t="s">
        <v>406</v>
      </c>
      <c r="O23" s="1639"/>
      <c r="P23" s="1639"/>
      <c r="Q23" s="1392"/>
    </row>
    <row r="24" spans="1:22" ht="30.75" customHeight="1">
      <c r="C24" s="1381"/>
      <c r="D24" s="1604"/>
      <c r="E24" s="1771" t="s">
        <v>48</v>
      </c>
      <c r="F24" s="1772"/>
      <c r="G24" s="1771" t="s">
        <v>1616</v>
      </c>
      <c r="H24" s="1773"/>
      <c r="I24" s="1771" t="s">
        <v>407</v>
      </c>
      <c r="J24" s="1788"/>
      <c r="K24" s="1773"/>
      <c r="L24" s="1789" t="s">
        <v>1195</v>
      </c>
      <c r="M24" s="1790"/>
      <c r="N24" s="1788" t="s">
        <v>1625</v>
      </c>
      <c r="O24" s="1773"/>
      <c r="P24" s="1771" t="s">
        <v>240</v>
      </c>
      <c r="Q24" s="1773"/>
    </row>
    <row r="25" spans="1:22" ht="18" customHeight="1">
      <c r="C25" s="1353" t="s">
        <v>1208</v>
      </c>
      <c r="D25" s="1354"/>
      <c r="E25" s="1425" t="s">
        <v>1209</v>
      </c>
      <c r="F25" s="1354"/>
      <c r="G25" s="1353" t="s">
        <v>1210</v>
      </c>
      <c r="H25" s="1354"/>
      <c r="I25" s="1353" t="s">
        <v>1211</v>
      </c>
      <c r="J25" s="1425"/>
      <c r="K25" s="1425"/>
      <c r="L25" s="1353" t="s">
        <v>1212</v>
      </c>
      <c r="M25" s="1354"/>
      <c r="N25" s="1425" t="s">
        <v>1213</v>
      </c>
      <c r="O25" s="1354"/>
      <c r="P25" s="1353" t="s">
        <v>1214</v>
      </c>
      <c r="Q25" s="1354"/>
      <c r="U25" s="733"/>
      <c r="V25" s="733"/>
    </row>
    <row r="26" spans="1:22" ht="18" customHeight="1">
      <c r="C26" s="1728" t="s">
        <v>1577</v>
      </c>
      <c r="D26" s="1729"/>
      <c r="E26" s="1778">
        <v>86510</v>
      </c>
      <c r="F26" s="1666"/>
      <c r="G26" s="1774">
        <v>788.62</v>
      </c>
      <c r="H26" s="1775"/>
      <c r="I26" s="1778">
        <v>643521</v>
      </c>
      <c r="J26" s="1779"/>
      <c r="K26" s="1666"/>
      <c r="L26" s="1778">
        <v>1706512</v>
      </c>
      <c r="M26" s="1666"/>
      <c r="N26" s="1778">
        <v>16253</v>
      </c>
      <c r="O26" s="1666"/>
      <c r="P26" s="1778">
        <v>356630</v>
      </c>
      <c r="Q26" s="1666"/>
      <c r="U26" s="144"/>
      <c r="V26" s="144"/>
    </row>
    <row r="27" spans="1:22" ht="18" customHeight="1">
      <c r="C27" s="1342" t="s">
        <v>1576</v>
      </c>
      <c r="D27" s="1343"/>
      <c r="E27" s="1413">
        <v>62892</v>
      </c>
      <c r="F27" s="1414"/>
      <c r="G27" s="1776">
        <v>676.08</v>
      </c>
      <c r="H27" s="1777"/>
      <c r="I27" s="1413">
        <v>543301</v>
      </c>
      <c r="J27" s="1468"/>
      <c r="K27" s="1414"/>
      <c r="L27" s="1413">
        <v>1677246</v>
      </c>
      <c r="M27" s="1414"/>
      <c r="N27" s="1413">
        <v>17378</v>
      </c>
      <c r="O27" s="1414"/>
      <c r="P27" s="1413">
        <v>387762</v>
      </c>
      <c r="Q27" s="1414"/>
      <c r="U27" s="144"/>
      <c r="V27" s="144"/>
    </row>
    <row r="28" spans="1:22" ht="18" customHeight="1">
      <c r="C28" s="1342" t="s">
        <v>267</v>
      </c>
      <c r="D28" s="1343"/>
      <c r="E28" s="1413">
        <v>48175</v>
      </c>
      <c r="F28" s="1414"/>
      <c r="G28" s="1776">
        <v>586.79999999999995</v>
      </c>
      <c r="H28" s="1777"/>
      <c r="I28" s="1413">
        <v>328877</v>
      </c>
      <c r="J28" s="1468"/>
      <c r="K28" s="1414"/>
      <c r="L28" s="1413">
        <v>1572004</v>
      </c>
      <c r="M28" s="1414"/>
      <c r="N28" s="1413">
        <v>15526</v>
      </c>
      <c r="O28" s="1414"/>
      <c r="P28" s="1413">
        <v>373338</v>
      </c>
      <c r="Q28" s="1414"/>
      <c r="U28" s="144"/>
      <c r="V28" s="144"/>
    </row>
    <row r="29" spans="1:22" ht="18" customHeight="1">
      <c r="C29" s="1342" t="s">
        <v>1094</v>
      </c>
      <c r="D29" s="1343"/>
      <c r="E29" s="1468">
        <v>44826</v>
      </c>
      <c r="F29" s="1414"/>
      <c r="G29" s="1791">
        <v>527.12</v>
      </c>
      <c r="H29" s="1791"/>
      <c r="I29" s="1743">
        <v>379534</v>
      </c>
      <c r="J29" s="1767"/>
      <c r="K29" s="1744"/>
      <c r="L29" s="1413">
        <v>1615539</v>
      </c>
      <c r="M29" s="1414"/>
      <c r="N29" s="1413">
        <v>10785</v>
      </c>
      <c r="O29" s="1414"/>
      <c r="P29" s="1468">
        <v>249986</v>
      </c>
      <c r="Q29" s="1414"/>
      <c r="U29" s="144"/>
      <c r="V29" s="144"/>
    </row>
    <row r="30" spans="1:22" ht="15.75" customHeight="1">
      <c r="C30" s="1730" t="s">
        <v>1595</v>
      </c>
      <c r="D30" s="1740"/>
      <c r="E30" s="1480">
        <v>58458</v>
      </c>
      <c r="F30" s="1647"/>
      <c r="G30" s="1765">
        <v>514.84</v>
      </c>
      <c r="H30" s="1766"/>
      <c r="I30" s="1768">
        <v>314793.5</v>
      </c>
      <c r="J30" s="1769"/>
      <c r="K30" s="1770"/>
      <c r="L30" s="1480">
        <v>1412255</v>
      </c>
      <c r="M30" s="1647"/>
      <c r="N30" s="1481">
        <v>15916</v>
      </c>
      <c r="O30" s="1647"/>
      <c r="P30" s="1763">
        <v>511388.09</v>
      </c>
      <c r="Q30" s="1764"/>
    </row>
    <row r="31" spans="1:22">
      <c r="D31" s="40"/>
      <c r="E31" t="s">
        <v>1327</v>
      </c>
      <c r="H31" s="166"/>
      <c r="I31" s="1177"/>
      <c r="J31" s="1178" t="s">
        <v>117</v>
      </c>
      <c r="K31" s="1179" t="s">
        <v>51</v>
      </c>
      <c r="L31" s="1177"/>
      <c r="M31" s="1177"/>
      <c r="N31" s="1177"/>
      <c r="O31" s="1177"/>
      <c r="P31" s="1177"/>
      <c r="Q31" s="1177"/>
    </row>
    <row r="32" spans="1:22">
      <c r="F32" s="166"/>
      <c r="H32" s="166"/>
      <c r="I32" s="1177"/>
      <c r="J32" s="1179"/>
      <c r="K32" s="1179" t="s">
        <v>49</v>
      </c>
      <c r="L32" s="1177"/>
      <c r="M32" s="1177"/>
      <c r="N32" s="1177"/>
      <c r="O32" s="1177"/>
      <c r="P32" s="1177"/>
      <c r="Q32" s="1177"/>
    </row>
    <row r="33" spans="7:17">
      <c r="I33" s="1177"/>
      <c r="J33" s="1177"/>
      <c r="K33" s="1177"/>
      <c r="L33" s="1177"/>
      <c r="M33" s="1177"/>
      <c r="N33" s="1177"/>
      <c r="O33" s="1177"/>
      <c r="P33" s="1177"/>
      <c r="Q33" s="1177"/>
    </row>
    <row r="34" spans="7:17">
      <c r="G34" s="7"/>
      <c r="H34" s="7"/>
    </row>
  </sheetData>
  <mergeCells count="79">
    <mergeCell ref="N30:O30"/>
    <mergeCell ref="N27:O27"/>
    <mergeCell ref="N26:O26"/>
    <mergeCell ref="I23:M23"/>
    <mergeCell ref="L27:M27"/>
    <mergeCell ref="I27:K27"/>
    <mergeCell ref="C30:D30"/>
    <mergeCell ref="E29:F29"/>
    <mergeCell ref="G29:H29"/>
    <mergeCell ref="G28:H28"/>
    <mergeCell ref="C28:D28"/>
    <mergeCell ref="C29:D29"/>
    <mergeCell ref="A1:R1"/>
    <mergeCell ref="C21:Q21"/>
    <mergeCell ref="E27:F27"/>
    <mergeCell ref="G25:H25"/>
    <mergeCell ref="N14:R17"/>
    <mergeCell ref="P24:Q24"/>
    <mergeCell ref="N23:Q23"/>
    <mergeCell ref="I24:K24"/>
    <mergeCell ref="L24:M24"/>
    <mergeCell ref="N24:O24"/>
    <mergeCell ref="P29:Q29"/>
    <mergeCell ref="N25:O25"/>
    <mergeCell ref="P25:Q25"/>
    <mergeCell ref="P27:Q27"/>
    <mergeCell ref="P28:Q28"/>
    <mergeCell ref="N28:O28"/>
    <mergeCell ref="P26:Q26"/>
    <mergeCell ref="N29:O29"/>
    <mergeCell ref="A4:A7"/>
    <mergeCell ref="B5:B7"/>
    <mergeCell ref="G5:G7"/>
    <mergeCell ref="C5:C7"/>
    <mergeCell ref="D5:D7"/>
    <mergeCell ref="E5:E7"/>
    <mergeCell ref="F5:F7"/>
    <mergeCell ref="O5:O7"/>
    <mergeCell ref="H5:H7"/>
    <mergeCell ref="I5:I7"/>
    <mergeCell ref="J5:J7"/>
    <mergeCell ref="K5:K7"/>
    <mergeCell ref="N5:N7"/>
    <mergeCell ref="R4:R7"/>
    <mergeCell ref="A2:R2"/>
    <mergeCell ref="P5:P7"/>
    <mergeCell ref="Q5:Q7"/>
    <mergeCell ref="B4:E4"/>
    <mergeCell ref="F4:I4"/>
    <mergeCell ref="J4:M4"/>
    <mergeCell ref="N4:Q4"/>
    <mergeCell ref="L5:L7"/>
    <mergeCell ref="M5:M7"/>
    <mergeCell ref="C22:Q22"/>
    <mergeCell ref="C23:D24"/>
    <mergeCell ref="C25:D25"/>
    <mergeCell ref="C26:D26"/>
    <mergeCell ref="L25:M25"/>
    <mergeCell ref="I25:K25"/>
    <mergeCell ref="L26:M26"/>
    <mergeCell ref="I26:K26"/>
    <mergeCell ref="E23:H23"/>
    <mergeCell ref="E26:F26"/>
    <mergeCell ref="C27:D27"/>
    <mergeCell ref="E25:F25"/>
    <mergeCell ref="E24:F24"/>
    <mergeCell ref="G24:H24"/>
    <mergeCell ref="G26:H26"/>
    <mergeCell ref="G27:H27"/>
    <mergeCell ref="P30:Q30"/>
    <mergeCell ref="E30:F30"/>
    <mergeCell ref="G30:H30"/>
    <mergeCell ref="I28:K28"/>
    <mergeCell ref="I29:K29"/>
    <mergeCell ref="I30:K30"/>
    <mergeCell ref="L28:M28"/>
    <mergeCell ref="L29:M29"/>
    <mergeCell ref="L30:M30"/>
    <mergeCell ref="E28:F28"/>
  </mergeCells>
  <phoneticPr fontId="0" type="noConversion"/>
  <printOptions horizontalCentered="1"/>
  <pageMargins left="0.14000000000000001" right="0.1" top="0.63" bottom="0.1" header="0.63" footer="0.1"/>
  <pageSetup paperSize="9" orientation="landscape" blackAndWhite="1" horizontalDpi="4294967295" verticalDpi="300" r:id="rId1"/>
  <headerFooter alignWithMargins="0"/>
</worksheet>
</file>

<file path=xl/worksheets/sheet53.xml><?xml version="1.0" encoding="utf-8"?>
<worksheet xmlns="http://schemas.openxmlformats.org/spreadsheetml/2006/main" xmlns:r="http://schemas.openxmlformats.org/officeDocument/2006/relationships">
  <dimension ref="A1:P61"/>
  <sheetViews>
    <sheetView workbookViewId="0">
      <selection activeCell="M5" sqref="M5"/>
    </sheetView>
  </sheetViews>
  <sheetFormatPr defaultRowHeight="12.75"/>
  <cols>
    <col min="1" max="1" width="22.140625" customWidth="1"/>
    <col min="2" max="6" width="13.7109375" customWidth="1"/>
  </cols>
  <sheetData>
    <row r="1" spans="1:16" ht="14.25" customHeight="1">
      <c r="A1" s="1739" t="s">
        <v>1442</v>
      </c>
      <c r="B1" s="1739"/>
      <c r="C1" s="1739"/>
      <c r="D1" s="1739"/>
      <c r="E1" s="1739"/>
      <c r="F1" s="1739"/>
    </row>
    <row r="2" spans="1:16" ht="32.25" customHeight="1">
      <c r="A2" s="1796" t="str">
        <f>CONCATENATE("Micro &amp; Small Scale Enterprises with corresponding Employment 
in the district of ",District!$A$1)</f>
        <v>Micro &amp; Small Scale Enterprises with corresponding Employment 
in the district of Malda</v>
      </c>
      <c r="B2" s="1796"/>
      <c r="C2" s="1796"/>
      <c r="D2" s="1796"/>
      <c r="E2" s="1796"/>
      <c r="F2" s="1796"/>
    </row>
    <row r="3" spans="1:16" s="500" customFormat="1" ht="11.25" customHeight="1">
      <c r="C3" s="843"/>
      <c r="F3" s="871" t="s">
        <v>1253</v>
      </c>
    </row>
    <row r="4" spans="1:16" ht="25.5" customHeight="1">
      <c r="A4" s="1461" t="s">
        <v>1089</v>
      </c>
      <c r="B4" s="1462"/>
      <c r="C4" s="1800" t="s">
        <v>1090</v>
      </c>
      <c r="D4" s="1800"/>
      <c r="E4" s="1801" t="s">
        <v>408</v>
      </c>
      <c r="F4" s="1801"/>
      <c r="K4" s="7"/>
      <c r="L4" s="7"/>
      <c r="M4" s="7"/>
      <c r="N4" s="7"/>
      <c r="O4" s="7"/>
      <c r="P4" s="7"/>
    </row>
    <row r="5" spans="1:16" ht="25.5" customHeight="1">
      <c r="A5" s="1470"/>
      <c r="B5" s="1797"/>
      <c r="C5" s="798" t="s">
        <v>396</v>
      </c>
      <c r="D5" s="798" t="s">
        <v>397</v>
      </c>
      <c r="E5" s="798" t="s">
        <v>396</v>
      </c>
      <c r="F5" s="586" t="s">
        <v>397</v>
      </c>
      <c r="K5" s="7"/>
      <c r="L5" s="7"/>
      <c r="M5" s="7"/>
      <c r="N5" s="7"/>
      <c r="O5" s="7"/>
      <c r="P5" s="7"/>
    </row>
    <row r="6" spans="1:16" ht="25.5" customHeight="1">
      <c r="A6" s="1798" t="s">
        <v>1208</v>
      </c>
      <c r="B6" s="1799"/>
      <c r="C6" s="872" t="s">
        <v>1209</v>
      </c>
      <c r="D6" s="872" t="s">
        <v>1210</v>
      </c>
      <c r="E6" s="872" t="s">
        <v>1211</v>
      </c>
      <c r="F6" s="873" t="s">
        <v>1212</v>
      </c>
      <c r="K6" s="7"/>
      <c r="L6" s="7"/>
      <c r="M6" s="7"/>
      <c r="N6" s="7"/>
      <c r="O6" s="7"/>
      <c r="P6" s="7"/>
    </row>
    <row r="7" spans="1:16" ht="25.5" customHeight="1">
      <c r="A7" s="1792" t="str">
        <f>District!K9</f>
        <v>2009-10</v>
      </c>
      <c r="B7" s="1793"/>
      <c r="C7" s="115">
        <v>123</v>
      </c>
      <c r="D7" s="134">
        <v>2008</v>
      </c>
      <c r="E7" s="115">
        <v>874</v>
      </c>
      <c r="F7" s="115">
        <v>11825</v>
      </c>
      <c r="G7" s="41"/>
      <c r="K7" s="7"/>
      <c r="L7" s="7"/>
      <c r="M7" s="7"/>
      <c r="N7" s="7"/>
      <c r="O7" s="7"/>
      <c r="P7" s="7"/>
    </row>
    <row r="8" spans="1:16" ht="25.5" customHeight="1">
      <c r="A8" s="1794" t="str">
        <f>District!K10</f>
        <v>2010-11</v>
      </c>
      <c r="B8" s="1795"/>
      <c r="C8" s="116">
        <v>180</v>
      </c>
      <c r="D8" s="121">
        <v>2188</v>
      </c>
      <c r="E8" s="116">
        <v>1952</v>
      </c>
      <c r="F8" s="116">
        <v>13777</v>
      </c>
      <c r="G8" s="41"/>
      <c r="K8" s="7"/>
      <c r="L8" s="7"/>
      <c r="M8" s="7"/>
      <c r="N8" s="7"/>
      <c r="O8" s="7"/>
      <c r="P8" s="7"/>
    </row>
    <row r="9" spans="1:16" ht="25.5" customHeight="1">
      <c r="A9" s="1794" t="str">
        <f>District!K11</f>
        <v>2011-12</v>
      </c>
      <c r="B9" s="1795"/>
      <c r="C9" s="116">
        <v>153</v>
      </c>
      <c r="D9" s="121">
        <v>2341</v>
      </c>
      <c r="E9" s="116">
        <v>1230</v>
      </c>
      <c r="F9" s="116">
        <v>15007</v>
      </c>
      <c r="G9" s="41"/>
      <c r="K9" s="7"/>
      <c r="L9" s="7"/>
      <c r="M9" s="7"/>
      <c r="N9" s="7"/>
      <c r="O9" s="7"/>
      <c r="P9" s="7"/>
    </row>
    <row r="10" spans="1:16" ht="25.5" customHeight="1">
      <c r="A10" s="1794" t="str">
        <f>District!K12</f>
        <v>2012-13</v>
      </c>
      <c r="B10" s="1795"/>
      <c r="C10" s="116">
        <v>184</v>
      </c>
      <c r="D10" s="121">
        <v>2525</v>
      </c>
      <c r="E10" s="116">
        <v>1973</v>
      </c>
      <c r="F10" s="116">
        <v>16980</v>
      </c>
      <c r="G10" s="41"/>
      <c r="K10" s="7"/>
      <c r="L10" s="7"/>
      <c r="M10" s="7"/>
      <c r="N10" s="7"/>
      <c r="O10" s="7"/>
      <c r="P10" s="7"/>
    </row>
    <row r="11" spans="1:16" ht="25.5" customHeight="1">
      <c r="A11" s="1804" t="str">
        <f>District!K13</f>
        <v>2013-14</v>
      </c>
      <c r="B11" s="1805"/>
      <c r="C11" s="117">
        <v>366</v>
      </c>
      <c r="D11" s="127">
        <f>SUM(D10,C11)</f>
        <v>2891</v>
      </c>
      <c r="E11" s="117">
        <v>1678</v>
      </c>
      <c r="F11" s="117">
        <f>SUM(F10,E11)</f>
        <v>18658</v>
      </c>
      <c r="G11" s="41"/>
      <c r="K11" s="7"/>
      <c r="L11" s="7"/>
      <c r="M11" s="7"/>
      <c r="N11" s="7"/>
      <c r="O11" s="7"/>
      <c r="P11" s="7"/>
    </row>
    <row r="12" spans="1:16">
      <c r="D12" s="874" t="s">
        <v>260</v>
      </c>
      <c r="E12" s="1802" t="s">
        <v>427</v>
      </c>
      <c r="F12" s="1802"/>
    </row>
    <row r="13" spans="1:16">
      <c r="D13" s="875"/>
      <c r="E13" s="1803"/>
      <c r="F13" s="1803"/>
    </row>
    <row r="14" spans="1:16" ht="24" customHeight="1">
      <c r="D14" s="874"/>
    </row>
    <row r="15" spans="1:16" ht="12.95" customHeight="1">
      <c r="A15" s="20"/>
      <c r="B15" s="20"/>
      <c r="C15" s="20"/>
      <c r="D15" s="20"/>
      <c r="E15" s="20"/>
      <c r="F15" s="876"/>
    </row>
    <row r="16" spans="1:16">
      <c r="A16" s="1363" t="s">
        <v>1443</v>
      </c>
      <c r="B16" s="1363"/>
      <c r="C16" s="1363"/>
      <c r="D16" s="1363"/>
      <c r="E16" s="1363"/>
      <c r="F16" s="1363"/>
    </row>
    <row r="17" spans="1:6" ht="15.95" customHeight="1">
      <c r="A17" s="1534" t="str">
        <f>CONCATENATE(" Mouzas electrified in the district of ",District!A1)</f>
        <v xml:space="preserve"> Mouzas electrified in the district of Malda</v>
      </c>
      <c r="B17" s="1534"/>
      <c r="C17" s="1534"/>
      <c r="D17" s="1534"/>
      <c r="E17" s="1534"/>
      <c r="F17" s="1534"/>
    </row>
    <row r="18" spans="1:6" ht="12.75" customHeight="1">
      <c r="B18" s="4"/>
      <c r="C18" s="4"/>
      <c r="D18" s="4"/>
      <c r="E18" s="4"/>
      <c r="F18" s="159" t="s">
        <v>1253</v>
      </c>
    </row>
    <row r="19" spans="1:6" ht="15" customHeight="1">
      <c r="A19" s="1346" t="s">
        <v>1198</v>
      </c>
      <c r="B19" s="1639" t="s">
        <v>1013</v>
      </c>
      <c r="C19" s="1639"/>
      <c r="D19" s="1639"/>
      <c r="E19" s="1639"/>
      <c r="F19" s="1360"/>
    </row>
    <row r="20" spans="1:6" ht="15" customHeight="1">
      <c r="A20" s="1347"/>
      <c r="B20" s="489">
        <f>District!A9</f>
        <v>2010</v>
      </c>
      <c r="C20" s="489">
        <f>District!B9</f>
        <v>2011</v>
      </c>
      <c r="D20" s="489">
        <f>District!C9</f>
        <v>2012</v>
      </c>
      <c r="E20" s="489">
        <f>District!D9</f>
        <v>2013</v>
      </c>
      <c r="F20" s="489">
        <f>District!E9</f>
        <v>2014</v>
      </c>
    </row>
    <row r="21" spans="1:6" ht="15" customHeight="1">
      <c r="A21" s="241" t="s">
        <v>1208</v>
      </c>
      <c r="B21" s="241" t="s">
        <v>1209</v>
      </c>
      <c r="C21" s="241" t="s">
        <v>1210</v>
      </c>
      <c r="D21" s="242" t="s">
        <v>1211</v>
      </c>
      <c r="E21" s="388" t="s">
        <v>1212</v>
      </c>
      <c r="F21" s="388" t="s">
        <v>1213</v>
      </c>
    </row>
    <row r="22" spans="1:6" ht="17.25" customHeight="1">
      <c r="A22" s="409" t="s">
        <v>1155</v>
      </c>
      <c r="B22" s="409">
        <f>SUM(B23:B28)</f>
        <v>524</v>
      </c>
      <c r="C22" s="409">
        <f>SUM(C23:C28)</f>
        <v>524</v>
      </c>
      <c r="D22" s="403">
        <f>SUM(D23:D28)</f>
        <v>524</v>
      </c>
      <c r="E22" s="403">
        <f>SUM(E23:E28)</f>
        <v>524</v>
      </c>
      <c r="F22" s="403">
        <f>SUM(F23:F28)</f>
        <v>524</v>
      </c>
    </row>
    <row r="23" spans="1:6" ht="17.25" customHeight="1">
      <c r="A23" s="412" t="s">
        <v>1051</v>
      </c>
      <c r="B23" s="112">
        <v>105</v>
      </c>
      <c r="C23" s="112">
        <v>105</v>
      </c>
      <c r="D23" s="114">
        <v>105</v>
      </c>
      <c r="E23" s="114">
        <v>105</v>
      </c>
      <c r="F23" s="114">
        <v>105</v>
      </c>
    </row>
    <row r="24" spans="1:6" ht="17.25" customHeight="1">
      <c r="A24" s="181" t="s">
        <v>495</v>
      </c>
      <c r="B24" s="116">
        <v>74</v>
      </c>
      <c r="C24" s="116">
        <v>74</v>
      </c>
      <c r="D24" s="98">
        <v>74</v>
      </c>
      <c r="E24" s="98">
        <v>74</v>
      </c>
      <c r="F24" s="98">
        <v>74</v>
      </c>
    </row>
    <row r="25" spans="1:6" ht="17.25" customHeight="1">
      <c r="A25" s="181" t="s">
        <v>531</v>
      </c>
      <c r="B25" s="116">
        <v>101</v>
      </c>
      <c r="C25" s="116">
        <v>101</v>
      </c>
      <c r="D25" s="98">
        <v>101</v>
      </c>
      <c r="E25" s="98">
        <v>101</v>
      </c>
      <c r="F25" s="98">
        <v>101</v>
      </c>
    </row>
    <row r="26" spans="1:6" ht="17.25" customHeight="1">
      <c r="A26" s="180" t="s">
        <v>532</v>
      </c>
      <c r="B26" s="116">
        <v>92</v>
      </c>
      <c r="C26" s="116">
        <v>92</v>
      </c>
      <c r="D26" s="98">
        <v>92</v>
      </c>
      <c r="E26" s="98">
        <v>92</v>
      </c>
      <c r="F26" s="98">
        <v>92</v>
      </c>
    </row>
    <row r="27" spans="1:6" ht="17.25" customHeight="1">
      <c r="A27" s="180" t="s">
        <v>533</v>
      </c>
      <c r="B27" s="116">
        <v>101</v>
      </c>
      <c r="C27" s="116">
        <v>101</v>
      </c>
      <c r="D27" s="98">
        <v>101</v>
      </c>
      <c r="E27" s="98">
        <v>101</v>
      </c>
      <c r="F27" s="98">
        <v>101</v>
      </c>
    </row>
    <row r="28" spans="1:6" ht="17.25" customHeight="1">
      <c r="A28" s="181" t="s">
        <v>573</v>
      </c>
      <c r="B28" s="116">
        <v>51</v>
      </c>
      <c r="C28" s="116">
        <v>51</v>
      </c>
      <c r="D28" s="98">
        <v>51</v>
      </c>
      <c r="E28" s="98">
        <v>51</v>
      </c>
      <c r="F28" s="98">
        <v>51</v>
      </c>
    </row>
    <row r="29" spans="1:6" ht="17.25" customHeight="1">
      <c r="A29" s="397" t="s">
        <v>1154</v>
      </c>
      <c r="B29" s="397">
        <f>SUM(B30:B38)</f>
        <v>1272</v>
      </c>
      <c r="C29" s="397">
        <f>SUM(C30:C38)</f>
        <v>1272</v>
      </c>
      <c r="D29" s="385">
        <f>SUM(D30:D38)</f>
        <v>1272</v>
      </c>
      <c r="E29" s="385">
        <f>SUM(E30:E38)</f>
        <v>1272</v>
      </c>
      <c r="F29" s="385">
        <f>SUM(F30:F38)</f>
        <v>1272</v>
      </c>
    </row>
    <row r="30" spans="1:6" ht="17.25" customHeight="1">
      <c r="A30" s="181" t="s">
        <v>576</v>
      </c>
      <c r="B30" s="112">
        <v>293</v>
      </c>
      <c r="C30" s="112">
        <v>293</v>
      </c>
      <c r="D30" s="114">
        <v>293</v>
      </c>
      <c r="E30" s="114">
        <v>293</v>
      </c>
      <c r="F30" s="114">
        <v>293</v>
      </c>
    </row>
    <row r="31" spans="1:6" ht="17.25" customHeight="1">
      <c r="A31" s="181" t="s">
        <v>1510</v>
      </c>
      <c r="B31" s="116">
        <v>145</v>
      </c>
      <c r="C31" s="116">
        <v>145</v>
      </c>
      <c r="D31" s="98">
        <v>145</v>
      </c>
      <c r="E31" s="98">
        <v>145</v>
      </c>
      <c r="F31" s="98">
        <v>145</v>
      </c>
    </row>
    <row r="32" spans="1:6" ht="17.25" customHeight="1">
      <c r="A32" s="181" t="s">
        <v>577</v>
      </c>
      <c r="B32" s="116">
        <v>288</v>
      </c>
      <c r="C32" s="116">
        <v>288</v>
      </c>
      <c r="D32" s="98">
        <v>288</v>
      </c>
      <c r="E32" s="98">
        <v>288</v>
      </c>
      <c r="F32" s="98">
        <v>288</v>
      </c>
    </row>
    <row r="33" spans="1:7" ht="17.25" customHeight="1">
      <c r="A33" s="181" t="s">
        <v>578</v>
      </c>
      <c r="B33" s="116">
        <v>118</v>
      </c>
      <c r="C33" s="116">
        <v>118</v>
      </c>
      <c r="D33" s="98">
        <v>118</v>
      </c>
      <c r="E33" s="98">
        <v>118</v>
      </c>
      <c r="F33" s="98">
        <v>118</v>
      </c>
    </row>
    <row r="34" spans="1:7" ht="17.25" customHeight="1">
      <c r="A34" s="181" t="s">
        <v>490</v>
      </c>
      <c r="B34" s="116">
        <v>135</v>
      </c>
      <c r="C34" s="116">
        <v>135</v>
      </c>
      <c r="D34" s="98">
        <v>135</v>
      </c>
      <c r="E34" s="98">
        <v>135</v>
      </c>
      <c r="F34" s="98">
        <v>135</v>
      </c>
    </row>
    <row r="35" spans="1:7" ht="17.25" customHeight="1">
      <c r="A35" s="181" t="s">
        <v>580</v>
      </c>
      <c r="B35" s="116">
        <v>88</v>
      </c>
      <c r="C35" s="116">
        <v>88</v>
      </c>
      <c r="D35" s="98">
        <v>88</v>
      </c>
      <c r="E35" s="98">
        <v>88</v>
      </c>
      <c r="F35" s="98">
        <v>88</v>
      </c>
    </row>
    <row r="36" spans="1:7" ht="17.25" customHeight="1">
      <c r="A36" s="181" t="s">
        <v>585</v>
      </c>
      <c r="B36" s="116">
        <v>66</v>
      </c>
      <c r="C36" s="116">
        <v>66</v>
      </c>
      <c r="D36" s="98">
        <v>66</v>
      </c>
      <c r="E36" s="98">
        <v>66</v>
      </c>
      <c r="F36" s="98">
        <v>66</v>
      </c>
    </row>
    <row r="37" spans="1:7" ht="17.25" customHeight="1">
      <c r="A37" s="180" t="s">
        <v>586</v>
      </c>
      <c r="B37" s="116">
        <v>65</v>
      </c>
      <c r="C37" s="116">
        <v>65</v>
      </c>
      <c r="D37" s="98">
        <v>65</v>
      </c>
      <c r="E37" s="98">
        <v>65</v>
      </c>
      <c r="F37" s="98">
        <v>65</v>
      </c>
    </row>
    <row r="38" spans="1:7" ht="17.25" customHeight="1">
      <c r="A38" s="181" t="s">
        <v>587</v>
      </c>
      <c r="B38" s="116">
        <v>74</v>
      </c>
      <c r="C38" s="116">
        <v>74</v>
      </c>
      <c r="D38" s="98">
        <v>74</v>
      </c>
      <c r="E38" s="98">
        <v>74</v>
      </c>
      <c r="F38" s="98">
        <v>74</v>
      </c>
    </row>
    <row r="39" spans="1:7" ht="15.75" customHeight="1">
      <c r="A39" s="399" t="s">
        <v>1233</v>
      </c>
      <c r="B39" s="399">
        <f>SUM(B22,B29)</f>
        <v>1796</v>
      </c>
      <c r="C39" s="399">
        <f>SUM(C22,C29)</f>
        <v>1796</v>
      </c>
      <c r="D39" s="390">
        <f>SUM(D22,D29)</f>
        <v>1796</v>
      </c>
      <c r="E39" s="390">
        <f>SUM(E22,E29)</f>
        <v>1796</v>
      </c>
      <c r="F39" s="390">
        <f>SUM(F22,F29)</f>
        <v>1796</v>
      </c>
    </row>
    <row r="40" spans="1:7">
      <c r="A40" s="50"/>
      <c r="C40" s="924" t="s">
        <v>117</v>
      </c>
      <c r="D40" s="257" t="s">
        <v>254</v>
      </c>
      <c r="E40" s="24"/>
    </row>
    <row r="41" spans="1:7">
      <c r="A41" s="50"/>
      <c r="C41" s="257"/>
      <c r="D41" s="257" t="s">
        <v>255</v>
      </c>
      <c r="E41" s="24"/>
      <c r="F41" s="24"/>
    </row>
    <row r="42" spans="1:7" ht="14.1" customHeight="1">
      <c r="A42" s="144"/>
      <c r="B42" s="144"/>
      <c r="C42" s="144"/>
      <c r="D42" s="144"/>
      <c r="E42" s="877"/>
      <c r="F42" s="7"/>
      <c r="G42" s="41"/>
    </row>
    <row r="43" spans="1:7">
      <c r="G43" s="41"/>
    </row>
    <row r="44" spans="1:7" ht="15" customHeight="1">
      <c r="G44" s="41"/>
    </row>
    <row r="45" spans="1:7">
      <c r="G45" s="41"/>
    </row>
    <row r="46" spans="1:7" ht="14.25" customHeight="1">
      <c r="G46" s="41"/>
    </row>
    <row r="47" spans="1:7" ht="12.75" customHeight="1">
      <c r="G47" s="659"/>
    </row>
    <row r="48" spans="1:7" ht="16.5" customHeight="1">
      <c r="G48" s="7"/>
    </row>
    <row r="49" spans="1:6" ht="16.5" customHeight="1"/>
    <row r="50" spans="1:6" ht="16.5" customHeight="1"/>
    <row r="51" spans="1:6" ht="16.5" customHeight="1"/>
    <row r="52" spans="1:6" ht="16.5" customHeight="1"/>
    <row r="55" spans="1:6">
      <c r="A55" s="138"/>
      <c r="B55" s="138"/>
      <c r="C55" s="138"/>
      <c r="D55" s="138"/>
      <c r="E55" s="138"/>
      <c r="F55" s="138"/>
    </row>
    <row r="57" spans="1:6">
      <c r="A57" s="138"/>
      <c r="B57" s="138"/>
      <c r="C57" s="138"/>
      <c r="D57" s="138"/>
      <c r="E57" s="138"/>
      <c r="F57" s="138"/>
    </row>
    <row r="58" spans="1:6">
      <c r="A58" s="138"/>
      <c r="B58" s="138"/>
      <c r="C58" s="138"/>
      <c r="D58" s="138"/>
      <c r="E58" s="138"/>
      <c r="F58" s="138"/>
    </row>
    <row r="59" spans="1:6">
      <c r="A59" s="138"/>
      <c r="B59" s="138"/>
      <c r="C59" s="138"/>
      <c r="D59" s="138"/>
      <c r="E59" s="138"/>
      <c r="F59" s="138"/>
    </row>
    <row r="60" spans="1:6">
      <c r="A60" s="138"/>
      <c r="B60" s="138"/>
      <c r="C60" s="138"/>
      <c r="D60" s="138"/>
      <c r="E60" s="138"/>
      <c r="F60" s="138"/>
    </row>
    <row r="61" spans="1:6">
      <c r="A61" s="138"/>
      <c r="B61" s="138"/>
      <c r="C61" s="138"/>
      <c r="D61" s="138"/>
      <c r="E61" s="138"/>
      <c r="F61" s="138"/>
    </row>
  </sheetData>
  <mergeCells count="16">
    <mergeCell ref="A19:A20"/>
    <mergeCell ref="B19:F19"/>
    <mergeCell ref="E12:F13"/>
    <mergeCell ref="A11:B11"/>
    <mergeCell ref="A9:B9"/>
    <mergeCell ref="A10:B10"/>
    <mergeCell ref="A16:F16"/>
    <mergeCell ref="A17:F17"/>
    <mergeCell ref="A7:B7"/>
    <mergeCell ref="A8:B8"/>
    <mergeCell ref="A1:F1"/>
    <mergeCell ref="A2:F2"/>
    <mergeCell ref="A4:B5"/>
    <mergeCell ref="A6:B6"/>
    <mergeCell ref="C4:D4"/>
    <mergeCell ref="E4:F4"/>
  </mergeCells>
  <phoneticPr fontId="0" type="noConversion"/>
  <printOptions horizontalCentered="1"/>
  <pageMargins left="0.28999999999999998" right="0.1" top="0.63" bottom="0.1" header="0.57999999999999996" footer="0.1"/>
  <pageSetup paperSize="9" orientation="portrait" blackAndWhite="1" horizontalDpi="4294967295" r:id="rId1"/>
  <headerFooter alignWithMargins="0"/>
</worksheet>
</file>

<file path=xl/worksheets/sheet54.xml><?xml version="1.0" encoding="utf-8"?>
<worksheet xmlns="http://schemas.openxmlformats.org/spreadsheetml/2006/main" xmlns:r="http://schemas.openxmlformats.org/officeDocument/2006/relationships">
  <sheetPr codeName="Sheet66"/>
  <dimension ref="A1:F43"/>
  <sheetViews>
    <sheetView topLeftCell="A13" workbookViewId="0">
      <selection activeCell="I37" sqref="I37"/>
    </sheetView>
  </sheetViews>
  <sheetFormatPr defaultRowHeight="12.75"/>
  <cols>
    <col min="1" max="1" width="21.28515625" customWidth="1"/>
    <col min="2" max="2" width="13.28515625" customWidth="1"/>
    <col min="3" max="3" width="13.7109375" customWidth="1"/>
    <col min="4" max="4" width="10.28515625" customWidth="1"/>
    <col min="5" max="5" width="10.85546875" customWidth="1"/>
    <col min="6" max="6" width="11.140625" customWidth="1"/>
  </cols>
  <sheetData>
    <row r="1" spans="1:6" ht="15.75" customHeight="1">
      <c r="A1" s="1806" t="s">
        <v>1442</v>
      </c>
      <c r="B1" s="1806"/>
      <c r="C1" s="1806"/>
      <c r="D1" s="1806"/>
      <c r="E1" s="1806"/>
      <c r="F1" s="1806"/>
    </row>
    <row r="2" spans="1:6" ht="50.25" customHeight="1">
      <c r="A2" s="1373" t="str">
        <f>CONCATENATE("Number of small scale industrial units registered with the Directorate of Cottage and Small Scale Industries with corresponding employment 
in the district of ",District!A1)</f>
        <v>Number of small scale industrial units registered with the Directorate of Cottage and Small Scale Industries with corresponding employment 
in the district of Malda</v>
      </c>
      <c r="B2" s="1373"/>
      <c r="C2" s="1373"/>
      <c r="D2" s="1373"/>
      <c r="E2" s="1373"/>
      <c r="F2" s="1373"/>
    </row>
    <row r="3" spans="1:6" ht="13.5" customHeight="1">
      <c r="B3" s="23"/>
      <c r="D3" s="33"/>
      <c r="F3" s="265" t="s">
        <v>1253</v>
      </c>
    </row>
    <row r="4" spans="1:6" ht="27" customHeight="1">
      <c r="A4" s="150" t="s">
        <v>986</v>
      </c>
      <c r="B4" s="1391" t="s">
        <v>1090</v>
      </c>
      <c r="C4" s="1392"/>
      <c r="D4" s="1389" t="s">
        <v>408</v>
      </c>
      <c r="E4" s="1630"/>
      <c r="F4" s="1390"/>
    </row>
    <row r="5" spans="1:6" ht="19.5" customHeight="1">
      <c r="A5" s="151" t="s">
        <v>1208</v>
      </c>
      <c r="B5" s="1353" t="s">
        <v>1209</v>
      </c>
      <c r="C5" s="1354"/>
      <c r="D5" s="1353" t="s">
        <v>1210</v>
      </c>
      <c r="E5" s="1425"/>
      <c r="F5" s="1354"/>
    </row>
    <row r="6" spans="1:6" ht="22.5" customHeight="1">
      <c r="A6" s="251">
        <v>2005</v>
      </c>
      <c r="B6" s="134">
        <v>8337</v>
      </c>
      <c r="C6" s="878"/>
      <c r="D6" s="134">
        <v>46151</v>
      </c>
      <c r="E6" s="879"/>
      <c r="F6" s="878"/>
    </row>
    <row r="7" spans="1:6" ht="22.5" customHeight="1">
      <c r="A7" s="180">
        <v>2006</v>
      </c>
      <c r="B7" s="121">
        <v>8756</v>
      </c>
      <c r="C7" s="828"/>
      <c r="D7" s="121">
        <v>48433</v>
      </c>
      <c r="E7" s="2"/>
      <c r="F7" s="828"/>
    </row>
    <row r="8" spans="1:6" ht="22.5" customHeight="1">
      <c r="A8" s="180" t="s">
        <v>539</v>
      </c>
      <c r="B8" s="121">
        <v>9181</v>
      </c>
      <c r="C8" s="828"/>
      <c r="D8" s="121">
        <v>50779</v>
      </c>
      <c r="E8" s="2"/>
      <c r="F8" s="828"/>
    </row>
    <row r="9" spans="1:6" ht="22.5" customHeight="1">
      <c r="A9" s="180" t="s">
        <v>540</v>
      </c>
      <c r="B9" s="121">
        <v>733</v>
      </c>
      <c r="C9" s="828"/>
      <c r="D9" s="121">
        <v>3782</v>
      </c>
      <c r="E9" s="2"/>
      <c r="F9" s="828"/>
    </row>
    <row r="10" spans="1:6" ht="22.5" customHeight="1">
      <c r="A10" s="180">
        <v>2008</v>
      </c>
      <c r="B10" s="121">
        <f>SUM(B9,'9.1_NR'!G9:G10)</f>
        <v>1572</v>
      </c>
      <c r="C10" s="828"/>
      <c r="D10" s="121">
        <f>SUM(D9,'9.1_NR'!G11:G12)</f>
        <v>9052</v>
      </c>
      <c r="E10" s="2"/>
      <c r="F10" s="828"/>
    </row>
    <row r="11" spans="1:6" ht="22.5" customHeight="1">
      <c r="A11" s="252">
        <v>2009</v>
      </c>
      <c r="B11" s="127">
        <v>1885</v>
      </c>
      <c r="C11" s="880"/>
      <c r="D11" s="127">
        <v>10951</v>
      </c>
      <c r="E11" s="881"/>
      <c r="F11" s="880"/>
    </row>
    <row r="12" spans="1:6">
      <c r="A12" s="1807" t="s">
        <v>323</v>
      </c>
      <c r="B12" s="1808"/>
      <c r="C12" s="672" t="s">
        <v>947</v>
      </c>
      <c r="D12" s="1809" t="s">
        <v>1011</v>
      </c>
      <c r="E12" s="1810"/>
      <c r="F12" s="1810"/>
    </row>
    <row r="13" spans="1:6">
      <c r="A13" s="1808"/>
      <c r="B13" s="1808"/>
      <c r="C13" s="6"/>
      <c r="D13" s="1808"/>
      <c r="E13" s="1808"/>
      <c r="F13" s="1808"/>
    </row>
    <row r="14" spans="1:6">
      <c r="A14" s="1808"/>
      <c r="B14" s="1808"/>
      <c r="C14" s="273" t="s">
        <v>948</v>
      </c>
      <c r="D14" s="1811" t="s">
        <v>1012</v>
      </c>
      <c r="E14" s="1808"/>
      <c r="F14" s="1808"/>
    </row>
    <row r="15" spans="1:6">
      <c r="A15" s="1808"/>
      <c r="B15" s="1808"/>
      <c r="D15" s="1808"/>
      <c r="E15" s="1808"/>
      <c r="F15" s="1808"/>
    </row>
    <row r="16" spans="1:6">
      <c r="C16" s="83"/>
    </row>
    <row r="18" spans="1:6">
      <c r="A18" s="1363" t="s">
        <v>1443</v>
      </c>
      <c r="B18" s="1363"/>
      <c r="C18" s="1363"/>
      <c r="D18" s="1363"/>
      <c r="E18" s="1363"/>
      <c r="F18" s="1363"/>
    </row>
    <row r="19" spans="1:6" ht="15.95" customHeight="1">
      <c r="A19" s="1534" t="str">
        <f>CONCATENATE("Number of Mouzas electrified in the district of ",District!A1)</f>
        <v>Number of Mouzas electrified in the district of Malda</v>
      </c>
      <c r="B19" s="1534"/>
      <c r="C19" s="1534"/>
      <c r="D19" s="1534"/>
      <c r="E19" s="1534"/>
      <c r="F19" s="1534"/>
    </row>
    <row r="20" spans="1:6" ht="12.75" customHeight="1">
      <c r="B20" s="4"/>
      <c r="C20" s="4"/>
      <c r="D20" s="4"/>
      <c r="E20" s="4"/>
      <c r="F20" s="159" t="s">
        <v>1253</v>
      </c>
    </row>
    <row r="21" spans="1:6" ht="15" customHeight="1">
      <c r="A21" s="1346" t="s">
        <v>1198</v>
      </c>
      <c r="B21" s="1639" t="s">
        <v>1013</v>
      </c>
      <c r="C21" s="1639"/>
      <c r="D21" s="1639"/>
      <c r="E21" s="1639"/>
      <c r="F21" s="1360"/>
    </row>
    <row r="22" spans="1:6" ht="15" customHeight="1">
      <c r="A22" s="1347"/>
      <c r="B22" s="240">
        <v>2005</v>
      </c>
      <c r="C22" s="253">
        <v>2006</v>
      </c>
      <c r="D22" s="253">
        <v>2007</v>
      </c>
      <c r="E22" s="489">
        <v>2008</v>
      </c>
      <c r="F22" s="489">
        <v>2009</v>
      </c>
    </row>
    <row r="23" spans="1:6" ht="15" customHeight="1">
      <c r="A23" s="241" t="s">
        <v>1208</v>
      </c>
      <c r="B23" s="241" t="s">
        <v>1209</v>
      </c>
      <c r="C23" s="241" t="s">
        <v>1210</v>
      </c>
      <c r="D23" s="242" t="s">
        <v>1211</v>
      </c>
      <c r="E23" s="388" t="s">
        <v>1212</v>
      </c>
      <c r="F23" s="388" t="s">
        <v>1213</v>
      </c>
    </row>
    <row r="24" spans="1:6" ht="17.25" customHeight="1">
      <c r="A24" s="409" t="s">
        <v>1155</v>
      </c>
      <c r="B24" s="409">
        <f>SUM(B25:B30)</f>
        <v>523</v>
      </c>
      <c r="C24" s="409">
        <f>SUM(C25:C30)</f>
        <v>524</v>
      </c>
      <c r="D24" s="409">
        <f>SUM(D25:D30)</f>
        <v>524</v>
      </c>
      <c r="E24" s="403">
        <f>SUM(E25:E30)</f>
        <v>524</v>
      </c>
      <c r="F24" s="403">
        <f>SUM(F25:F30)</f>
        <v>522</v>
      </c>
    </row>
    <row r="25" spans="1:6" ht="17.25" customHeight="1">
      <c r="A25" s="412" t="s">
        <v>1051</v>
      </c>
      <c r="B25" s="112">
        <v>105</v>
      </c>
      <c r="C25" s="112">
        <v>105</v>
      </c>
      <c r="D25" s="112">
        <v>105</v>
      </c>
      <c r="E25" s="114">
        <v>105</v>
      </c>
      <c r="F25" s="114">
        <v>105</v>
      </c>
    </row>
    <row r="26" spans="1:6" ht="17.25" customHeight="1">
      <c r="A26" s="181" t="s">
        <v>495</v>
      </c>
      <c r="B26" s="116">
        <v>74</v>
      </c>
      <c r="C26" s="116">
        <v>74</v>
      </c>
      <c r="D26" s="116">
        <v>74</v>
      </c>
      <c r="E26" s="98">
        <v>74</v>
      </c>
      <c r="F26" s="98">
        <v>72</v>
      </c>
    </row>
    <row r="27" spans="1:6" ht="17.25" customHeight="1">
      <c r="A27" s="181" t="s">
        <v>531</v>
      </c>
      <c r="B27" s="116">
        <v>101</v>
      </c>
      <c r="C27" s="116">
        <v>101</v>
      </c>
      <c r="D27" s="116">
        <v>101</v>
      </c>
      <c r="E27" s="98">
        <v>101</v>
      </c>
      <c r="F27" s="98">
        <v>101</v>
      </c>
    </row>
    <row r="28" spans="1:6" ht="17.25" customHeight="1">
      <c r="A28" s="180" t="s">
        <v>532</v>
      </c>
      <c r="B28" s="116">
        <v>91</v>
      </c>
      <c r="C28" s="116">
        <v>92</v>
      </c>
      <c r="D28" s="116">
        <v>92</v>
      </c>
      <c r="E28" s="98">
        <v>92</v>
      </c>
      <c r="F28" s="98">
        <v>92</v>
      </c>
    </row>
    <row r="29" spans="1:6" ht="17.25" customHeight="1">
      <c r="A29" s="180" t="s">
        <v>533</v>
      </c>
      <c r="B29" s="116">
        <v>101</v>
      </c>
      <c r="C29" s="116">
        <v>101</v>
      </c>
      <c r="D29" s="116">
        <v>101</v>
      </c>
      <c r="E29" s="98">
        <v>101</v>
      </c>
      <c r="F29" s="98">
        <v>101</v>
      </c>
    </row>
    <row r="30" spans="1:6" ht="17.25" customHeight="1">
      <c r="A30" s="181" t="s">
        <v>573</v>
      </c>
      <c r="B30" s="116">
        <v>51</v>
      </c>
      <c r="C30" s="116">
        <v>51</v>
      </c>
      <c r="D30" s="116">
        <v>51</v>
      </c>
      <c r="E30" s="98">
        <v>51</v>
      </c>
      <c r="F30" s="98">
        <v>51</v>
      </c>
    </row>
    <row r="31" spans="1:6" ht="17.25" customHeight="1">
      <c r="A31" s="397" t="s">
        <v>1154</v>
      </c>
      <c r="B31" s="397">
        <f>SUM(B32:B40)</f>
        <v>1252</v>
      </c>
      <c r="C31" s="397">
        <f>SUM(C32:C40)</f>
        <v>1253</v>
      </c>
      <c r="D31" s="397">
        <f>SUM(D32:D40)</f>
        <v>1255</v>
      </c>
      <c r="E31" s="385">
        <f>SUM(E32:E40)</f>
        <v>1272</v>
      </c>
      <c r="F31" s="385">
        <f>SUM(F32:F40)</f>
        <v>1272</v>
      </c>
    </row>
    <row r="32" spans="1:6" ht="17.25" customHeight="1">
      <c r="A32" s="181" t="s">
        <v>576</v>
      </c>
      <c r="B32" s="112">
        <v>293</v>
      </c>
      <c r="C32" s="112">
        <v>293</v>
      </c>
      <c r="D32" s="112">
        <v>293</v>
      </c>
      <c r="E32" s="114">
        <v>293</v>
      </c>
      <c r="F32" s="114">
        <v>293</v>
      </c>
    </row>
    <row r="33" spans="1:6" ht="17.25" customHeight="1">
      <c r="A33" s="181" t="s">
        <v>1510</v>
      </c>
      <c r="B33" s="116">
        <v>145</v>
      </c>
      <c r="C33" s="116">
        <v>145</v>
      </c>
      <c r="D33" s="116">
        <v>145</v>
      </c>
      <c r="E33" s="98">
        <v>145</v>
      </c>
      <c r="F33" s="98">
        <v>145</v>
      </c>
    </row>
    <row r="34" spans="1:6" ht="17.25" customHeight="1">
      <c r="A34" s="181" t="s">
        <v>577</v>
      </c>
      <c r="B34" s="116">
        <v>276</v>
      </c>
      <c r="C34" s="116">
        <v>276</v>
      </c>
      <c r="D34" s="116">
        <v>277</v>
      </c>
      <c r="E34" s="98">
        <v>288</v>
      </c>
      <c r="F34" s="98">
        <v>288</v>
      </c>
    </row>
    <row r="35" spans="1:6" ht="17.25" customHeight="1">
      <c r="A35" s="181" t="s">
        <v>578</v>
      </c>
      <c r="B35" s="116">
        <v>117</v>
      </c>
      <c r="C35" s="116">
        <v>117</v>
      </c>
      <c r="D35" s="116">
        <v>118</v>
      </c>
      <c r="E35" s="98">
        <v>118</v>
      </c>
      <c r="F35" s="98">
        <v>118</v>
      </c>
    </row>
    <row r="36" spans="1:6" ht="17.25" customHeight="1">
      <c r="A36" s="181" t="s">
        <v>490</v>
      </c>
      <c r="B36" s="116">
        <v>134</v>
      </c>
      <c r="C36" s="116">
        <v>134</v>
      </c>
      <c r="D36" s="116">
        <v>134</v>
      </c>
      <c r="E36" s="98">
        <v>135</v>
      </c>
      <c r="F36" s="98">
        <v>135</v>
      </c>
    </row>
    <row r="37" spans="1:6" ht="17.25" customHeight="1">
      <c r="A37" s="181" t="s">
        <v>985</v>
      </c>
      <c r="B37" s="116">
        <v>87</v>
      </c>
      <c r="C37" s="116">
        <v>87</v>
      </c>
      <c r="D37" s="116">
        <v>87</v>
      </c>
      <c r="E37" s="98">
        <v>88</v>
      </c>
      <c r="F37" s="98">
        <v>88</v>
      </c>
    </row>
    <row r="38" spans="1:6" ht="17.25" customHeight="1">
      <c r="A38" s="181" t="s">
        <v>585</v>
      </c>
      <c r="B38" s="116">
        <v>66</v>
      </c>
      <c r="C38" s="116">
        <v>66</v>
      </c>
      <c r="D38" s="116">
        <v>66</v>
      </c>
      <c r="E38" s="98">
        <v>66</v>
      </c>
      <c r="F38" s="98">
        <v>66</v>
      </c>
    </row>
    <row r="39" spans="1:6" ht="17.25" customHeight="1">
      <c r="A39" s="180" t="s">
        <v>586</v>
      </c>
      <c r="B39" s="116">
        <v>60</v>
      </c>
      <c r="C39" s="116">
        <v>60</v>
      </c>
      <c r="D39" s="116">
        <v>60</v>
      </c>
      <c r="E39" s="98">
        <v>65</v>
      </c>
      <c r="F39" s="98">
        <v>65</v>
      </c>
    </row>
    <row r="40" spans="1:6" ht="17.25" customHeight="1">
      <c r="A40" s="181" t="s">
        <v>587</v>
      </c>
      <c r="B40" s="116">
        <v>74</v>
      </c>
      <c r="C40" s="116">
        <v>75</v>
      </c>
      <c r="D40" s="116">
        <v>75</v>
      </c>
      <c r="E40" s="98">
        <v>74</v>
      </c>
      <c r="F40" s="98">
        <v>74</v>
      </c>
    </row>
    <row r="41" spans="1:6" ht="15.75" customHeight="1">
      <c r="A41" s="399" t="s">
        <v>1233</v>
      </c>
      <c r="B41" s="399">
        <f>SUM(B24,B31)</f>
        <v>1775</v>
      </c>
      <c r="C41" s="399">
        <f>SUM(C24,C31)</f>
        <v>1777</v>
      </c>
      <c r="D41" s="399">
        <f>SUM(D24,D31)</f>
        <v>1779</v>
      </c>
      <c r="E41" s="390">
        <f>SUM(E24,E31)</f>
        <v>1796</v>
      </c>
      <c r="F41" s="390">
        <f>SUM(F24,F31)</f>
        <v>1794</v>
      </c>
    </row>
    <row r="42" spans="1:6">
      <c r="A42" s="50"/>
      <c r="B42" s="158" t="s">
        <v>117</v>
      </c>
      <c r="C42" s="166" t="s">
        <v>1424</v>
      </c>
      <c r="D42" s="24"/>
      <c r="E42" s="24"/>
    </row>
    <row r="43" spans="1:6">
      <c r="A43" s="50"/>
      <c r="B43" s="166"/>
      <c r="C43" s="166" t="s">
        <v>1425</v>
      </c>
      <c r="D43" s="24"/>
      <c r="E43" s="24"/>
      <c r="F43" s="24"/>
    </row>
  </sheetData>
  <mergeCells count="13">
    <mergeCell ref="A21:A22"/>
    <mergeCell ref="B21:F21"/>
    <mergeCell ref="A19:F19"/>
    <mergeCell ref="A18:F18"/>
    <mergeCell ref="A12:B15"/>
    <mergeCell ref="D12:F13"/>
    <mergeCell ref="D14:F15"/>
    <mergeCell ref="A1:F1"/>
    <mergeCell ref="A2:F2"/>
    <mergeCell ref="D4:F4"/>
    <mergeCell ref="D5:F5"/>
    <mergeCell ref="B4:C4"/>
    <mergeCell ref="B5:C5"/>
  </mergeCells>
  <phoneticPr fontId="0" type="noConversion"/>
  <printOptions horizontalCentered="1"/>
  <pageMargins left="0.1" right="0.1" top="0.7" bottom="0.1" header="0.7" footer="0.1"/>
  <pageSetup paperSize="9" orientation="portrait" blackAndWhite="1" horizontalDpi="4294967295" r:id="rId1"/>
  <headerFooter alignWithMargins="0"/>
</worksheet>
</file>

<file path=xl/worksheets/sheet55.xml><?xml version="1.0" encoding="utf-8"?>
<worksheet xmlns="http://schemas.openxmlformats.org/spreadsheetml/2006/main" xmlns:r="http://schemas.openxmlformats.org/officeDocument/2006/relationships">
  <dimension ref="A1:Q12"/>
  <sheetViews>
    <sheetView workbookViewId="0">
      <selection activeCell="M5" sqref="M5"/>
    </sheetView>
  </sheetViews>
  <sheetFormatPr defaultRowHeight="12.75"/>
  <cols>
    <col min="1" max="1" width="18.140625" customWidth="1"/>
    <col min="2" max="2" width="12" customWidth="1"/>
    <col min="3" max="5" width="13" customWidth="1"/>
    <col min="6" max="6" width="12.7109375" customWidth="1"/>
    <col min="7" max="7" width="17" customWidth="1"/>
    <col min="8" max="8" width="15.5703125" customWidth="1"/>
    <col min="9" max="9" width="13.7109375" customWidth="1"/>
    <col min="10" max="10" width="13.85546875" customWidth="1"/>
  </cols>
  <sheetData>
    <row r="1" spans="1:17" ht="12.75" customHeight="1">
      <c r="A1" s="1363" t="s">
        <v>1444</v>
      </c>
      <c r="B1" s="1363"/>
      <c r="C1" s="1363"/>
      <c r="D1" s="1363"/>
      <c r="E1" s="1363"/>
      <c r="F1" s="1363"/>
      <c r="G1" s="1363"/>
      <c r="H1" s="1363"/>
      <c r="I1" s="1363"/>
      <c r="J1" s="1363"/>
    </row>
    <row r="2" spans="1:17" ht="15.75" customHeight="1">
      <c r="A2" s="1467" t="str">
        <f>CONCATENATE("Consumption of Electricity by different sectors in the district of ",District!A1)</f>
        <v>Consumption of Electricity by different sectors in the district of Malda</v>
      </c>
      <c r="B2" s="1467"/>
      <c r="C2" s="1467"/>
      <c r="D2" s="1467"/>
      <c r="E2" s="1467"/>
      <c r="F2" s="1467"/>
      <c r="G2" s="1467"/>
      <c r="H2" s="1467"/>
      <c r="I2" s="1467"/>
      <c r="J2" s="1467"/>
    </row>
    <row r="3" spans="1:17" ht="13.5" customHeight="1">
      <c r="B3" s="37"/>
      <c r="C3" s="37"/>
      <c r="D3" s="37"/>
      <c r="E3" s="37"/>
      <c r="F3" s="39"/>
      <c r="G3" s="39"/>
      <c r="H3" s="149"/>
      <c r="J3" s="159" t="s">
        <v>256</v>
      </c>
    </row>
    <row r="4" spans="1:17" ht="43.5" customHeight="1">
      <c r="A4" s="821" t="s">
        <v>1089</v>
      </c>
      <c r="B4" s="821" t="s">
        <v>415</v>
      </c>
      <c r="C4" s="822" t="s">
        <v>812</v>
      </c>
      <c r="D4" s="822" t="s">
        <v>447</v>
      </c>
      <c r="E4" s="822" t="s">
        <v>297</v>
      </c>
      <c r="F4" s="822" t="s">
        <v>298</v>
      </c>
      <c r="G4" s="652" t="s">
        <v>571</v>
      </c>
      <c r="H4" s="820" t="s">
        <v>372</v>
      </c>
      <c r="I4" s="820" t="s">
        <v>325</v>
      </c>
      <c r="J4" s="821" t="s">
        <v>1233</v>
      </c>
    </row>
    <row r="5" spans="1:17" ht="20.25" customHeight="1">
      <c r="A5" s="151" t="s">
        <v>1208</v>
      </c>
      <c r="B5" s="151" t="s">
        <v>1209</v>
      </c>
      <c r="C5" s="151" t="s">
        <v>1210</v>
      </c>
      <c r="D5" s="151" t="s">
        <v>1211</v>
      </c>
      <c r="E5" s="151" t="s">
        <v>1212</v>
      </c>
      <c r="F5" s="151" t="s">
        <v>1213</v>
      </c>
      <c r="G5" s="218" t="s">
        <v>1214</v>
      </c>
      <c r="H5" s="156" t="s">
        <v>1244</v>
      </c>
      <c r="I5" s="151" t="s">
        <v>1245</v>
      </c>
      <c r="J5" s="156" t="s">
        <v>1246</v>
      </c>
    </row>
    <row r="6" spans="1:17" ht="46.5" customHeight="1">
      <c r="A6" s="180" t="s">
        <v>1577</v>
      </c>
      <c r="B6" s="736">
        <v>131334</v>
      </c>
      <c r="C6" s="1091">
        <v>28707</v>
      </c>
      <c r="D6" s="1091">
        <v>31311</v>
      </c>
      <c r="E6" s="1091">
        <v>3363</v>
      </c>
      <c r="F6" s="1091">
        <v>36470</v>
      </c>
      <c r="G6" s="1091">
        <v>3595</v>
      </c>
      <c r="H6" s="1092" t="s">
        <v>1509</v>
      </c>
      <c r="I6" s="1091">
        <v>3468</v>
      </c>
      <c r="J6" s="501">
        <f>SUM(B6:I6)</f>
        <v>238248</v>
      </c>
    </row>
    <row r="7" spans="1:17" ht="46.5" customHeight="1">
      <c r="A7" s="180" t="s">
        <v>1576</v>
      </c>
      <c r="B7" s="736">
        <v>152076</v>
      </c>
      <c r="C7" s="736">
        <v>33108</v>
      </c>
      <c r="D7" s="736">
        <v>30056</v>
      </c>
      <c r="E7" s="736">
        <v>2941</v>
      </c>
      <c r="F7" s="736">
        <v>33621</v>
      </c>
      <c r="G7" s="736">
        <v>4029</v>
      </c>
      <c r="H7" s="850" t="s">
        <v>1509</v>
      </c>
      <c r="I7" s="736">
        <v>3852</v>
      </c>
      <c r="J7" s="1062">
        <f>SUM(B7:I7)</f>
        <v>259683</v>
      </c>
      <c r="K7" s="51"/>
      <c r="L7" s="61"/>
      <c r="M7" s="51"/>
      <c r="N7" s="51"/>
      <c r="O7" s="51"/>
      <c r="P7" s="62"/>
      <c r="Q7" s="51"/>
    </row>
    <row r="8" spans="1:17" ht="46.5" customHeight="1">
      <c r="A8" s="180" t="s">
        <v>267</v>
      </c>
      <c r="B8" s="736">
        <v>63325</v>
      </c>
      <c r="C8" s="736">
        <v>15073</v>
      </c>
      <c r="D8" s="736">
        <v>17220</v>
      </c>
      <c r="E8" s="736">
        <v>2207</v>
      </c>
      <c r="F8" s="736">
        <v>24133</v>
      </c>
      <c r="G8" s="736">
        <v>2539</v>
      </c>
      <c r="H8" s="850" t="s">
        <v>1509</v>
      </c>
      <c r="I8" s="1237" t="s">
        <v>1183</v>
      </c>
      <c r="J8" s="1062" t="str">
        <f>SUM(B8:I8)&amp;" (I)"</f>
        <v>124497 (I)</v>
      </c>
    </row>
    <row r="9" spans="1:17" ht="46.5" customHeight="1">
      <c r="A9" s="168" t="s">
        <v>1094</v>
      </c>
      <c r="B9" s="736">
        <v>213068</v>
      </c>
      <c r="C9" s="736">
        <v>46978</v>
      </c>
      <c r="D9" s="736">
        <v>30610</v>
      </c>
      <c r="E9" s="736">
        <v>2276</v>
      </c>
      <c r="F9" s="736">
        <v>40558</v>
      </c>
      <c r="G9" s="736">
        <v>4223</v>
      </c>
      <c r="H9" s="736" t="s">
        <v>1509</v>
      </c>
      <c r="I9" s="453">
        <v>91</v>
      </c>
      <c r="J9" s="1062">
        <f>SUM(B9:I9)</f>
        <v>337804</v>
      </c>
    </row>
    <row r="10" spans="1:17" ht="46.5" customHeight="1">
      <c r="A10" s="252" t="s">
        <v>1595</v>
      </c>
      <c r="B10" s="715">
        <v>222000</v>
      </c>
      <c r="C10" s="716">
        <v>47754</v>
      </c>
      <c r="D10" s="716">
        <v>31283</v>
      </c>
      <c r="E10" s="674">
        <v>2862</v>
      </c>
      <c r="F10" s="716">
        <v>35204</v>
      </c>
      <c r="G10" s="716">
        <v>4518</v>
      </c>
      <c r="H10" s="716">
        <v>429</v>
      </c>
      <c r="I10" s="485">
        <v>1589</v>
      </c>
      <c r="J10" s="717">
        <f>SUM(B10:I10)</f>
        <v>345639</v>
      </c>
    </row>
    <row r="11" spans="1:17" ht="13.5" customHeight="1">
      <c r="A11" s="611"/>
      <c r="B11" s="1065"/>
      <c r="C11" s="1065"/>
      <c r="D11" s="1065"/>
      <c r="E11" s="1065"/>
      <c r="F11" s="1065"/>
      <c r="G11" s="1139" t="s">
        <v>257</v>
      </c>
      <c r="H11" s="875" t="s">
        <v>258</v>
      </c>
      <c r="I11" s="1140"/>
      <c r="J11" s="709"/>
    </row>
    <row r="12" spans="1:17">
      <c r="G12" s="1065"/>
      <c r="I12" s="1065"/>
      <c r="K12" s="257"/>
      <c r="L12" s="24"/>
    </row>
  </sheetData>
  <mergeCells count="2">
    <mergeCell ref="A1:J1"/>
    <mergeCell ref="A2:J2"/>
  </mergeCells>
  <phoneticPr fontId="0" type="noConversion"/>
  <printOptions horizontalCentered="1"/>
  <pageMargins left="0.1" right="0.1" top="1.24" bottom="0.14000000000000001" header="1.01" footer="0.14000000000000001"/>
  <pageSetup paperSize="9" orientation="landscape" blackAndWhite="1" r:id="rId1"/>
  <headerFooter alignWithMargins="0"/>
</worksheet>
</file>

<file path=xl/worksheets/sheet56.xml><?xml version="1.0" encoding="utf-8"?>
<worksheet xmlns="http://schemas.openxmlformats.org/spreadsheetml/2006/main" xmlns:r="http://schemas.openxmlformats.org/officeDocument/2006/relationships">
  <sheetPr codeName="Sheet67"/>
  <dimension ref="A1:L38"/>
  <sheetViews>
    <sheetView workbookViewId="0">
      <selection activeCell="M5" sqref="M5"/>
    </sheetView>
  </sheetViews>
  <sheetFormatPr defaultRowHeight="12.75"/>
  <cols>
    <col min="1" max="1" width="12.5703125" style="138" customWidth="1"/>
    <col min="2" max="5" width="11.7109375" style="138" customWidth="1"/>
    <col min="6" max="6" width="12.140625" style="138" customWidth="1"/>
    <col min="7" max="7" width="12" style="138" customWidth="1"/>
    <col min="8" max="11" width="11.7109375" style="138" customWidth="1"/>
    <col min="12" max="16384" width="9.140625" style="138"/>
  </cols>
  <sheetData>
    <row r="1" spans="1:11" ht="13.5" customHeight="1">
      <c r="A1" s="1444" t="s">
        <v>1450</v>
      </c>
      <c r="B1" s="1444"/>
      <c r="C1" s="1444"/>
      <c r="D1" s="1444"/>
      <c r="E1" s="1444"/>
      <c r="F1" s="1444"/>
      <c r="G1" s="1444"/>
      <c r="H1" s="1444"/>
      <c r="I1" s="1444"/>
      <c r="J1" s="1444"/>
      <c r="K1" s="1444"/>
    </row>
    <row r="2" spans="1:11" ht="16.5">
      <c r="A2" s="1544" t="s">
        <v>771</v>
      </c>
      <c r="B2" s="1544"/>
      <c r="C2" s="1544"/>
      <c r="D2" s="1544"/>
      <c r="E2" s="1544"/>
      <c r="F2" s="1544"/>
      <c r="G2" s="1544"/>
      <c r="H2" s="1544"/>
      <c r="I2" s="1544"/>
      <c r="J2" s="1544"/>
      <c r="K2" s="1544"/>
    </row>
    <row r="3" spans="1:11" ht="9" customHeight="1">
      <c r="C3" s="141"/>
      <c r="D3" s="141"/>
      <c r="E3" s="141"/>
    </row>
    <row r="4" spans="1:11" ht="49.5" customHeight="1">
      <c r="A4" s="343" t="s">
        <v>236</v>
      </c>
      <c r="B4" s="999" t="s">
        <v>1629</v>
      </c>
      <c r="C4" s="1000" t="s">
        <v>1140</v>
      </c>
      <c r="D4" s="999" t="s">
        <v>1141</v>
      </c>
      <c r="E4" s="1000" t="s">
        <v>1617</v>
      </c>
      <c r="F4" s="999" t="s">
        <v>1142</v>
      </c>
      <c r="G4" s="999" t="s">
        <v>1143</v>
      </c>
      <c r="H4" s="1001" t="s">
        <v>1628</v>
      </c>
      <c r="I4" s="999" t="s">
        <v>1144</v>
      </c>
      <c r="J4" s="1001" t="s">
        <v>1145</v>
      </c>
      <c r="K4" s="1002" t="s">
        <v>1146</v>
      </c>
    </row>
    <row r="5" spans="1:11" ht="13.5" customHeight="1">
      <c r="A5" s="151" t="s">
        <v>1208</v>
      </c>
      <c r="B5" s="152" t="s">
        <v>1209</v>
      </c>
      <c r="C5" s="151" t="s">
        <v>1210</v>
      </c>
      <c r="D5" s="152" t="s">
        <v>1211</v>
      </c>
      <c r="E5" s="151" t="s">
        <v>1212</v>
      </c>
      <c r="F5" s="152" t="s">
        <v>1213</v>
      </c>
      <c r="G5" s="151" t="s">
        <v>1214</v>
      </c>
      <c r="H5" s="219" t="s">
        <v>1244</v>
      </c>
      <c r="I5" s="151" t="s">
        <v>1245</v>
      </c>
      <c r="J5" s="219" t="s">
        <v>1246</v>
      </c>
      <c r="K5" s="151" t="s">
        <v>1247</v>
      </c>
    </row>
    <row r="6" spans="1:11" ht="15" customHeight="1">
      <c r="A6" s="251" t="s">
        <v>758</v>
      </c>
      <c r="B6" s="49">
        <v>31</v>
      </c>
      <c r="C6" s="115">
        <v>8947</v>
      </c>
      <c r="D6" s="49">
        <v>14966</v>
      </c>
      <c r="E6" s="115">
        <v>625</v>
      </c>
      <c r="F6" s="734">
        <v>254</v>
      </c>
      <c r="G6" s="115">
        <v>554</v>
      </c>
      <c r="H6" s="49">
        <v>38689</v>
      </c>
      <c r="I6" s="115">
        <v>42092</v>
      </c>
      <c r="J6" s="49">
        <v>2939</v>
      </c>
      <c r="K6" s="115">
        <v>1910</v>
      </c>
    </row>
    <row r="7" spans="1:11" ht="15" customHeight="1">
      <c r="A7" s="180" t="s">
        <v>759</v>
      </c>
      <c r="B7" s="41">
        <v>1</v>
      </c>
      <c r="C7" s="116">
        <v>85</v>
      </c>
      <c r="D7" s="41">
        <v>157</v>
      </c>
      <c r="E7" s="116">
        <v>22</v>
      </c>
      <c r="F7" s="507">
        <v>10</v>
      </c>
      <c r="G7" s="116">
        <v>20</v>
      </c>
      <c r="H7" s="41">
        <v>3220</v>
      </c>
      <c r="I7" s="116">
        <v>3934</v>
      </c>
      <c r="J7" s="41">
        <v>696</v>
      </c>
      <c r="K7" s="116">
        <v>695</v>
      </c>
    </row>
    <row r="8" spans="1:11" ht="15" customHeight="1">
      <c r="A8" s="180" t="s">
        <v>760</v>
      </c>
      <c r="B8" s="41">
        <v>11</v>
      </c>
      <c r="C8" s="116">
        <v>46</v>
      </c>
      <c r="D8" s="41">
        <v>2880</v>
      </c>
      <c r="E8" s="116">
        <v>6272</v>
      </c>
      <c r="F8" s="507">
        <v>1885</v>
      </c>
      <c r="G8" s="116">
        <v>522</v>
      </c>
      <c r="H8" s="41">
        <v>7390</v>
      </c>
      <c r="I8" s="116">
        <v>8175</v>
      </c>
      <c r="J8" s="41">
        <v>779</v>
      </c>
      <c r="K8" s="116">
        <v>716</v>
      </c>
    </row>
    <row r="9" spans="1:11" ht="15" customHeight="1">
      <c r="A9" s="180" t="s">
        <v>761</v>
      </c>
      <c r="B9" s="41">
        <v>3</v>
      </c>
      <c r="C9" s="116">
        <v>3417</v>
      </c>
      <c r="D9" s="41">
        <v>4681</v>
      </c>
      <c r="E9" s="116">
        <v>738</v>
      </c>
      <c r="F9" s="507">
        <v>262</v>
      </c>
      <c r="G9" s="116">
        <v>679</v>
      </c>
      <c r="H9" s="41">
        <v>7521</v>
      </c>
      <c r="I9" s="116">
        <v>9042</v>
      </c>
      <c r="J9" s="41">
        <v>1162</v>
      </c>
      <c r="K9" s="116">
        <v>1141</v>
      </c>
    </row>
    <row r="10" spans="1:11" ht="15" customHeight="1">
      <c r="A10" s="180" t="s">
        <v>762</v>
      </c>
      <c r="B10" s="41">
        <v>1</v>
      </c>
      <c r="C10" s="116">
        <v>74</v>
      </c>
      <c r="D10" s="41">
        <v>132</v>
      </c>
      <c r="E10" s="116">
        <v>108</v>
      </c>
      <c r="F10" s="507">
        <v>37</v>
      </c>
      <c r="G10" s="116">
        <v>148</v>
      </c>
      <c r="H10" s="41">
        <v>1153</v>
      </c>
      <c r="I10" s="116">
        <v>1308</v>
      </c>
      <c r="J10" s="41">
        <v>142</v>
      </c>
      <c r="K10" s="116">
        <v>130</v>
      </c>
    </row>
    <row r="11" spans="1:11" ht="15" customHeight="1">
      <c r="A11" s="180" t="s">
        <v>763</v>
      </c>
      <c r="B11" s="41">
        <v>3</v>
      </c>
      <c r="C11" s="116">
        <v>51</v>
      </c>
      <c r="D11" s="41">
        <v>135</v>
      </c>
      <c r="E11" s="116">
        <v>27</v>
      </c>
      <c r="F11" s="507">
        <v>9</v>
      </c>
      <c r="G11" s="116">
        <v>17</v>
      </c>
      <c r="H11" s="41">
        <v>232</v>
      </c>
      <c r="I11" s="116">
        <v>278</v>
      </c>
      <c r="J11" s="41">
        <v>41</v>
      </c>
      <c r="K11" s="116">
        <v>35</v>
      </c>
    </row>
    <row r="12" spans="1:11" ht="15" customHeight="1">
      <c r="A12" s="180" t="s">
        <v>764</v>
      </c>
      <c r="B12" s="41">
        <v>1</v>
      </c>
      <c r="C12" s="116">
        <v>0</v>
      </c>
      <c r="D12" s="41">
        <v>0</v>
      </c>
      <c r="E12" s="116">
        <v>0</v>
      </c>
      <c r="F12" s="507">
        <v>0</v>
      </c>
      <c r="G12" s="116">
        <v>0</v>
      </c>
      <c r="H12" s="41">
        <v>0</v>
      </c>
      <c r="I12" s="116">
        <v>0</v>
      </c>
      <c r="J12" s="41">
        <v>0</v>
      </c>
      <c r="K12" s="116">
        <v>0</v>
      </c>
    </row>
    <row r="13" spans="1:11" ht="15" customHeight="1">
      <c r="A13" s="180" t="s">
        <v>765</v>
      </c>
      <c r="B13" s="41">
        <v>1</v>
      </c>
      <c r="C13" s="116">
        <v>188</v>
      </c>
      <c r="D13" s="41">
        <v>618</v>
      </c>
      <c r="E13" s="116">
        <v>22</v>
      </c>
      <c r="F13" s="507">
        <v>10</v>
      </c>
      <c r="G13" s="116">
        <v>39</v>
      </c>
      <c r="H13" s="41">
        <v>195</v>
      </c>
      <c r="I13" s="116">
        <v>320</v>
      </c>
      <c r="J13" s="41">
        <v>75</v>
      </c>
      <c r="K13" s="116">
        <v>73</v>
      </c>
    </row>
    <row r="14" spans="1:11" ht="15" customHeight="1">
      <c r="A14" s="180" t="s">
        <v>766</v>
      </c>
      <c r="B14" s="41">
        <v>3</v>
      </c>
      <c r="C14" s="116">
        <v>431</v>
      </c>
      <c r="D14" s="41">
        <v>1410</v>
      </c>
      <c r="E14" s="116">
        <v>237</v>
      </c>
      <c r="F14" s="507">
        <v>79</v>
      </c>
      <c r="G14" s="116">
        <v>150</v>
      </c>
      <c r="H14" s="41">
        <v>1305</v>
      </c>
      <c r="I14" s="116">
        <v>1456</v>
      </c>
      <c r="J14" s="41">
        <v>84</v>
      </c>
      <c r="K14" s="116">
        <v>163</v>
      </c>
    </row>
    <row r="15" spans="1:11" ht="15" customHeight="1">
      <c r="A15" s="180" t="s">
        <v>767</v>
      </c>
      <c r="B15" s="41">
        <v>2</v>
      </c>
      <c r="C15" s="116">
        <v>2</v>
      </c>
      <c r="D15" s="41">
        <v>53</v>
      </c>
      <c r="E15" s="116">
        <v>20</v>
      </c>
      <c r="F15" s="507">
        <v>11</v>
      </c>
      <c r="G15" s="116">
        <v>10</v>
      </c>
      <c r="H15" s="41">
        <v>32</v>
      </c>
      <c r="I15" s="116">
        <v>47</v>
      </c>
      <c r="J15" s="41">
        <v>15</v>
      </c>
      <c r="K15" s="116">
        <v>13</v>
      </c>
    </row>
    <row r="16" spans="1:11" ht="15" customHeight="1">
      <c r="A16" s="180" t="s">
        <v>768</v>
      </c>
      <c r="B16" s="41">
        <v>1</v>
      </c>
      <c r="C16" s="116">
        <v>7</v>
      </c>
      <c r="D16" s="41">
        <v>48</v>
      </c>
      <c r="E16" s="116">
        <v>9</v>
      </c>
      <c r="F16" s="507">
        <v>3</v>
      </c>
      <c r="G16" s="116">
        <v>4</v>
      </c>
      <c r="H16" s="41">
        <v>158</v>
      </c>
      <c r="I16" s="116">
        <v>169</v>
      </c>
      <c r="J16" s="41">
        <v>10</v>
      </c>
      <c r="K16" s="116">
        <v>9</v>
      </c>
    </row>
    <row r="17" spans="1:12" ht="15" customHeight="1">
      <c r="A17" s="180" t="s">
        <v>769</v>
      </c>
      <c r="B17" s="41">
        <v>1</v>
      </c>
      <c r="C17" s="116">
        <v>127</v>
      </c>
      <c r="D17" s="41">
        <v>185</v>
      </c>
      <c r="E17" s="116">
        <v>72</v>
      </c>
      <c r="F17" s="507">
        <v>25</v>
      </c>
      <c r="G17" s="116">
        <v>68</v>
      </c>
      <c r="H17" s="41">
        <v>1631</v>
      </c>
      <c r="I17" s="116">
        <v>1768</v>
      </c>
      <c r="J17" s="41">
        <v>119</v>
      </c>
      <c r="K17" s="116">
        <v>98</v>
      </c>
    </row>
    <row r="18" spans="1:12" ht="15" customHeight="1">
      <c r="A18" s="180" t="s">
        <v>770</v>
      </c>
      <c r="B18" s="41">
        <v>4</v>
      </c>
      <c r="C18" s="116">
        <v>78241</v>
      </c>
      <c r="D18" s="41">
        <v>78333</v>
      </c>
      <c r="E18" s="116">
        <v>59</v>
      </c>
      <c r="F18" s="507">
        <v>20</v>
      </c>
      <c r="G18" s="116">
        <v>50</v>
      </c>
      <c r="H18" s="41">
        <v>739</v>
      </c>
      <c r="I18" s="116">
        <v>630</v>
      </c>
      <c r="J18" s="41">
        <v>-172</v>
      </c>
      <c r="K18" s="116">
        <v>-209</v>
      </c>
    </row>
    <row r="19" spans="1:12" ht="16.5" customHeight="1">
      <c r="A19" s="833" t="s">
        <v>1147</v>
      </c>
      <c r="B19" s="834">
        <f>SUM(B6:B18)</f>
        <v>63</v>
      </c>
      <c r="C19" s="544">
        <f t="shared" ref="C19:K19" si="0">SUM(C6:C18)</f>
        <v>91616</v>
      </c>
      <c r="D19" s="834">
        <f t="shared" si="0"/>
        <v>103598</v>
      </c>
      <c r="E19" s="544">
        <f t="shared" si="0"/>
        <v>8211</v>
      </c>
      <c r="F19" s="834">
        <f t="shared" si="0"/>
        <v>2605</v>
      </c>
      <c r="G19" s="544">
        <f t="shared" si="0"/>
        <v>2261</v>
      </c>
      <c r="H19" s="834">
        <f t="shared" si="0"/>
        <v>62265</v>
      </c>
      <c r="I19" s="544">
        <f t="shared" si="0"/>
        <v>69219</v>
      </c>
      <c r="J19" s="834">
        <f t="shared" si="0"/>
        <v>5890</v>
      </c>
      <c r="K19" s="544">
        <f t="shared" si="0"/>
        <v>4774</v>
      </c>
    </row>
    <row r="20" spans="1:12" ht="9" customHeight="1">
      <c r="A20" s="829"/>
      <c r="B20" s="41"/>
      <c r="C20" s="41"/>
      <c r="D20" s="41"/>
      <c r="E20" s="41"/>
      <c r="F20" s="41"/>
      <c r="G20" s="41"/>
      <c r="H20" s="41"/>
      <c r="I20" s="41"/>
      <c r="J20" s="41"/>
      <c r="K20" s="41"/>
    </row>
    <row r="21" spans="1:12" ht="12" customHeight="1">
      <c r="A21" s="1148" t="s">
        <v>1488</v>
      </c>
      <c r="B21" s="1391" t="s">
        <v>1674</v>
      </c>
      <c r="C21" s="1639"/>
      <c r="D21" s="1639"/>
      <c r="E21" s="1639"/>
      <c r="F21" s="1639"/>
      <c r="G21" s="1639"/>
      <c r="H21" s="1639"/>
      <c r="I21" s="217"/>
      <c r="J21" s="217"/>
      <c r="K21" s="216"/>
      <c r="L21" s="144"/>
    </row>
    <row r="22" spans="1:12" ht="15" customHeight="1">
      <c r="A22" s="365">
        <v>10</v>
      </c>
      <c r="B22" s="1074" t="s">
        <v>550</v>
      </c>
      <c r="C22" s="1075"/>
      <c r="D22" s="1075"/>
      <c r="E22" s="1075"/>
      <c r="F22" s="1151"/>
      <c r="G22" s="1151"/>
      <c r="H22" s="1151"/>
      <c r="I22" s="606"/>
      <c r="J22" s="606"/>
      <c r="K22" s="1061"/>
      <c r="L22" s="144"/>
    </row>
    <row r="23" spans="1:12" ht="14.25" customHeight="1">
      <c r="A23" s="168">
        <v>11</v>
      </c>
      <c r="B23" s="1812" t="s">
        <v>1626</v>
      </c>
      <c r="C23" s="1813"/>
      <c r="D23" s="1813"/>
      <c r="E23" s="1813"/>
      <c r="F23" s="1813"/>
      <c r="G23" s="1813"/>
      <c r="H23" s="1813"/>
      <c r="I23" s="524"/>
      <c r="J23" s="524"/>
      <c r="K23" s="567"/>
      <c r="L23" s="144"/>
    </row>
    <row r="24" spans="1:12" ht="14.25" customHeight="1">
      <c r="A24" s="168">
        <v>12</v>
      </c>
      <c r="B24" s="1812" t="s">
        <v>324</v>
      </c>
      <c r="C24" s="1813"/>
      <c r="D24" s="1813"/>
      <c r="E24" s="1813"/>
      <c r="F24" s="1813"/>
      <c r="G24" s="1813"/>
      <c r="H24" s="1813"/>
      <c r="I24" s="524"/>
      <c r="J24" s="524"/>
      <c r="K24" s="567"/>
      <c r="L24" s="144"/>
    </row>
    <row r="25" spans="1:12" ht="13.5" customHeight="1">
      <c r="A25" s="168">
        <v>13</v>
      </c>
      <c r="B25" s="1812" t="s">
        <v>1052</v>
      </c>
      <c r="C25" s="1813"/>
      <c r="D25" s="1813"/>
      <c r="E25" s="1813"/>
      <c r="F25" s="1813"/>
      <c r="G25" s="1813"/>
      <c r="H25" s="1813"/>
      <c r="I25" s="524"/>
      <c r="J25" s="524"/>
      <c r="K25" s="567"/>
      <c r="L25" s="144"/>
    </row>
    <row r="26" spans="1:12" ht="13.5" customHeight="1">
      <c r="A26" s="168">
        <v>16</v>
      </c>
      <c r="B26" s="1816" t="s">
        <v>772</v>
      </c>
      <c r="C26" s="1817"/>
      <c r="D26" s="1817"/>
      <c r="E26" s="1817"/>
      <c r="F26" s="1817"/>
      <c r="G26" s="1817"/>
      <c r="H26" s="1817"/>
      <c r="I26" s="1817"/>
      <c r="J26" s="1817"/>
      <c r="K26" s="1818"/>
      <c r="L26" s="144"/>
    </row>
    <row r="27" spans="1:12" ht="12.75" customHeight="1">
      <c r="A27" s="168">
        <v>17</v>
      </c>
      <c r="B27" s="1812" t="s">
        <v>551</v>
      </c>
      <c r="C27" s="1813"/>
      <c r="D27" s="1813"/>
      <c r="E27" s="1813"/>
      <c r="F27" s="1152"/>
      <c r="G27" s="1152"/>
      <c r="H27" s="1152"/>
      <c r="I27" s="1152"/>
      <c r="J27" s="1152"/>
      <c r="K27" s="567"/>
      <c r="L27" s="144"/>
    </row>
    <row r="28" spans="1:12" ht="12.75" customHeight="1">
      <c r="A28" s="168">
        <v>19</v>
      </c>
      <c r="B28" s="1814" t="s">
        <v>1458</v>
      </c>
      <c r="C28" s="1815"/>
      <c r="D28" s="1815"/>
      <c r="E28" s="1815"/>
      <c r="F28" s="1815"/>
      <c r="G28" s="1152"/>
      <c r="H28" s="1152"/>
      <c r="I28" s="1152"/>
      <c r="J28" s="1152"/>
      <c r="K28" s="567"/>
      <c r="L28" s="144"/>
    </row>
    <row r="29" spans="1:12" ht="12.75" customHeight="1">
      <c r="A29" s="168">
        <v>20</v>
      </c>
      <c r="B29" s="1814" t="s">
        <v>1459</v>
      </c>
      <c r="C29" s="1815"/>
      <c r="D29" s="1815"/>
      <c r="E29" s="1815"/>
      <c r="F29" s="1815"/>
      <c r="G29" s="1152"/>
      <c r="H29" s="1152"/>
      <c r="I29" s="1152"/>
      <c r="J29" s="1152"/>
      <c r="K29" s="567"/>
      <c r="L29" s="144"/>
    </row>
    <row r="30" spans="1:12" ht="15" customHeight="1">
      <c r="A30" s="168">
        <v>23</v>
      </c>
      <c r="B30" s="1812" t="s">
        <v>552</v>
      </c>
      <c r="C30" s="1813"/>
      <c r="D30" s="1813"/>
      <c r="E30" s="1813"/>
      <c r="F30" s="1152"/>
      <c r="G30" s="1152"/>
      <c r="H30" s="1152"/>
      <c r="I30" s="524"/>
      <c r="J30" s="524"/>
      <c r="K30" s="567"/>
      <c r="L30" s="144"/>
    </row>
    <row r="31" spans="1:12" ht="13.5" customHeight="1">
      <c r="A31" s="168">
        <v>25</v>
      </c>
      <c r="B31" s="1812" t="s">
        <v>1460</v>
      </c>
      <c r="C31" s="1813"/>
      <c r="D31" s="1813"/>
      <c r="E31" s="1813"/>
      <c r="F31" s="1813"/>
      <c r="G31" s="1813"/>
      <c r="H31" s="1813"/>
      <c r="I31" s="524"/>
      <c r="J31" s="524"/>
      <c r="K31" s="567"/>
      <c r="L31" s="144"/>
    </row>
    <row r="32" spans="1:12" ht="15" customHeight="1">
      <c r="A32" s="168">
        <v>28</v>
      </c>
      <c r="B32" s="1812" t="s">
        <v>1462</v>
      </c>
      <c r="C32" s="1813"/>
      <c r="D32" s="1813"/>
      <c r="E32" s="1813"/>
      <c r="F32" s="733"/>
      <c r="G32" s="733"/>
      <c r="H32" s="1152"/>
      <c r="I32" s="524"/>
      <c r="J32" s="524"/>
      <c r="K32" s="567"/>
      <c r="L32" s="144"/>
    </row>
    <row r="33" spans="1:12" ht="13.5" customHeight="1">
      <c r="A33" s="168">
        <v>30</v>
      </c>
      <c r="B33" s="1814" t="s">
        <v>1461</v>
      </c>
      <c r="C33" s="1815"/>
      <c r="D33" s="1815"/>
      <c r="E33" s="1815"/>
      <c r="F33" s="1815"/>
      <c r="G33" s="1815"/>
      <c r="H33" s="1152"/>
      <c r="I33" s="144"/>
      <c r="J33" s="524"/>
      <c r="K33" s="567"/>
      <c r="L33" s="144"/>
    </row>
    <row r="34" spans="1:12" ht="15" customHeight="1">
      <c r="A34" s="364">
        <v>52</v>
      </c>
      <c r="B34" s="1819" t="s">
        <v>554</v>
      </c>
      <c r="C34" s="1820"/>
      <c r="D34" s="1820"/>
      <c r="E34" s="1820"/>
      <c r="F34" s="1153"/>
      <c r="G34" s="1153"/>
      <c r="H34" s="1153"/>
      <c r="I34" s="1154"/>
      <c r="J34" s="1155"/>
      <c r="K34" s="1156"/>
      <c r="L34" s="144"/>
    </row>
    <row r="35" spans="1:12" ht="15" customHeight="1">
      <c r="A35" s="1157" t="s">
        <v>1627</v>
      </c>
      <c r="B35" s="1058"/>
      <c r="C35" s="1058"/>
      <c r="D35" s="1149"/>
      <c r="E35" s="1149"/>
      <c r="F35" s="1149"/>
      <c r="G35" s="1058"/>
      <c r="I35" s="144"/>
      <c r="J35" s="524"/>
      <c r="K35" s="1051" t="s">
        <v>111</v>
      </c>
    </row>
    <row r="36" spans="1:12">
      <c r="D36" s="144"/>
      <c r="H36" s="144"/>
      <c r="I36" s="144"/>
      <c r="J36" s="1158"/>
    </row>
    <row r="37" spans="1:12">
      <c r="A37" s="41"/>
      <c r="B37" s="144"/>
      <c r="C37" s="144"/>
      <c r="D37" s="144"/>
      <c r="G37" s="679"/>
      <c r="H37" s="144"/>
      <c r="I37" s="679"/>
      <c r="J37" s="1158"/>
    </row>
    <row r="38" spans="1:12">
      <c r="A38" s="41"/>
      <c r="B38" s="144"/>
      <c r="C38" s="144"/>
      <c r="D38" s="144"/>
      <c r="E38" s="144"/>
      <c r="F38" s="144"/>
      <c r="G38" s="144"/>
      <c r="H38" s="144"/>
      <c r="I38" s="144"/>
      <c r="J38" s="1159"/>
    </row>
  </sheetData>
  <mergeCells count="15">
    <mergeCell ref="B33:G33"/>
    <mergeCell ref="B26:K26"/>
    <mergeCell ref="A1:K1"/>
    <mergeCell ref="A2:K2"/>
    <mergeCell ref="B34:E34"/>
    <mergeCell ref="B21:H21"/>
    <mergeCell ref="B23:H23"/>
    <mergeCell ref="B24:H24"/>
    <mergeCell ref="B25:H25"/>
    <mergeCell ref="B30:E30"/>
    <mergeCell ref="B28:F28"/>
    <mergeCell ref="B29:F29"/>
    <mergeCell ref="B32:E32"/>
    <mergeCell ref="B27:E27"/>
    <mergeCell ref="B31:H31"/>
  </mergeCells>
  <phoneticPr fontId="0" type="noConversion"/>
  <printOptions horizontalCentered="1"/>
  <pageMargins left="0.1" right="0.1" top="0.71" bottom="0.1" header="0.56000000000000005" footer="0.1"/>
  <pageSetup paperSize="9" orientation="landscape" blackAndWhite="1" horizontalDpi="4294967295" r:id="rId1"/>
  <headerFooter alignWithMargins="0"/>
</worksheet>
</file>

<file path=xl/worksheets/sheet57.xml><?xml version="1.0" encoding="utf-8"?>
<worksheet xmlns="http://schemas.openxmlformats.org/spreadsheetml/2006/main" xmlns:r="http://schemas.openxmlformats.org/officeDocument/2006/relationships">
  <sheetPr codeName="Sheet69"/>
  <dimension ref="A1:J11"/>
  <sheetViews>
    <sheetView workbookViewId="0">
      <selection activeCell="M5" sqref="M5"/>
    </sheetView>
  </sheetViews>
  <sheetFormatPr defaultRowHeight="12.75"/>
  <cols>
    <col min="1" max="2" width="18.28515625" customWidth="1"/>
    <col min="3" max="9" width="14" customWidth="1"/>
  </cols>
  <sheetData>
    <row r="1" spans="1:10" ht="14.25" customHeight="1">
      <c r="A1" s="1363" t="s">
        <v>1451</v>
      </c>
      <c r="B1" s="1363"/>
      <c r="C1" s="1363"/>
      <c r="D1" s="1363"/>
      <c r="E1" s="1363"/>
      <c r="F1" s="1363"/>
      <c r="G1" s="1363"/>
      <c r="H1" s="1363"/>
      <c r="I1" s="1363"/>
    </row>
    <row r="2" spans="1:10" ht="21" customHeight="1">
      <c r="A2" s="1373" t="str">
        <f>CONCATENATE("Production in Sericulture Industry in the district of ",District!A1)</f>
        <v>Production in Sericulture Industry in the district of Malda</v>
      </c>
      <c r="B2" s="1373"/>
      <c r="C2" s="1373"/>
      <c r="D2" s="1373"/>
      <c r="E2" s="1373"/>
      <c r="F2" s="1373"/>
      <c r="G2" s="1373"/>
      <c r="H2" s="1373"/>
      <c r="I2" s="1373"/>
      <c r="J2" s="33"/>
    </row>
    <row r="3" spans="1:10" ht="21" customHeight="1">
      <c r="A3" s="1359" t="s">
        <v>1089</v>
      </c>
      <c r="B3" s="1391" t="s">
        <v>1108</v>
      </c>
      <c r="C3" s="1639"/>
      <c r="D3" s="1639"/>
      <c r="E3" s="1392"/>
      <c r="F3" s="1391" t="s">
        <v>112</v>
      </c>
      <c r="G3" s="1639"/>
      <c r="H3" s="1639"/>
      <c r="I3" s="1392"/>
      <c r="J3" s="7"/>
    </row>
    <row r="4" spans="1:10" ht="42" customHeight="1">
      <c r="A4" s="1361"/>
      <c r="B4" s="240" t="s">
        <v>468</v>
      </c>
      <c r="C4" s="343" t="s">
        <v>1234</v>
      </c>
      <c r="D4" s="343" t="s">
        <v>1235</v>
      </c>
      <c r="E4" s="260" t="s">
        <v>1236</v>
      </c>
      <c r="F4" s="240" t="s">
        <v>468</v>
      </c>
      <c r="G4" s="240" t="s">
        <v>469</v>
      </c>
      <c r="H4" s="675" t="s">
        <v>470</v>
      </c>
      <c r="I4" s="267" t="s">
        <v>471</v>
      </c>
      <c r="J4" s="7"/>
    </row>
    <row r="5" spans="1:10" ht="22.5" customHeight="1">
      <c r="A5" s="218" t="s">
        <v>1208</v>
      </c>
      <c r="B5" s="151" t="s">
        <v>1209</v>
      </c>
      <c r="C5" s="151" t="s">
        <v>1210</v>
      </c>
      <c r="D5" s="151" t="s">
        <v>1211</v>
      </c>
      <c r="E5" s="153" t="s">
        <v>1212</v>
      </c>
      <c r="F5" s="151" t="s">
        <v>1213</v>
      </c>
      <c r="G5" s="151" t="s">
        <v>1214</v>
      </c>
      <c r="H5" s="151" t="s">
        <v>1244</v>
      </c>
      <c r="I5" s="153" t="s">
        <v>1245</v>
      </c>
      <c r="J5" s="35"/>
    </row>
    <row r="6" spans="1:10" ht="36" customHeight="1">
      <c r="A6" s="1045" t="s">
        <v>1577</v>
      </c>
      <c r="B6" s="116">
        <v>12591</v>
      </c>
      <c r="C6" s="534" t="s">
        <v>1509</v>
      </c>
      <c r="D6" s="534" t="s">
        <v>1509</v>
      </c>
      <c r="E6" s="628" t="s">
        <v>1509</v>
      </c>
      <c r="F6" s="673">
        <v>1526796</v>
      </c>
      <c r="G6" s="534" t="s">
        <v>1509</v>
      </c>
      <c r="H6" s="534" t="s">
        <v>1509</v>
      </c>
      <c r="I6" s="628" t="s">
        <v>1509</v>
      </c>
    </row>
    <row r="7" spans="1:10" ht="36" customHeight="1">
      <c r="A7" s="635" t="s">
        <v>1576</v>
      </c>
      <c r="B7" s="116">
        <v>12693</v>
      </c>
      <c r="C7" s="534" t="s">
        <v>1509</v>
      </c>
      <c r="D7" s="534" t="s">
        <v>1509</v>
      </c>
      <c r="E7" s="628" t="s">
        <v>1509</v>
      </c>
      <c r="F7" s="673">
        <v>1300000</v>
      </c>
      <c r="G7" s="534" t="s">
        <v>1509</v>
      </c>
      <c r="H7" s="534" t="s">
        <v>1509</v>
      </c>
      <c r="I7" s="628" t="s">
        <v>1509</v>
      </c>
    </row>
    <row r="8" spans="1:10" ht="36" customHeight="1">
      <c r="A8" s="635" t="s">
        <v>267</v>
      </c>
      <c r="B8" s="116">
        <v>12757</v>
      </c>
      <c r="C8" s="534" t="s">
        <v>1509</v>
      </c>
      <c r="D8" s="534" t="s">
        <v>1509</v>
      </c>
      <c r="E8" s="628" t="s">
        <v>1509</v>
      </c>
      <c r="F8" s="673">
        <v>1310000</v>
      </c>
      <c r="G8" s="534" t="s">
        <v>1509</v>
      </c>
      <c r="H8" s="534" t="s">
        <v>1509</v>
      </c>
      <c r="I8" s="628" t="s">
        <v>1509</v>
      </c>
    </row>
    <row r="9" spans="1:10" ht="36" customHeight="1">
      <c r="A9" s="635" t="s">
        <v>1094</v>
      </c>
      <c r="B9" s="116">
        <v>13121</v>
      </c>
      <c r="C9" s="116" t="s">
        <v>1509</v>
      </c>
      <c r="D9" s="116" t="s">
        <v>1509</v>
      </c>
      <c r="E9" s="98" t="s">
        <v>1509</v>
      </c>
      <c r="F9" s="673">
        <v>2488589</v>
      </c>
      <c r="G9" s="534" t="s">
        <v>1509</v>
      </c>
      <c r="H9" s="534" t="s">
        <v>1509</v>
      </c>
      <c r="I9" s="628" t="s">
        <v>1509</v>
      </c>
    </row>
    <row r="10" spans="1:10" ht="36" customHeight="1">
      <c r="A10" s="607" t="s">
        <v>1595</v>
      </c>
      <c r="B10" s="117">
        <v>13822</v>
      </c>
      <c r="C10" s="117" t="s">
        <v>1509</v>
      </c>
      <c r="D10" s="117" t="s">
        <v>1509</v>
      </c>
      <c r="E10" s="94" t="s">
        <v>1509</v>
      </c>
      <c r="F10" s="674">
        <v>3627899</v>
      </c>
      <c r="G10" s="117" t="s">
        <v>1509</v>
      </c>
      <c r="H10" s="117" t="s">
        <v>1509</v>
      </c>
      <c r="I10" s="94" t="s">
        <v>1509</v>
      </c>
    </row>
    <row r="11" spans="1:10">
      <c r="I11" s="924" t="s">
        <v>916</v>
      </c>
    </row>
  </sheetData>
  <mergeCells count="5">
    <mergeCell ref="F3:I3"/>
    <mergeCell ref="A3:A4"/>
    <mergeCell ref="A1:I1"/>
    <mergeCell ref="A2:I2"/>
    <mergeCell ref="B3:E3"/>
  </mergeCells>
  <phoneticPr fontId="0" type="noConversion"/>
  <printOptions horizontalCentered="1"/>
  <pageMargins left="0.1" right="0.1" top="0.87" bottom="0.16" header="0.5" footer="0.1"/>
  <pageSetup paperSize="9" orientation="landscape" blackAndWhite="1" horizontalDpi="4294967295" r:id="rId1"/>
  <headerFooter alignWithMargins="0"/>
</worksheet>
</file>

<file path=xl/worksheets/sheet58.xml><?xml version="1.0" encoding="utf-8"?>
<worksheet xmlns="http://schemas.openxmlformats.org/spreadsheetml/2006/main" xmlns:r="http://schemas.openxmlformats.org/officeDocument/2006/relationships">
  <dimension ref="A3:K21"/>
  <sheetViews>
    <sheetView workbookViewId="0">
      <selection activeCell="M5" sqref="M5"/>
    </sheetView>
  </sheetViews>
  <sheetFormatPr defaultRowHeight="12.75"/>
  <cols>
    <col min="1" max="1" width="4" customWidth="1"/>
    <col min="2" max="2" width="35.7109375" customWidth="1"/>
    <col min="3" max="3" width="17.140625" customWidth="1"/>
    <col min="4" max="4" width="17.7109375" customWidth="1"/>
    <col min="5" max="6" width="17.28515625" customWidth="1"/>
    <col min="7" max="7" width="18.140625" customWidth="1"/>
    <col min="8" max="8" width="14.85546875" customWidth="1"/>
  </cols>
  <sheetData>
    <row r="3" spans="1:11" ht="15.75" customHeight="1">
      <c r="A3" s="1821" t="s">
        <v>1452</v>
      </c>
      <c r="B3" s="1821"/>
      <c r="C3" s="1821"/>
      <c r="D3" s="1821"/>
      <c r="E3" s="1821"/>
      <c r="F3" s="1821"/>
      <c r="G3" s="1821"/>
    </row>
    <row r="4" spans="1:11" ht="20.25" customHeight="1">
      <c r="A4" s="1822" t="str">
        <f>CONCATENATE("Employment in Registered Factories and State Government Offices in the district of ",District!$A$1)</f>
        <v>Employment in Registered Factories and State Government Offices in the district of Malda</v>
      </c>
      <c r="B4" s="1822"/>
      <c r="C4" s="1822"/>
      <c r="D4" s="1822"/>
      <c r="E4" s="1822"/>
      <c r="F4" s="1822"/>
      <c r="G4" s="1822"/>
      <c r="H4" s="851"/>
      <c r="I4" s="851"/>
      <c r="J4" s="851"/>
      <c r="K4" s="33"/>
    </row>
    <row r="5" spans="1:11" s="852" customFormat="1" ht="15.75" customHeight="1">
      <c r="A5" s="1252"/>
      <c r="B5" s="1252"/>
      <c r="D5" s="839"/>
      <c r="E5" s="839"/>
      <c r="F5" s="839"/>
      <c r="G5" s="853" t="s">
        <v>1253</v>
      </c>
      <c r="H5" s="344"/>
      <c r="I5" s="526"/>
      <c r="J5" s="526"/>
      <c r="K5" s="526"/>
    </row>
    <row r="6" spans="1:11" s="692" customFormat="1" ht="36" customHeight="1">
      <c r="A6" s="1825" t="s">
        <v>473</v>
      </c>
      <c r="B6" s="1826"/>
      <c r="C6" s="844">
        <f>District!A9</f>
        <v>2010</v>
      </c>
      <c r="D6" s="844">
        <f>District!B9</f>
        <v>2011</v>
      </c>
      <c r="E6" s="844">
        <f>District!C9</f>
        <v>2012</v>
      </c>
      <c r="F6" s="844">
        <f>District!D9</f>
        <v>2013</v>
      </c>
      <c r="G6" s="1298">
        <f>District!E9</f>
        <v>2014</v>
      </c>
      <c r="H6" s="842"/>
      <c r="I6" s="842"/>
      <c r="J6" s="842"/>
      <c r="K6" s="854"/>
    </row>
    <row r="7" spans="1:11" s="691" customFormat="1" ht="19.5" customHeight="1">
      <c r="A7" s="1823" t="s">
        <v>1208</v>
      </c>
      <c r="B7" s="1824"/>
      <c r="C7" s="685" t="s">
        <v>1209</v>
      </c>
      <c r="D7" s="689" t="s">
        <v>1210</v>
      </c>
      <c r="E7" s="685" t="s">
        <v>1211</v>
      </c>
      <c r="F7" s="688" t="s">
        <v>1212</v>
      </c>
      <c r="G7" s="685" t="s">
        <v>1213</v>
      </c>
      <c r="H7" s="855"/>
      <c r="I7" s="856"/>
      <c r="J7" s="856"/>
      <c r="K7" s="856"/>
    </row>
    <row r="8" spans="1:11" ht="39.75" customHeight="1">
      <c r="A8" s="857" t="s">
        <v>58</v>
      </c>
      <c r="B8" s="858" t="s">
        <v>691</v>
      </c>
      <c r="C8" s="64"/>
      <c r="D8" s="7"/>
      <c r="E8" s="84"/>
      <c r="F8" s="1238"/>
      <c r="G8" s="64"/>
      <c r="H8" s="7"/>
      <c r="I8" s="7"/>
      <c r="J8" s="7"/>
    </row>
    <row r="9" spans="1:11" ht="35.25" customHeight="1">
      <c r="A9" s="859"/>
      <c r="B9" s="656" t="s">
        <v>810</v>
      </c>
      <c r="C9" s="116">
        <v>70</v>
      </c>
      <c r="D9" s="116">
        <v>73</v>
      </c>
      <c r="E9" s="116">
        <v>75</v>
      </c>
      <c r="F9" s="116" t="s">
        <v>75</v>
      </c>
      <c r="G9" s="116" t="s">
        <v>1385</v>
      </c>
      <c r="I9" s="7"/>
      <c r="J9" s="7"/>
    </row>
    <row r="10" spans="1:11" ht="47.25" customHeight="1">
      <c r="A10" s="859"/>
      <c r="B10" s="656" t="s">
        <v>811</v>
      </c>
      <c r="C10" s="116">
        <v>2640</v>
      </c>
      <c r="D10" s="116">
        <v>2689</v>
      </c>
      <c r="E10" s="116">
        <v>2759</v>
      </c>
      <c r="F10" s="116" t="s">
        <v>76</v>
      </c>
      <c r="G10" s="116" t="s">
        <v>1386</v>
      </c>
      <c r="I10" s="7"/>
      <c r="J10" s="7"/>
    </row>
    <row r="11" spans="1:11" ht="58.5" customHeight="1">
      <c r="A11" s="860" t="s">
        <v>393</v>
      </c>
      <c r="B11" s="861" t="s">
        <v>1387</v>
      </c>
      <c r="C11" s="133" t="s">
        <v>1183</v>
      </c>
      <c r="D11" s="133">
        <v>9374</v>
      </c>
      <c r="E11" s="133" t="s">
        <v>1183</v>
      </c>
      <c r="F11" s="133">
        <v>9205</v>
      </c>
      <c r="G11" s="133">
        <v>8520</v>
      </c>
      <c r="I11" s="7"/>
      <c r="J11" s="7"/>
    </row>
    <row r="12" spans="1:11" ht="12" customHeight="1">
      <c r="A12" s="862"/>
      <c r="B12" s="863"/>
      <c r="C12" s="43"/>
      <c r="E12" s="864" t="s">
        <v>947</v>
      </c>
      <c r="F12" s="865" t="s">
        <v>394</v>
      </c>
      <c r="G12" s="865"/>
      <c r="H12" s="7"/>
      <c r="I12" s="7"/>
      <c r="J12" s="7"/>
    </row>
    <row r="13" spans="1:11" ht="12" customHeight="1">
      <c r="A13" s="862"/>
      <c r="B13" s="863"/>
      <c r="C13" s="866"/>
      <c r="D13" s="865"/>
      <c r="E13" s="864" t="s">
        <v>948</v>
      </c>
      <c r="F13" s="865" t="s">
        <v>395</v>
      </c>
      <c r="G13" s="865"/>
      <c r="H13" s="7"/>
      <c r="I13" s="7"/>
      <c r="J13" s="7"/>
    </row>
    <row r="14" spans="1:11" ht="12.75" customHeight="1">
      <c r="A14" s="867"/>
      <c r="B14" s="867"/>
      <c r="C14" s="867"/>
      <c r="D14" s="865"/>
      <c r="E14" s="865"/>
      <c r="F14" s="868"/>
      <c r="G14" s="865"/>
      <c r="H14" s="7"/>
      <c r="I14" s="7"/>
      <c r="J14" s="7"/>
    </row>
    <row r="15" spans="1:11" ht="12.75" customHeight="1">
      <c r="A15" s="867"/>
      <c r="B15" s="867"/>
      <c r="C15" s="867"/>
      <c r="D15" s="865"/>
      <c r="E15" s="869"/>
      <c r="F15" s="870"/>
      <c r="G15" s="870"/>
      <c r="H15" s="7"/>
      <c r="I15" s="7"/>
      <c r="J15" s="7"/>
    </row>
    <row r="16" spans="1:11" ht="12" customHeight="1">
      <c r="A16" s="867"/>
      <c r="B16" s="867"/>
      <c r="C16" s="867"/>
      <c r="D16" s="43"/>
      <c r="E16" s="870"/>
      <c r="F16" s="870"/>
      <c r="G16" s="870"/>
      <c r="H16" s="7"/>
      <c r="I16" s="7"/>
      <c r="J16" s="7"/>
    </row>
    <row r="17" spans="2:11" ht="18" customHeight="1">
      <c r="B17" s="21"/>
      <c r="C17" s="7"/>
      <c r="D17" s="7"/>
      <c r="E17" s="7"/>
      <c r="F17" s="7"/>
      <c r="G17" s="7"/>
      <c r="H17" s="7"/>
      <c r="I17" s="7"/>
      <c r="J17" s="7"/>
    </row>
    <row r="18" spans="2:11" ht="18" customHeight="1">
      <c r="B18" s="21"/>
      <c r="C18" s="7"/>
      <c r="D18" s="7"/>
      <c r="E18" s="7"/>
      <c r="F18" s="7"/>
      <c r="G18" s="7"/>
      <c r="H18" s="7"/>
      <c r="I18" s="7"/>
      <c r="J18" s="7"/>
    </row>
    <row r="19" spans="2:11" ht="18" customHeight="1">
      <c r="B19" s="8"/>
      <c r="C19" s="7"/>
      <c r="D19" s="7"/>
      <c r="E19" s="7"/>
      <c r="F19" s="7"/>
      <c r="G19" s="7"/>
      <c r="H19" s="7"/>
      <c r="I19" s="7"/>
      <c r="J19" s="7"/>
      <c r="K19" s="7"/>
    </row>
    <row r="20" spans="2:11">
      <c r="B20" s="11"/>
      <c r="C20" s="40"/>
      <c r="D20" s="15"/>
      <c r="E20" s="15"/>
      <c r="F20" s="15"/>
      <c r="H20" s="15"/>
    </row>
    <row r="21" spans="2:11">
      <c r="C21" s="40"/>
      <c r="D21" s="40"/>
      <c r="E21" s="40"/>
      <c r="F21" s="40"/>
      <c r="G21" s="40"/>
      <c r="H21" s="40"/>
    </row>
  </sheetData>
  <mergeCells count="4">
    <mergeCell ref="A3:G3"/>
    <mergeCell ref="A4:G4"/>
    <mergeCell ref="A7:B7"/>
    <mergeCell ref="A6:B6"/>
  </mergeCells>
  <phoneticPr fontId="0" type="noConversion"/>
  <conditionalFormatting sqref="A1:A1048576 B7:B65536 B1:B5 C1:IV1048576">
    <cfRule type="cellIs" dxfId="6" priority="1" stopIfTrue="1" operator="equal">
      <formula>".."</formula>
    </cfRule>
  </conditionalFormatting>
  <printOptions horizontalCentered="1"/>
  <pageMargins left="0.1" right="0.1" top="0.95" bottom="0.1" header="0.5" footer="0.1"/>
  <pageSetup paperSize="9" orientation="landscape" blackAndWhite="1" horizontalDpi="4294967295" r:id="rId1"/>
  <headerFooter alignWithMargins="0"/>
</worksheet>
</file>

<file path=xl/worksheets/sheet59.xml><?xml version="1.0" encoding="utf-8"?>
<worksheet xmlns="http://schemas.openxmlformats.org/spreadsheetml/2006/main" xmlns:r="http://schemas.openxmlformats.org/officeDocument/2006/relationships">
  <sheetPr codeName="Sheet39"/>
  <dimension ref="A1:G30"/>
  <sheetViews>
    <sheetView workbookViewId="0">
      <selection activeCell="D12" sqref="D12:D13"/>
    </sheetView>
  </sheetViews>
  <sheetFormatPr defaultRowHeight="12.75"/>
  <cols>
    <col min="1" max="1" width="2.42578125" customWidth="1"/>
    <col min="2" max="2" width="49.5703125" customWidth="1"/>
    <col min="3" max="7" width="14.85546875" customWidth="1"/>
  </cols>
  <sheetData>
    <row r="1" spans="1:7" ht="17.25" customHeight="1">
      <c r="A1" s="1363" t="s">
        <v>1452</v>
      </c>
      <c r="B1" s="1363"/>
      <c r="C1" s="1363"/>
      <c r="D1" s="1363"/>
      <c r="E1" s="1363"/>
      <c r="F1" s="1363"/>
      <c r="G1" s="1363"/>
    </row>
    <row r="2" spans="1:7" ht="18.75" customHeight="1">
      <c r="A2" s="1367" t="str">
        <f>CONCATENATE("Employment in Registered Factories and State Government Offices in the district of ",District!A1)</f>
        <v>Employment in Registered Factories and State Government Offices in the district of Malda</v>
      </c>
      <c r="B2" s="1367"/>
      <c r="C2" s="1367"/>
      <c r="D2" s="1367"/>
      <c r="E2" s="1367"/>
      <c r="F2" s="1367"/>
      <c r="G2" s="1367"/>
    </row>
    <row r="3" spans="1:7">
      <c r="C3" s="23"/>
      <c r="D3" s="23"/>
      <c r="G3" s="265" t="s">
        <v>1253</v>
      </c>
    </row>
    <row r="4" spans="1:7" ht="21" customHeight="1">
      <c r="A4" s="1391" t="s">
        <v>473</v>
      </c>
      <c r="B4" s="1639"/>
      <c r="C4" s="342">
        <v>2005</v>
      </c>
      <c r="D4" s="342">
        <v>2006</v>
      </c>
      <c r="E4" s="269">
        <v>2007</v>
      </c>
      <c r="F4" s="269">
        <v>2008</v>
      </c>
      <c r="G4" s="269">
        <v>2009</v>
      </c>
    </row>
    <row r="5" spans="1:7" ht="21" customHeight="1">
      <c r="A5" s="1353" t="s">
        <v>1208</v>
      </c>
      <c r="B5" s="1425"/>
      <c r="C5" s="151" t="s">
        <v>1209</v>
      </c>
      <c r="D5" s="219" t="s">
        <v>1210</v>
      </c>
      <c r="E5" s="151" t="s">
        <v>1211</v>
      </c>
      <c r="F5" s="153" t="s">
        <v>1212</v>
      </c>
      <c r="G5" s="153" t="s">
        <v>1213</v>
      </c>
    </row>
    <row r="6" spans="1:7" ht="36" customHeight="1">
      <c r="A6" s="597" t="s">
        <v>450</v>
      </c>
      <c r="B6" s="764" t="s">
        <v>326</v>
      </c>
      <c r="C6" s="116"/>
      <c r="D6" s="41"/>
      <c r="E6" s="116"/>
      <c r="F6" s="115"/>
      <c r="G6" s="115"/>
    </row>
    <row r="7" spans="1:7" ht="28.5" customHeight="1">
      <c r="A7" s="438"/>
      <c r="B7" s="524" t="s">
        <v>810</v>
      </c>
      <c r="C7" s="116">
        <v>50</v>
      </c>
      <c r="D7" s="116">
        <v>53</v>
      </c>
      <c r="E7" s="98">
        <v>54</v>
      </c>
      <c r="F7" s="116">
        <v>60</v>
      </c>
      <c r="G7" s="116">
        <v>61</v>
      </c>
    </row>
    <row r="8" spans="1:7" ht="28.5" customHeight="1">
      <c r="A8" s="438"/>
      <c r="B8" s="524" t="s">
        <v>811</v>
      </c>
      <c r="C8" s="116">
        <v>2253</v>
      </c>
      <c r="D8" s="116">
        <v>2286</v>
      </c>
      <c r="E8" s="98">
        <v>2299</v>
      </c>
      <c r="F8" s="116">
        <v>2387</v>
      </c>
      <c r="G8" s="116">
        <v>2407</v>
      </c>
    </row>
    <row r="9" spans="1:7" ht="45.75" customHeight="1">
      <c r="A9" s="600" t="s">
        <v>451</v>
      </c>
      <c r="B9" s="601" t="s">
        <v>990</v>
      </c>
      <c r="C9" s="564"/>
      <c r="D9" s="116"/>
      <c r="E9" s="98"/>
      <c r="F9" s="116"/>
      <c r="G9" s="116"/>
    </row>
    <row r="10" spans="1:7" ht="18" customHeight="1">
      <c r="A10" s="600"/>
      <c r="B10" s="1671" t="s">
        <v>810</v>
      </c>
      <c r="C10" s="1376">
        <v>326</v>
      </c>
      <c r="D10" s="1376">
        <v>315</v>
      </c>
      <c r="E10" s="1376">
        <v>419</v>
      </c>
      <c r="F10" s="116" t="s">
        <v>541</v>
      </c>
      <c r="G10" s="1376">
        <v>839</v>
      </c>
    </row>
    <row r="11" spans="1:7" ht="18" customHeight="1">
      <c r="A11" s="438"/>
      <c r="B11" s="1671"/>
      <c r="C11" s="1376"/>
      <c r="D11" s="1376"/>
      <c r="E11" s="1376"/>
      <c r="F11" s="116" t="s">
        <v>542</v>
      </c>
      <c r="G11" s="1376"/>
    </row>
    <row r="12" spans="1:7" ht="18" customHeight="1">
      <c r="A12" s="438"/>
      <c r="B12" s="1671" t="s">
        <v>811</v>
      </c>
      <c r="C12" s="1376">
        <v>1904</v>
      </c>
      <c r="D12" s="1376">
        <v>1672</v>
      </c>
      <c r="E12" s="1376">
        <v>2282</v>
      </c>
      <c r="F12" s="116" t="s">
        <v>543</v>
      </c>
      <c r="G12" s="1376">
        <v>5270</v>
      </c>
    </row>
    <row r="13" spans="1:7" ht="18" customHeight="1">
      <c r="A13" s="438"/>
      <c r="B13" s="1671"/>
      <c r="C13" s="1376"/>
      <c r="D13" s="1376"/>
      <c r="E13" s="1376"/>
      <c r="F13" s="116" t="s">
        <v>544</v>
      </c>
      <c r="G13" s="1376"/>
    </row>
    <row r="14" spans="1:7" ht="36" customHeight="1">
      <c r="A14" s="633" t="s">
        <v>60</v>
      </c>
      <c r="B14" s="634" t="s">
        <v>1446</v>
      </c>
      <c r="C14" s="650" t="s">
        <v>1183</v>
      </c>
      <c r="D14" s="117">
        <v>9822</v>
      </c>
      <c r="E14" s="142">
        <v>9481</v>
      </c>
      <c r="F14" s="133">
        <v>8742</v>
      </c>
      <c r="G14" s="133" t="s">
        <v>3</v>
      </c>
    </row>
    <row r="15" spans="1:7">
      <c r="A15" s="647" t="s">
        <v>917</v>
      </c>
      <c r="B15" s="647"/>
      <c r="E15" s="148" t="s">
        <v>947</v>
      </c>
      <c r="F15" s="1829" t="s">
        <v>423</v>
      </c>
      <c r="G15" s="1830"/>
    </row>
    <row r="16" spans="1:7">
      <c r="A16" s="649" t="s">
        <v>918</v>
      </c>
      <c r="B16" s="648"/>
      <c r="E16" s="9"/>
      <c r="F16" s="1831"/>
      <c r="G16" s="1831"/>
    </row>
    <row r="17" spans="1:7" ht="12.75" customHeight="1">
      <c r="A17" s="1807" t="s">
        <v>422</v>
      </c>
      <c r="B17" s="1808"/>
      <c r="E17" s="800" t="s">
        <v>948</v>
      </c>
      <c r="F17" s="250" t="s">
        <v>425</v>
      </c>
    </row>
    <row r="18" spans="1:7">
      <c r="A18" s="1808"/>
      <c r="B18" s="1808"/>
      <c r="E18" s="800" t="s">
        <v>955</v>
      </c>
      <c r="F18" s="1827" t="s">
        <v>426</v>
      </c>
      <c r="G18" s="1828"/>
    </row>
    <row r="19" spans="1:7">
      <c r="A19" s="1808"/>
      <c r="B19" s="1808"/>
      <c r="E19" s="800"/>
      <c r="F19" s="1828"/>
      <c r="G19" s="1828"/>
    </row>
    <row r="20" spans="1:7">
      <c r="A20" s="1808"/>
      <c r="B20" s="1808"/>
      <c r="E20" s="800" t="s">
        <v>951</v>
      </c>
      <c r="F20" s="1827" t="s">
        <v>427</v>
      </c>
      <c r="G20" s="1828"/>
    </row>
    <row r="21" spans="1:7">
      <c r="E21" s="785"/>
      <c r="F21" s="1828"/>
      <c r="G21" s="1828"/>
    </row>
    <row r="22" spans="1:7">
      <c r="C22" s="36"/>
    </row>
    <row r="23" spans="1:7">
      <c r="C23" s="36"/>
    </row>
    <row r="24" spans="1:7">
      <c r="C24" s="36"/>
    </row>
    <row r="30" spans="1:7" ht="16.5" customHeight="1">
      <c r="C30" s="763"/>
      <c r="D30" s="763"/>
      <c r="E30" s="763"/>
      <c r="F30" s="763"/>
      <c r="G30" s="763"/>
    </row>
  </sheetData>
  <mergeCells count="18">
    <mergeCell ref="F18:G19"/>
    <mergeCell ref="F20:G21"/>
    <mergeCell ref="A17:B20"/>
    <mergeCell ref="G10:G11"/>
    <mergeCell ref="G12:G13"/>
    <mergeCell ref="B10:B11"/>
    <mergeCell ref="F15:G16"/>
    <mergeCell ref="B12:B13"/>
    <mergeCell ref="C10:C11"/>
    <mergeCell ref="D10:D11"/>
    <mergeCell ref="A1:G1"/>
    <mergeCell ref="A2:G2"/>
    <mergeCell ref="A4:B4"/>
    <mergeCell ref="A5:B5"/>
    <mergeCell ref="E10:E11"/>
    <mergeCell ref="C12:C13"/>
    <mergeCell ref="D12:D13"/>
    <mergeCell ref="E12:E13"/>
  </mergeCells>
  <phoneticPr fontId="0" type="noConversion"/>
  <printOptions horizontalCentered="1"/>
  <pageMargins left="0.1" right="0.1" top="0.98" bottom="0.1" header="0.67" footer="0.16"/>
  <pageSetup paperSize="9" orientation="landscape" blackAndWhite="1" horizontalDpi="4294967295" r:id="rId1"/>
  <headerFooter alignWithMargins="0"/>
</worksheet>
</file>

<file path=xl/worksheets/sheet6.xml><?xml version="1.0" encoding="utf-8"?>
<worksheet xmlns="http://schemas.openxmlformats.org/spreadsheetml/2006/main" xmlns:r="http://schemas.openxmlformats.org/officeDocument/2006/relationships">
  <sheetPr codeName="Sheet3"/>
  <dimension ref="A1:H31"/>
  <sheetViews>
    <sheetView workbookViewId="0">
      <selection activeCell="M5" sqref="M5"/>
    </sheetView>
  </sheetViews>
  <sheetFormatPr defaultRowHeight="12.75"/>
  <cols>
    <col min="1" max="1" width="16.85546875" customWidth="1"/>
    <col min="2" max="8" width="15.85546875" customWidth="1"/>
  </cols>
  <sheetData>
    <row r="1" spans="1:8">
      <c r="A1" s="1363" t="s">
        <v>1331</v>
      </c>
      <c r="B1" s="1363"/>
      <c r="C1" s="1363"/>
      <c r="D1" s="1363"/>
      <c r="E1" s="1363"/>
      <c r="F1" s="1363"/>
      <c r="G1" s="1363"/>
      <c r="H1" s="1363"/>
    </row>
    <row r="2" spans="1:8" ht="18.75" customHeight="1">
      <c r="A2" s="1367" t="str">
        <f>CONCATENATE("Geographical Location of ",District!$A$1," district and its headquarters")</f>
        <v>Geographical Location of Malda district and its headquarters</v>
      </c>
      <c r="B2" s="1367"/>
      <c r="C2" s="1367"/>
      <c r="D2" s="1367"/>
      <c r="E2" s="1367"/>
      <c r="F2" s="1367"/>
      <c r="G2" s="1367"/>
      <c r="H2" s="1367"/>
    </row>
    <row r="3" spans="1:8" ht="12" customHeight="1">
      <c r="B3" s="19"/>
      <c r="C3" s="4"/>
      <c r="D3" s="4"/>
      <c r="E3" s="4"/>
      <c r="F3" s="4"/>
      <c r="G3" s="4"/>
      <c r="H3" s="4"/>
    </row>
    <row r="4" spans="1:8" ht="18.75" customHeight="1">
      <c r="A4" s="1368" t="s">
        <v>1201</v>
      </c>
      <c r="B4" s="1364" t="s">
        <v>1202</v>
      </c>
      <c r="C4" s="1365"/>
      <c r="D4" s="1366" t="s">
        <v>1203</v>
      </c>
      <c r="E4" s="1365"/>
      <c r="F4" s="1346" t="s">
        <v>1408</v>
      </c>
      <c r="G4" s="1348" t="s">
        <v>1202</v>
      </c>
      <c r="H4" s="1348" t="s">
        <v>1203</v>
      </c>
    </row>
    <row r="5" spans="1:8" ht="18" customHeight="1">
      <c r="A5" s="1369"/>
      <c r="B5" s="261" t="s">
        <v>1204</v>
      </c>
      <c r="C5" s="298" t="s">
        <v>1205</v>
      </c>
      <c r="D5" s="261" t="s">
        <v>1206</v>
      </c>
      <c r="E5" s="298" t="s">
        <v>1207</v>
      </c>
      <c r="F5" s="1347"/>
      <c r="G5" s="1349"/>
      <c r="H5" s="1349"/>
    </row>
    <row r="6" spans="1:8" ht="17.25" customHeight="1">
      <c r="A6" s="151" t="s">
        <v>1208</v>
      </c>
      <c r="B6" s="151" t="s">
        <v>1209</v>
      </c>
      <c r="C6" s="153" t="s">
        <v>1210</v>
      </c>
      <c r="D6" s="156" t="s">
        <v>1211</v>
      </c>
      <c r="E6" s="155" t="s">
        <v>1212</v>
      </c>
      <c r="F6" s="156" t="s">
        <v>1213</v>
      </c>
      <c r="G6" s="156" t="s">
        <v>1214</v>
      </c>
      <c r="H6" s="156" t="s">
        <v>1244</v>
      </c>
    </row>
    <row r="7" spans="1:8" ht="48" customHeight="1">
      <c r="A7" s="157" t="str">
        <f>District!$A$1</f>
        <v>Malda</v>
      </c>
      <c r="B7" s="48" t="s">
        <v>486</v>
      </c>
      <c r="C7" s="44" t="s">
        <v>487</v>
      </c>
      <c r="D7" s="48" t="s">
        <v>488</v>
      </c>
      <c r="E7" s="44" t="s">
        <v>489</v>
      </c>
      <c r="F7" s="1083" t="s">
        <v>490</v>
      </c>
      <c r="G7" s="48" t="s">
        <v>491</v>
      </c>
      <c r="H7" s="48" t="s">
        <v>492</v>
      </c>
    </row>
    <row r="8" spans="1:8">
      <c r="B8" s="7"/>
      <c r="D8" s="7"/>
      <c r="E8" s="1350" t="s">
        <v>453</v>
      </c>
      <c r="F8" s="1350"/>
      <c r="G8" s="1350"/>
      <c r="H8" s="1350"/>
    </row>
    <row r="9" spans="1:8">
      <c r="B9" s="7"/>
      <c r="D9" s="7"/>
      <c r="E9" s="158"/>
      <c r="F9" s="158"/>
      <c r="G9" s="158"/>
      <c r="H9" s="158"/>
    </row>
    <row r="10" spans="1:8">
      <c r="A10" s="1363" t="s">
        <v>1330</v>
      </c>
      <c r="B10" s="1363"/>
      <c r="C10" s="1363"/>
      <c r="D10" s="1363"/>
      <c r="E10" s="1363"/>
      <c r="F10" s="1363"/>
      <c r="G10" s="1363"/>
      <c r="H10" s="1363"/>
    </row>
    <row r="11" spans="1:8" ht="14.25" customHeight="1">
      <c r="A11" s="1355" t="str">
        <f>CONCATENATE("Monthly Rainfall in the district of ",District!$A$1)</f>
        <v>Monthly Rainfall in the district of Malda</v>
      </c>
      <c r="B11" s="1355"/>
      <c r="C11" s="1355"/>
      <c r="D11" s="1355"/>
      <c r="E11" s="1355"/>
      <c r="F11" s="1355"/>
      <c r="G11" s="1355"/>
      <c r="H11" s="1355"/>
    </row>
    <row r="12" spans="1:8" ht="11.25" customHeight="1">
      <c r="C12" s="159"/>
      <c r="D12" s="159"/>
      <c r="E12" s="159"/>
      <c r="F12" s="159"/>
      <c r="G12" s="159"/>
      <c r="H12" s="159" t="s">
        <v>1261</v>
      </c>
    </row>
    <row r="13" spans="1:8" ht="15" customHeight="1">
      <c r="A13" s="1359" t="s">
        <v>1215</v>
      </c>
      <c r="B13" s="1360"/>
      <c r="C13" s="240" t="s">
        <v>1216</v>
      </c>
      <c r="D13" s="1356" t="s">
        <v>1220</v>
      </c>
      <c r="E13" s="1357"/>
      <c r="F13" s="1357"/>
      <c r="G13" s="1357"/>
      <c r="H13" s="1358"/>
    </row>
    <row r="14" spans="1:8" ht="15" customHeight="1">
      <c r="A14" s="1361"/>
      <c r="B14" s="1362"/>
      <c r="C14" s="342">
        <f>$H$14</f>
        <v>2014</v>
      </c>
      <c r="D14" s="489">
        <f>District!A9</f>
        <v>2010</v>
      </c>
      <c r="E14" s="489">
        <f>District!B9</f>
        <v>2011</v>
      </c>
      <c r="F14" s="489">
        <f>District!C9</f>
        <v>2012</v>
      </c>
      <c r="G14" s="489">
        <f>District!D9</f>
        <v>2013</v>
      </c>
      <c r="H14" s="489">
        <f>District!E9</f>
        <v>2014</v>
      </c>
    </row>
    <row r="15" spans="1:8" ht="15" customHeight="1">
      <c r="A15" s="1353" t="s">
        <v>1208</v>
      </c>
      <c r="B15" s="1354"/>
      <c r="C15" s="701" t="s">
        <v>1209</v>
      </c>
      <c r="D15" s="702" t="s">
        <v>1210</v>
      </c>
      <c r="E15" s="703" t="s">
        <v>1211</v>
      </c>
      <c r="F15" s="703" t="s">
        <v>1212</v>
      </c>
      <c r="G15" s="703" t="s">
        <v>1213</v>
      </c>
      <c r="H15" s="703" t="s">
        <v>1214</v>
      </c>
    </row>
    <row r="16" spans="1:8" ht="18" customHeight="1">
      <c r="A16" s="1351" t="s">
        <v>1221</v>
      </c>
      <c r="B16" s="1352"/>
      <c r="C16" s="116">
        <v>11</v>
      </c>
      <c r="D16" s="116" t="s">
        <v>1509</v>
      </c>
      <c r="E16" s="534">
        <v>1</v>
      </c>
      <c r="F16" s="534">
        <v>12</v>
      </c>
      <c r="G16" s="116" t="s">
        <v>1509</v>
      </c>
      <c r="H16" s="116" t="s">
        <v>1509</v>
      </c>
    </row>
    <row r="17" spans="1:8" ht="18" customHeight="1">
      <c r="A17" s="1351" t="s">
        <v>1222</v>
      </c>
      <c r="B17" s="1352"/>
      <c r="C17" s="116">
        <v>11</v>
      </c>
      <c r="D17" s="116">
        <v>1</v>
      </c>
      <c r="E17" s="116">
        <v>6</v>
      </c>
      <c r="F17" s="116" t="s">
        <v>1509</v>
      </c>
      <c r="G17" s="116">
        <v>15</v>
      </c>
      <c r="H17" s="116">
        <v>62</v>
      </c>
    </row>
    <row r="18" spans="1:8" ht="18" customHeight="1">
      <c r="A18" s="1342" t="s">
        <v>1223</v>
      </c>
      <c r="B18" s="1343"/>
      <c r="C18" s="116">
        <v>11</v>
      </c>
      <c r="D18" s="116" t="s">
        <v>1509</v>
      </c>
      <c r="E18" s="116">
        <v>9</v>
      </c>
      <c r="F18" s="116">
        <v>1</v>
      </c>
      <c r="G18" s="116">
        <v>2</v>
      </c>
      <c r="H18" s="116">
        <v>1</v>
      </c>
    </row>
    <row r="19" spans="1:8" ht="18" customHeight="1">
      <c r="A19" s="1342" t="s">
        <v>1224</v>
      </c>
      <c r="B19" s="1343"/>
      <c r="C19" s="116">
        <v>39</v>
      </c>
      <c r="D19" s="116">
        <v>26</v>
      </c>
      <c r="E19" s="116">
        <v>36</v>
      </c>
      <c r="F19" s="116">
        <v>46</v>
      </c>
      <c r="G19" s="116">
        <v>53</v>
      </c>
      <c r="H19" s="116">
        <v>14</v>
      </c>
    </row>
    <row r="20" spans="1:8" ht="18" customHeight="1">
      <c r="A20" s="1342" t="s">
        <v>1225</v>
      </c>
      <c r="B20" s="1343"/>
      <c r="C20" s="116">
        <v>118</v>
      </c>
      <c r="D20" s="116">
        <v>121</v>
      </c>
      <c r="E20" s="116">
        <v>156</v>
      </c>
      <c r="F20" s="116">
        <v>25</v>
      </c>
      <c r="G20" s="116">
        <v>72</v>
      </c>
      <c r="H20" s="116">
        <v>147</v>
      </c>
    </row>
    <row r="21" spans="1:8" ht="18" customHeight="1">
      <c r="A21" s="1342" t="s">
        <v>1226</v>
      </c>
      <c r="B21" s="1343"/>
      <c r="C21" s="116">
        <v>229</v>
      </c>
      <c r="D21" s="116">
        <v>263</v>
      </c>
      <c r="E21" s="116">
        <v>317</v>
      </c>
      <c r="F21" s="116">
        <v>113</v>
      </c>
      <c r="G21" s="116">
        <v>266</v>
      </c>
      <c r="H21" s="116">
        <v>246</v>
      </c>
    </row>
    <row r="22" spans="1:8" ht="18" customHeight="1">
      <c r="A22" s="1342" t="s">
        <v>1227</v>
      </c>
      <c r="B22" s="1343"/>
      <c r="C22" s="116">
        <v>353</v>
      </c>
      <c r="D22" s="116">
        <v>211</v>
      </c>
      <c r="E22" s="116">
        <v>253</v>
      </c>
      <c r="F22" s="116">
        <v>269</v>
      </c>
      <c r="G22" s="116">
        <v>140</v>
      </c>
      <c r="H22" s="116">
        <v>324</v>
      </c>
    </row>
    <row r="23" spans="1:8" ht="18" customHeight="1">
      <c r="A23" s="1342" t="s">
        <v>1228</v>
      </c>
      <c r="B23" s="1343"/>
      <c r="C23" s="116">
        <v>302</v>
      </c>
      <c r="D23" s="116">
        <v>174</v>
      </c>
      <c r="E23" s="116">
        <v>389</v>
      </c>
      <c r="F23" s="116">
        <v>140</v>
      </c>
      <c r="G23" s="116">
        <v>317</v>
      </c>
      <c r="H23" s="116">
        <v>217</v>
      </c>
    </row>
    <row r="24" spans="1:8" ht="18" customHeight="1">
      <c r="A24" s="1342" t="s">
        <v>1229</v>
      </c>
      <c r="B24" s="1343"/>
      <c r="C24" s="116">
        <v>297</v>
      </c>
      <c r="D24" s="116">
        <v>218</v>
      </c>
      <c r="E24" s="116">
        <v>249</v>
      </c>
      <c r="F24" s="116">
        <v>233</v>
      </c>
      <c r="G24" s="116">
        <v>146</v>
      </c>
      <c r="H24" s="116">
        <v>252</v>
      </c>
    </row>
    <row r="25" spans="1:8" ht="18" customHeight="1">
      <c r="A25" s="1342" t="s">
        <v>1230</v>
      </c>
      <c r="B25" s="1343"/>
      <c r="C25" s="116">
        <v>92</v>
      </c>
      <c r="D25" s="116">
        <v>103</v>
      </c>
      <c r="E25" s="116">
        <v>24</v>
      </c>
      <c r="F25" s="116">
        <v>83</v>
      </c>
      <c r="G25" s="116">
        <v>254</v>
      </c>
      <c r="H25" s="116">
        <v>29</v>
      </c>
    </row>
    <row r="26" spans="1:8" ht="18" customHeight="1">
      <c r="A26" s="1342" t="s">
        <v>1231</v>
      </c>
      <c r="B26" s="1343"/>
      <c r="C26" s="534">
        <v>12</v>
      </c>
      <c r="D26" s="534">
        <v>7</v>
      </c>
      <c r="E26" s="116" t="s">
        <v>1509</v>
      </c>
      <c r="F26" s="116">
        <v>33</v>
      </c>
      <c r="G26" s="116" t="s">
        <v>1509</v>
      </c>
      <c r="H26" s="116" t="s">
        <v>1509</v>
      </c>
    </row>
    <row r="27" spans="1:8" ht="18" customHeight="1">
      <c r="A27" s="1342" t="s">
        <v>1232</v>
      </c>
      <c r="B27" s="1343"/>
      <c r="C27" s="610">
        <v>10</v>
      </c>
      <c r="D27" s="610">
        <v>5</v>
      </c>
      <c r="E27" s="117" t="s">
        <v>1509</v>
      </c>
      <c r="F27" s="116" t="s">
        <v>1509</v>
      </c>
      <c r="G27" s="116" t="s">
        <v>1509</v>
      </c>
      <c r="H27" s="116" t="s">
        <v>1509</v>
      </c>
    </row>
    <row r="28" spans="1:8" ht="18" customHeight="1">
      <c r="A28" s="1344" t="s">
        <v>1233</v>
      </c>
      <c r="B28" s="1345"/>
      <c r="C28" s="317">
        <f t="shared" ref="C28:H28" si="0">SUM(C16:C27)</f>
        <v>1485</v>
      </c>
      <c r="D28" s="317">
        <f t="shared" si="0"/>
        <v>1129</v>
      </c>
      <c r="E28" s="317">
        <f t="shared" si="0"/>
        <v>1440</v>
      </c>
      <c r="F28" s="276">
        <f t="shared" si="0"/>
        <v>955</v>
      </c>
      <c r="G28" s="276">
        <f t="shared" si="0"/>
        <v>1265</v>
      </c>
      <c r="H28" s="276">
        <f t="shared" si="0"/>
        <v>1292</v>
      </c>
    </row>
    <row r="29" spans="1:8">
      <c r="F29" s="847" t="s">
        <v>321</v>
      </c>
      <c r="G29" s="25" t="s">
        <v>310</v>
      </c>
      <c r="H29" s="25"/>
    </row>
    <row r="30" spans="1:8">
      <c r="F30" s="25"/>
      <c r="G30" s="25" t="s">
        <v>1037</v>
      </c>
      <c r="H30" s="25"/>
    </row>
    <row r="31" spans="1:8">
      <c r="F31" s="847"/>
      <c r="G31" s="25"/>
      <c r="H31" s="25"/>
    </row>
  </sheetData>
  <mergeCells count="27">
    <mergeCell ref="A15:B15"/>
    <mergeCell ref="A11:H11"/>
    <mergeCell ref="D13:H13"/>
    <mergeCell ref="A13:B14"/>
    <mergeCell ref="A1:H1"/>
    <mergeCell ref="A10:H10"/>
    <mergeCell ref="B4:C4"/>
    <mergeCell ref="D4:E4"/>
    <mergeCell ref="A2:H2"/>
    <mergeCell ref="A4:A5"/>
    <mergeCell ref="F4:F5"/>
    <mergeCell ref="G4:G5"/>
    <mergeCell ref="H4:H5"/>
    <mergeCell ref="E8:H8"/>
    <mergeCell ref="A22:B22"/>
    <mergeCell ref="A16:B16"/>
    <mergeCell ref="A17:B17"/>
    <mergeCell ref="A18:B18"/>
    <mergeCell ref="A19:B19"/>
    <mergeCell ref="A20:B20"/>
    <mergeCell ref="A21:B21"/>
    <mergeCell ref="A28:B28"/>
    <mergeCell ref="A23:B23"/>
    <mergeCell ref="A24:B24"/>
    <mergeCell ref="A25:B25"/>
    <mergeCell ref="A26:B26"/>
    <mergeCell ref="A27:B27"/>
  </mergeCells>
  <phoneticPr fontId="0" type="noConversion"/>
  <printOptions horizontalCentered="1" verticalCentered="1"/>
  <pageMargins left="0.1" right="0.1" top="0.28999999999999998" bottom="0.1" header="0.16" footer="0.1"/>
  <pageSetup paperSize="9" orientation="landscape" blackAndWhite="1" horizontalDpi="4294967295" verticalDpi="144" r:id="rId1"/>
  <headerFooter alignWithMargins="0"/>
</worksheet>
</file>

<file path=xl/worksheets/sheet60.xml><?xml version="1.0" encoding="utf-8"?>
<worksheet xmlns="http://schemas.openxmlformats.org/spreadsheetml/2006/main" xmlns:r="http://schemas.openxmlformats.org/officeDocument/2006/relationships">
  <sheetPr codeName="Sheet68"/>
  <dimension ref="A1:O31"/>
  <sheetViews>
    <sheetView topLeftCell="B1" workbookViewId="0">
      <selection activeCell="M5" sqref="M5"/>
    </sheetView>
  </sheetViews>
  <sheetFormatPr defaultRowHeight="12.75"/>
  <cols>
    <col min="1" max="1" width="8.5703125" customWidth="1"/>
    <col min="2" max="2" width="9.5703125" customWidth="1"/>
    <col min="3" max="3" width="10" customWidth="1"/>
    <col min="4" max="4" width="10.140625" customWidth="1"/>
    <col min="5" max="5" width="10.42578125" customWidth="1"/>
    <col min="6" max="6" width="9.85546875" customWidth="1"/>
    <col min="7" max="8" width="10.140625" customWidth="1"/>
    <col min="9" max="10" width="10" customWidth="1"/>
    <col min="11" max="11" width="10.140625" customWidth="1"/>
    <col min="12" max="12" width="9.85546875" customWidth="1"/>
    <col min="13" max="14" width="10.42578125" customWidth="1"/>
  </cols>
  <sheetData>
    <row r="1" spans="1:14" ht="12.75" customHeight="1">
      <c r="B1" s="1842" t="s">
        <v>1453</v>
      </c>
      <c r="C1" s="1842"/>
      <c r="D1" s="1842"/>
      <c r="E1" s="1842"/>
      <c r="F1" s="1842"/>
      <c r="G1" s="1842"/>
      <c r="H1" s="1842"/>
      <c r="I1" s="1842"/>
      <c r="J1" s="1842"/>
      <c r="K1" s="1842"/>
      <c r="L1" s="1842"/>
      <c r="M1" s="1842"/>
      <c r="N1" s="1842"/>
    </row>
    <row r="2" spans="1:14" ht="14.25" customHeight="1">
      <c r="A2" s="2"/>
      <c r="B2" s="1843" t="str">
        <f>CONCATENATE("                 Number of Establishments in rural and urban areas in the district of ",District!A1)</f>
        <v xml:space="preserve">                 Number of Establishments in rural and urban areas in the district of Malda</v>
      </c>
      <c r="C2" s="1843"/>
      <c r="D2" s="1843"/>
      <c r="E2" s="1843"/>
      <c r="F2" s="1843"/>
      <c r="G2" s="1843"/>
      <c r="H2" s="1843"/>
      <c r="I2" s="1843"/>
      <c r="J2" s="1843"/>
      <c r="K2" s="1843"/>
      <c r="L2" s="1843"/>
      <c r="M2" s="1843"/>
      <c r="N2" s="1843"/>
    </row>
    <row r="3" spans="1:14" s="681" customFormat="1" ht="13.5" customHeight="1">
      <c r="B3" s="1494" t="s">
        <v>472</v>
      </c>
      <c r="C3" s="1832" t="s">
        <v>614</v>
      </c>
      <c r="D3" s="1832"/>
      <c r="E3" s="1832"/>
      <c r="F3" s="1833"/>
      <c r="G3" s="1840" t="s">
        <v>615</v>
      </c>
      <c r="H3" s="1832"/>
      <c r="I3" s="1832"/>
      <c r="J3" s="1833"/>
      <c r="K3" s="1844" t="s">
        <v>1643</v>
      </c>
      <c r="L3" s="1844"/>
      <c r="M3" s="1844"/>
      <c r="N3" s="1599"/>
    </row>
    <row r="4" spans="1:14" s="682" customFormat="1" ht="15" customHeight="1">
      <c r="B4" s="1838"/>
      <c r="C4" s="1357">
        <v>2005</v>
      </c>
      <c r="D4" s="1358"/>
      <c r="E4" s="1357">
        <v>2013</v>
      </c>
      <c r="F4" s="1358"/>
      <c r="G4" s="1357">
        <v>2005</v>
      </c>
      <c r="H4" s="1358"/>
      <c r="I4" s="1357">
        <v>2013</v>
      </c>
      <c r="J4" s="1358"/>
      <c r="K4" s="1357">
        <v>2005</v>
      </c>
      <c r="L4" s="1358"/>
      <c r="M4" s="1357">
        <v>2013</v>
      </c>
      <c r="N4" s="1358"/>
    </row>
    <row r="5" spans="1:14" s="500" customFormat="1" ht="27" customHeight="1">
      <c r="B5" s="1838"/>
      <c r="C5" s="1133" t="s">
        <v>474</v>
      </c>
      <c r="D5" s="684" t="s">
        <v>475</v>
      </c>
      <c r="E5" s="1133" t="s">
        <v>474</v>
      </c>
      <c r="F5" s="684" t="s">
        <v>475</v>
      </c>
      <c r="G5" s="373" t="s">
        <v>474</v>
      </c>
      <c r="H5" s="684" t="s">
        <v>475</v>
      </c>
      <c r="I5" s="1135" t="s">
        <v>474</v>
      </c>
      <c r="J5" s="683" t="s">
        <v>475</v>
      </c>
      <c r="K5" s="1134" t="s">
        <v>474</v>
      </c>
      <c r="L5" s="684" t="s">
        <v>475</v>
      </c>
      <c r="M5" s="1135" t="s">
        <v>474</v>
      </c>
      <c r="N5" s="684" t="s">
        <v>475</v>
      </c>
    </row>
    <row r="6" spans="1:14" s="691" customFormat="1" ht="13.5" customHeight="1">
      <c r="B6" s="685" t="s">
        <v>1208</v>
      </c>
      <c r="C6" s="686" t="s">
        <v>1209</v>
      </c>
      <c r="D6" s="687" t="s">
        <v>1210</v>
      </c>
      <c r="E6" s="686" t="s">
        <v>1211</v>
      </c>
      <c r="F6" s="687" t="s">
        <v>1212</v>
      </c>
      <c r="G6" s="688" t="s">
        <v>1213</v>
      </c>
      <c r="H6" s="687" t="s">
        <v>1214</v>
      </c>
      <c r="I6" s="686" t="s">
        <v>1244</v>
      </c>
      <c r="J6" s="687" t="s">
        <v>1245</v>
      </c>
      <c r="K6" s="689" t="s">
        <v>1246</v>
      </c>
      <c r="L6" s="690" t="s">
        <v>1247</v>
      </c>
      <c r="M6" s="689" t="s">
        <v>1271</v>
      </c>
      <c r="N6" s="690" t="s">
        <v>1272</v>
      </c>
    </row>
    <row r="7" spans="1:14" ht="18" customHeight="1">
      <c r="B7" s="180" t="s">
        <v>1268</v>
      </c>
      <c r="C7" s="80">
        <v>6809</v>
      </c>
      <c r="D7" s="114">
        <v>40266</v>
      </c>
      <c r="E7" s="80">
        <v>1430</v>
      </c>
      <c r="F7" s="114">
        <v>17612</v>
      </c>
      <c r="G7" s="80">
        <v>21369</v>
      </c>
      <c r="H7" s="114">
        <v>110449</v>
      </c>
      <c r="I7" s="80">
        <v>39082</v>
      </c>
      <c r="J7" s="114">
        <v>180267</v>
      </c>
      <c r="K7" s="41">
        <f t="shared" ref="K7:N8" si="0">SUM(C7,G7)</f>
        <v>28178</v>
      </c>
      <c r="L7" s="98">
        <f t="shared" si="0"/>
        <v>150715</v>
      </c>
      <c r="M7" s="41">
        <f t="shared" si="0"/>
        <v>40512</v>
      </c>
      <c r="N7" s="98">
        <f t="shared" si="0"/>
        <v>197879</v>
      </c>
    </row>
    <row r="8" spans="1:14" ht="18" customHeight="1">
      <c r="B8" s="180" t="s">
        <v>1267</v>
      </c>
      <c r="C8" s="80">
        <v>92</v>
      </c>
      <c r="D8" s="114">
        <v>5660</v>
      </c>
      <c r="E8" s="80">
        <v>163</v>
      </c>
      <c r="F8" s="114">
        <v>10321</v>
      </c>
      <c r="G8" s="80">
        <v>372</v>
      </c>
      <c r="H8" s="114">
        <v>14205</v>
      </c>
      <c r="I8" s="80">
        <v>2687</v>
      </c>
      <c r="J8" s="114">
        <v>55974</v>
      </c>
      <c r="K8" s="41">
        <f t="shared" si="0"/>
        <v>464</v>
      </c>
      <c r="L8" s="98">
        <f t="shared" si="0"/>
        <v>19865</v>
      </c>
      <c r="M8" s="41">
        <f t="shared" si="0"/>
        <v>2850</v>
      </c>
      <c r="N8" s="98">
        <f t="shared" si="0"/>
        <v>66295</v>
      </c>
    </row>
    <row r="9" spans="1:14" ht="18" customHeight="1">
      <c r="B9" s="252" t="s">
        <v>1233</v>
      </c>
      <c r="C9" s="29">
        <f t="shared" ref="C9:N9" si="1">SUM(C7:C8)</f>
        <v>6901</v>
      </c>
      <c r="D9" s="94">
        <f t="shared" si="1"/>
        <v>45926</v>
      </c>
      <c r="E9" s="29">
        <f t="shared" si="1"/>
        <v>1593</v>
      </c>
      <c r="F9" s="94">
        <f t="shared" si="1"/>
        <v>27933</v>
      </c>
      <c r="G9" s="29">
        <f t="shared" si="1"/>
        <v>21741</v>
      </c>
      <c r="H9" s="29">
        <f t="shared" si="1"/>
        <v>124654</v>
      </c>
      <c r="I9" s="127">
        <f t="shared" si="1"/>
        <v>41769</v>
      </c>
      <c r="J9" s="94">
        <f t="shared" si="1"/>
        <v>236241</v>
      </c>
      <c r="K9" s="29">
        <f t="shared" si="1"/>
        <v>28642</v>
      </c>
      <c r="L9" s="94">
        <f t="shared" si="1"/>
        <v>170580</v>
      </c>
      <c r="M9" s="29">
        <f t="shared" si="1"/>
        <v>43362</v>
      </c>
      <c r="N9" s="94">
        <f t="shared" si="1"/>
        <v>264174</v>
      </c>
    </row>
    <row r="10" spans="1:14">
      <c r="K10" s="692"/>
      <c r="L10" s="692"/>
      <c r="M10" s="692"/>
      <c r="N10" s="988" t="s">
        <v>755</v>
      </c>
    </row>
    <row r="11" spans="1:14">
      <c r="K11" s="692"/>
      <c r="L11" s="692"/>
      <c r="M11" s="692"/>
      <c r="N11" s="693"/>
    </row>
    <row r="12" spans="1:14">
      <c r="B12" s="1842" t="s">
        <v>1237</v>
      </c>
      <c r="C12" s="1842"/>
      <c r="D12" s="1842"/>
      <c r="E12" s="1842"/>
      <c r="F12" s="1842"/>
      <c r="G12" s="1842"/>
      <c r="H12" s="1842"/>
      <c r="I12" s="1842"/>
      <c r="J12" s="1842"/>
      <c r="K12" s="1842"/>
      <c r="L12" s="1842"/>
      <c r="M12" s="1842"/>
      <c r="N12" s="1842"/>
    </row>
    <row r="13" spans="1:14" ht="14.25" customHeight="1">
      <c r="B13" s="1850" t="str">
        <f>CONCATENATE("Number of Persons usually working in rural and urban Establishments in the district of ",District!A1)</f>
        <v>Number of Persons usually working in rural and urban Establishments in the district of Malda</v>
      </c>
      <c r="C13" s="1850"/>
      <c r="D13" s="1850"/>
      <c r="E13" s="1850"/>
      <c r="F13" s="1850"/>
      <c r="G13" s="1850"/>
      <c r="H13" s="1850"/>
      <c r="I13" s="1850"/>
      <c r="J13" s="1850"/>
      <c r="K13" s="1850"/>
      <c r="L13" s="1850"/>
      <c r="M13" s="1850"/>
      <c r="N13" s="1850"/>
    </row>
    <row r="14" spans="1:14" s="682" customFormat="1" ht="16.5" customHeight="1">
      <c r="B14" s="1494" t="s">
        <v>472</v>
      </c>
      <c r="C14" s="1832" t="s">
        <v>614</v>
      </c>
      <c r="D14" s="1832"/>
      <c r="E14" s="1832"/>
      <c r="F14" s="1833"/>
      <c r="G14" s="1840" t="s">
        <v>615</v>
      </c>
      <c r="H14" s="1832"/>
      <c r="I14" s="1832"/>
      <c r="J14" s="1833"/>
      <c r="K14" s="1844" t="s">
        <v>1643</v>
      </c>
      <c r="L14" s="1844"/>
      <c r="M14" s="1844"/>
      <c r="N14" s="1599"/>
    </row>
    <row r="15" spans="1:14" s="682" customFormat="1" ht="15" customHeight="1">
      <c r="B15" s="1838"/>
      <c r="C15" s="1357">
        <v>2005</v>
      </c>
      <c r="D15" s="1358"/>
      <c r="E15" s="1357">
        <v>2013</v>
      </c>
      <c r="F15" s="1358"/>
      <c r="G15" s="1357">
        <v>2005</v>
      </c>
      <c r="H15" s="1358"/>
      <c r="I15" s="1357">
        <v>2013</v>
      </c>
      <c r="J15" s="1358"/>
      <c r="K15" s="1357">
        <v>2005</v>
      </c>
      <c r="L15" s="1358"/>
      <c r="M15" s="1357">
        <v>2013</v>
      </c>
      <c r="N15" s="1358"/>
    </row>
    <row r="16" spans="1:14" s="500" customFormat="1" ht="29.25" customHeight="1">
      <c r="B16" s="1838"/>
      <c r="C16" s="1135" t="s">
        <v>474</v>
      </c>
      <c r="D16" s="684" t="s">
        <v>428</v>
      </c>
      <c r="E16" s="1135" t="s">
        <v>474</v>
      </c>
      <c r="F16" s="684" t="s">
        <v>428</v>
      </c>
      <c r="G16" s="1134" t="s">
        <v>474</v>
      </c>
      <c r="H16" s="684" t="s">
        <v>428</v>
      </c>
      <c r="I16" s="1135" t="s">
        <v>474</v>
      </c>
      <c r="J16" s="683" t="s">
        <v>428</v>
      </c>
      <c r="K16" s="1134" t="s">
        <v>474</v>
      </c>
      <c r="L16" s="684" t="s">
        <v>428</v>
      </c>
      <c r="M16" s="1135" t="s">
        <v>474</v>
      </c>
      <c r="N16" s="684" t="s">
        <v>428</v>
      </c>
    </row>
    <row r="17" spans="2:15" s="691" customFormat="1" ht="16.5" customHeight="1">
      <c r="B17" s="685" t="s">
        <v>1208</v>
      </c>
      <c r="C17" s="686" t="s">
        <v>1209</v>
      </c>
      <c r="D17" s="687" t="s">
        <v>1210</v>
      </c>
      <c r="E17" s="686" t="s">
        <v>1211</v>
      </c>
      <c r="F17" s="687" t="s">
        <v>1212</v>
      </c>
      <c r="G17" s="688" t="s">
        <v>1213</v>
      </c>
      <c r="H17" s="687" t="s">
        <v>1214</v>
      </c>
      <c r="I17" s="686" t="s">
        <v>1244</v>
      </c>
      <c r="J17" s="687" t="s">
        <v>1245</v>
      </c>
      <c r="K17" s="689" t="s">
        <v>1246</v>
      </c>
      <c r="L17" s="690" t="s">
        <v>1247</v>
      </c>
      <c r="M17" s="689" t="s">
        <v>1271</v>
      </c>
      <c r="N17" s="690" t="s">
        <v>1272</v>
      </c>
    </row>
    <row r="18" spans="2:15" ht="18" customHeight="1">
      <c r="B18" s="180" t="s">
        <v>1268</v>
      </c>
      <c r="C18" s="80">
        <v>29811</v>
      </c>
      <c r="D18" s="114">
        <v>150999</v>
      </c>
      <c r="E18" s="80">
        <v>4943</v>
      </c>
      <c r="F18" s="114">
        <v>75689</v>
      </c>
      <c r="G18" s="80">
        <v>29811</v>
      </c>
      <c r="H18" s="114">
        <v>150999</v>
      </c>
      <c r="I18" s="80">
        <v>52381</v>
      </c>
      <c r="J18" s="114">
        <v>259450</v>
      </c>
      <c r="K18" s="41">
        <f t="shared" ref="K18:N19" si="2">SUM(C18,G18)</f>
        <v>59622</v>
      </c>
      <c r="L18" s="98">
        <f t="shared" si="2"/>
        <v>301998</v>
      </c>
      <c r="M18" s="41">
        <f t="shared" si="2"/>
        <v>57324</v>
      </c>
      <c r="N18" s="98">
        <f t="shared" si="2"/>
        <v>335139</v>
      </c>
    </row>
    <row r="19" spans="2:15" ht="18" customHeight="1">
      <c r="B19" s="180" t="s">
        <v>1267</v>
      </c>
      <c r="C19" s="80">
        <v>288</v>
      </c>
      <c r="D19" s="114">
        <v>32481</v>
      </c>
      <c r="E19" s="80">
        <v>581</v>
      </c>
      <c r="F19" s="114">
        <v>38497</v>
      </c>
      <c r="G19" s="80">
        <v>288</v>
      </c>
      <c r="H19" s="114">
        <v>32481</v>
      </c>
      <c r="I19" s="80">
        <v>3412</v>
      </c>
      <c r="J19" s="114">
        <v>70599</v>
      </c>
      <c r="K19" s="41">
        <f t="shared" si="2"/>
        <v>576</v>
      </c>
      <c r="L19" s="98">
        <f t="shared" si="2"/>
        <v>64962</v>
      </c>
      <c r="M19" s="41">
        <f t="shared" si="2"/>
        <v>3993</v>
      </c>
      <c r="N19" s="98">
        <f t="shared" si="2"/>
        <v>109096</v>
      </c>
    </row>
    <row r="20" spans="2:15" ht="18" customHeight="1">
      <c r="B20" s="252" t="s">
        <v>1233</v>
      </c>
      <c r="C20" s="29">
        <f>SUM(C18:C19)</f>
        <v>30099</v>
      </c>
      <c r="D20" s="94">
        <f>SUM(D18:D19)</f>
        <v>183480</v>
      </c>
      <c r="E20" s="29">
        <f t="shared" ref="E20:N20" si="3">SUM(E18:E19)</f>
        <v>5524</v>
      </c>
      <c r="F20" s="94">
        <f t="shared" si="3"/>
        <v>114186</v>
      </c>
      <c r="G20" s="29">
        <f t="shared" si="3"/>
        <v>30099</v>
      </c>
      <c r="H20" s="94">
        <f t="shared" si="3"/>
        <v>183480</v>
      </c>
      <c r="I20" s="29">
        <f>SUM(I18:I19)</f>
        <v>55793</v>
      </c>
      <c r="J20" s="94">
        <f>SUM(J18:J19)</f>
        <v>330049</v>
      </c>
      <c r="K20" s="29">
        <f t="shared" si="3"/>
        <v>60198</v>
      </c>
      <c r="L20" s="94">
        <f t="shared" si="3"/>
        <v>366960</v>
      </c>
      <c r="M20" s="29">
        <f t="shared" si="3"/>
        <v>61317</v>
      </c>
      <c r="N20" s="94">
        <f t="shared" si="3"/>
        <v>444235</v>
      </c>
    </row>
    <row r="21" spans="2:15">
      <c r="K21" s="682"/>
      <c r="L21" s="692"/>
      <c r="M21" s="692"/>
      <c r="N21" s="988" t="s">
        <v>755</v>
      </c>
      <c r="O21" s="682"/>
    </row>
    <row r="22" spans="2:15">
      <c r="K22" s="682"/>
      <c r="L22" s="692"/>
      <c r="M22" s="692"/>
      <c r="N22" s="693"/>
      <c r="O22" s="682"/>
    </row>
    <row r="23" spans="2:15">
      <c r="C23" s="1842" t="s">
        <v>1454</v>
      </c>
      <c r="D23" s="1842"/>
      <c r="E23" s="1842"/>
      <c r="F23" s="1842"/>
      <c r="G23" s="1842"/>
      <c r="H23" s="1842"/>
      <c r="I23" s="1842"/>
      <c r="J23" s="1842"/>
      <c r="K23" s="1842"/>
      <c r="L23" s="1842"/>
      <c r="M23" s="1842"/>
      <c r="N23" s="694"/>
      <c r="O23" s="682"/>
    </row>
    <row r="24" spans="2:15" ht="30.75" customHeight="1">
      <c r="C24" s="1841" t="str">
        <f>CONCATENATE("Percentage of Hired Workers and Females employed in Non-agricultural Establishments 
in the district of ",District!A1)</f>
        <v>Percentage of Hired Workers and Females employed in Non-agricultural Establishments 
in the district of Malda</v>
      </c>
      <c r="D24" s="1841"/>
      <c r="E24" s="1841"/>
      <c r="F24" s="1841"/>
      <c r="G24" s="1841"/>
      <c r="H24" s="1841"/>
      <c r="I24" s="1841"/>
      <c r="J24" s="1841"/>
      <c r="K24" s="1841"/>
      <c r="L24" s="1841"/>
      <c r="M24" s="1841"/>
    </row>
    <row r="25" spans="2:15" ht="15" customHeight="1">
      <c r="C25" s="1498" t="s">
        <v>472</v>
      </c>
      <c r="D25" s="1845"/>
      <c r="E25" s="1846"/>
      <c r="F25" s="1840" t="s">
        <v>1631</v>
      </c>
      <c r="G25" s="1832"/>
      <c r="H25" s="1832"/>
      <c r="I25" s="1833"/>
      <c r="J25" s="1840" t="s">
        <v>477</v>
      </c>
      <c r="K25" s="1832"/>
      <c r="L25" s="1832"/>
      <c r="M25" s="1833"/>
    </row>
    <row r="26" spans="2:15" ht="15" customHeight="1">
      <c r="C26" s="1847"/>
      <c r="D26" s="1848"/>
      <c r="E26" s="1849"/>
      <c r="F26" s="1357">
        <v>2005</v>
      </c>
      <c r="G26" s="1358"/>
      <c r="H26" s="1357">
        <v>2013</v>
      </c>
      <c r="I26" s="1358"/>
      <c r="J26" s="1357">
        <v>2005</v>
      </c>
      <c r="K26" s="1358"/>
      <c r="L26" s="1357">
        <v>2013</v>
      </c>
      <c r="M26" s="1358"/>
    </row>
    <row r="27" spans="2:15" ht="15" customHeight="1">
      <c r="C27" s="1834" t="s">
        <v>1208</v>
      </c>
      <c r="D27" s="1839"/>
      <c r="E27" s="1835"/>
      <c r="F27" s="1834" t="s">
        <v>1209</v>
      </c>
      <c r="G27" s="1839"/>
      <c r="H27" s="1834" t="s">
        <v>1210</v>
      </c>
      <c r="I27" s="1835"/>
      <c r="J27" s="1834" t="s">
        <v>1211</v>
      </c>
      <c r="K27" s="1839"/>
      <c r="L27" s="1834" t="s">
        <v>1212</v>
      </c>
      <c r="M27" s="1835"/>
    </row>
    <row r="28" spans="2:15" ht="18" customHeight="1">
      <c r="C28" s="1342" t="s">
        <v>1268</v>
      </c>
      <c r="D28" s="1736"/>
      <c r="E28" s="1343"/>
      <c r="F28" s="1413">
        <v>41.05</v>
      </c>
      <c r="G28" s="1414"/>
      <c r="H28" s="1413">
        <v>15.64</v>
      </c>
      <c r="I28" s="1414"/>
      <c r="J28" s="1836">
        <v>25.49</v>
      </c>
      <c r="K28" s="1837"/>
      <c r="L28" s="1836">
        <v>39.49</v>
      </c>
      <c r="M28" s="1837"/>
    </row>
    <row r="29" spans="2:15" ht="18" customHeight="1">
      <c r="C29" s="1342" t="s">
        <v>1267</v>
      </c>
      <c r="D29" s="1736"/>
      <c r="E29" s="1343"/>
      <c r="F29" s="1413">
        <v>55.38</v>
      </c>
      <c r="G29" s="1414"/>
      <c r="H29" s="1413">
        <v>24.95</v>
      </c>
      <c r="I29" s="1414"/>
      <c r="J29" s="1767">
        <v>11.48</v>
      </c>
      <c r="K29" s="1744"/>
      <c r="L29" s="1767">
        <v>25.22</v>
      </c>
      <c r="M29" s="1744"/>
    </row>
    <row r="30" spans="2:15" ht="18" customHeight="1">
      <c r="C30" s="1730" t="s">
        <v>1233</v>
      </c>
      <c r="D30" s="1740"/>
      <c r="E30" s="1731"/>
      <c r="F30" s="1480">
        <v>43.04</v>
      </c>
      <c r="G30" s="1647"/>
      <c r="H30" s="1480">
        <v>17.93</v>
      </c>
      <c r="I30" s="1647"/>
      <c r="J30" s="1481">
        <v>23.55</v>
      </c>
      <c r="K30" s="1647"/>
      <c r="L30" s="1481">
        <v>35.99</v>
      </c>
      <c r="M30" s="1647"/>
    </row>
    <row r="31" spans="2:15">
      <c r="D31" s="682"/>
      <c r="E31" s="682"/>
      <c r="J31" s="692"/>
      <c r="K31" s="692"/>
      <c r="L31" s="692"/>
      <c r="M31" s="988" t="s">
        <v>755</v>
      </c>
    </row>
  </sheetData>
  <mergeCells count="53">
    <mergeCell ref="F29:G29"/>
    <mergeCell ref="F28:G28"/>
    <mergeCell ref="I4:J4"/>
    <mergeCell ref="J26:K26"/>
    <mergeCell ref="J28:K28"/>
    <mergeCell ref="J29:K29"/>
    <mergeCell ref="C28:E28"/>
    <mergeCell ref="J25:M25"/>
    <mergeCell ref="H27:I27"/>
    <mergeCell ref="E4:F4"/>
    <mergeCell ref="B13:N13"/>
    <mergeCell ref="K15:L15"/>
    <mergeCell ref="C4:D4"/>
    <mergeCell ref="C14:F14"/>
    <mergeCell ref="G4:H4"/>
    <mergeCell ref="B3:B5"/>
    <mergeCell ref="C30:E30"/>
    <mergeCell ref="H30:I30"/>
    <mergeCell ref="G14:J14"/>
    <mergeCell ref="G15:H15"/>
    <mergeCell ref="C25:E26"/>
    <mergeCell ref="J27:K27"/>
    <mergeCell ref="C29:E29"/>
    <mergeCell ref="F26:G26"/>
    <mergeCell ref="I15:J15"/>
    <mergeCell ref="H28:I28"/>
    <mergeCell ref="B1:N1"/>
    <mergeCell ref="B12:N12"/>
    <mergeCell ref="C23:M23"/>
    <mergeCell ref="B2:N2"/>
    <mergeCell ref="K14:N14"/>
    <mergeCell ref="C15:D15"/>
    <mergeCell ref="G3:J3"/>
    <mergeCell ref="M15:N15"/>
    <mergeCell ref="K3:N3"/>
    <mergeCell ref="K4:L4"/>
    <mergeCell ref="B14:B16"/>
    <mergeCell ref="E15:F15"/>
    <mergeCell ref="C27:E27"/>
    <mergeCell ref="F27:G27"/>
    <mergeCell ref="F25:I25"/>
    <mergeCell ref="C24:M24"/>
    <mergeCell ref="H26:I26"/>
    <mergeCell ref="M4:N4"/>
    <mergeCell ref="C3:F3"/>
    <mergeCell ref="L30:M30"/>
    <mergeCell ref="L26:M26"/>
    <mergeCell ref="F30:G30"/>
    <mergeCell ref="L27:M27"/>
    <mergeCell ref="H29:I29"/>
    <mergeCell ref="J30:K30"/>
    <mergeCell ref="L28:M28"/>
    <mergeCell ref="L29:M29"/>
  </mergeCells>
  <phoneticPr fontId="0" type="noConversion"/>
  <pageMargins left="0.1" right="0.1" top="0.71" bottom="0.1" header="0.5" footer="0.1"/>
  <pageSetup paperSize="9" orientation="landscape" blackAndWhite="1" horizontalDpi="4294967295" r:id="rId1"/>
  <headerFooter alignWithMargins="0"/>
</worksheet>
</file>

<file path=xl/worksheets/sheet61.xml><?xml version="1.0" encoding="utf-8"?>
<worksheet xmlns="http://schemas.openxmlformats.org/spreadsheetml/2006/main" xmlns:r="http://schemas.openxmlformats.org/officeDocument/2006/relationships">
  <sheetPr codeName="Sheet74"/>
  <dimension ref="A1:F27"/>
  <sheetViews>
    <sheetView workbookViewId="0">
      <selection activeCell="M5" sqref="M5"/>
    </sheetView>
  </sheetViews>
  <sheetFormatPr defaultRowHeight="12.75"/>
  <cols>
    <col min="1" max="1" width="19.7109375" customWidth="1"/>
    <col min="2" max="6" width="13.42578125" customWidth="1"/>
  </cols>
  <sheetData>
    <row r="1" spans="1:6" ht="14.25" customHeight="1">
      <c r="A1" s="1363" t="s">
        <v>1456</v>
      </c>
      <c r="B1" s="1363"/>
      <c r="C1" s="1363"/>
      <c r="D1" s="1363"/>
      <c r="E1" s="1363"/>
      <c r="F1" s="1363"/>
    </row>
    <row r="2" spans="1:6" ht="35.25" customHeight="1">
      <c r="A2" s="1373" t="str">
        <f>CONCATENATE(" Applicants on the Live-register of Employment Exchanges 
in the district of ",District!A1," by main occupational group")</f>
        <v xml:space="preserve"> Applicants on the Live-register of Employment Exchanges 
in the district of Malda by main occupational group</v>
      </c>
      <c r="B2" s="1373"/>
      <c r="C2" s="1373"/>
      <c r="D2" s="1373"/>
      <c r="E2" s="1373"/>
      <c r="F2" s="1373"/>
    </row>
    <row r="3" spans="1:6" ht="13.5" customHeight="1">
      <c r="B3" s="23"/>
      <c r="C3" s="23"/>
      <c r="D3" s="23"/>
      <c r="E3" s="23"/>
      <c r="F3" s="265" t="s">
        <v>1253</v>
      </c>
    </row>
    <row r="4" spans="1:6" ht="25.5" customHeight="1">
      <c r="A4" s="1076" t="s">
        <v>478</v>
      </c>
      <c r="B4" s="730">
        <f>District!A9</f>
        <v>2010</v>
      </c>
      <c r="C4" s="730">
        <f>District!B9</f>
        <v>2011</v>
      </c>
      <c r="D4" s="730">
        <f>District!C9</f>
        <v>2012</v>
      </c>
      <c r="E4" s="730">
        <f>District!D9</f>
        <v>2013</v>
      </c>
      <c r="F4" s="730">
        <f>District!E9</f>
        <v>2014</v>
      </c>
    </row>
    <row r="5" spans="1:6" ht="19.5" customHeight="1">
      <c r="A5" s="218" t="s">
        <v>1208</v>
      </c>
      <c r="B5" s="151" t="s">
        <v>1209</v>
      </c>
      <c r="C5" s="156" t="s">
        <v>1210</v>
      </c>
      <c r="D5" s="152" t="s">
        <v>1211</v>
      </c>
      <c r="E5" s="151" t="s">
        <v>1212</v>
      </c>
      <c r="F5" s="151" t="s">
        <v>1213</v>
      </c>
    </row>
    <row r="6" spans="1:6" ht="33" customHeight="1">
      <c r="A6" s="168" t="s">
        <v>1100</v>
      </c>
      <c r="B6" s="116">
        <v>6274</v>
      </c>
      <c r="C6" s="98">
        <v>6547</v>
      </c>
      <c r="D6" s="98">
        <v>6821</v>
      </c>
      <c r="E6" s="98">
        <v>7214</v>
      </c>
      <c r="F6" s="98">
        <v>7466</v>
      </c>
    </row>
    <row r="7" spans="1:6" ht="33" customHeight="1">
      <c r="A7" s="168" t="s">
        <v>1006</v>
      </c>
      <c r="B7" s="116">
        <v>7637</v>
      </c>
      <c r="C7" s="98">
        <v>7959</v>
      </c>
      <c r="D7" s="98">
        <v>8406</v>
      </c>
      <c r="E7" s="98">
        <v>8900</v>
      </c>
      <c r="F7" s="98">
        <v>9278</v>
      </c>
    </row>
    <row r="8" spans="1:6" ht="33" customHeight="1">
      <c r="A8" s="168" t="s">
        <v>479</v>
      </c>
      <c r="B8" s="116">
        <v>60195</v>
      </c>
      <c r="C8" s="98">
        <v>62866</v>
      </c>
      <c r="D8" s="98">
        <v>66016</v>
      </c>
      <c r="E8" s="98">
        <v>69795</v>
      </c>
      <c r="F8" s="98">
        <v>71926</v>
      </c>
    </row>
    <row r="9" spans="1:6" ht="33" customHeight="1">
      <c r="A9" s="787" t="s">
        <v>480</v>
      </c>
      <c r="B9" s="116">
        <v>5018</v>
      </c>
      <c r="C9" s="98">
        <v>5153</v>
      </c>
      <c r="D9" s="98">
        <v>5305</v>
      </c>
      <c r="E9" s="98">
        <v>5615</v>
      </c>
      <c r="F9" s="98">
        <v>5833</v>
      </c>
    </row>
    <row r="10" spans="1:6" ht="33" customHeight="1">
      <c r="A10" s="168" t="s">
        <v>415</v>
      </c>
      <c r="B10" s="116">
        <v>2541</v>
      </c>
      <c r="C10" s="98">
        <v>2669</v>
      </c>
      <c r="D10" s="98">
        <v>2809</v>
      </c>
      <c r="E10" s="98">
        <v>2970</v>
      </c>
      <c r="F10" s="98">
        <v>3064</v>
      </c>
    </row>
    <row r="11" spans="1:6" ht="33" customHeight="1">
      <c r="A11" s="168" t="s">
        <v>481</v>
      </c>
      <c r="B11" s="116">
        <v>66001</v>
      </c>
      <c r="C11" s="98">
        <v>68760</v>
      </c>
      <c r="D11" s="98">
        <v>72015</v>
      </c>
      <c r="E11" s="98">
        <v>76241</v>
      </c>
      <c r="F11" s="98">
        <v>79444</v>
      </c>
    </row>
    <row r="12" spans="1:6" ht="33" customHeight="1">
      <c r="A12" s="364" t="s">
        <v>1526</v>
      </c>
      <c r="B12" s="116">
        <v>87671</v>
      </c>
      <c r="C12" s="98">
        <v>91207</v>
      </c>
      <c r="D12" s="98">
        <v>95010</v>
      </c>
      <c r="E12" s="98">
        <v>100670</v>
      </c>
      <c r="F12" s="98">
        <v>105626</v>
      </c>
    </row>
    <row r="13" spans="1:6" ht="24.95" customHeight="1">
      <c r="A13" s="212" t="s">
        <v>482</v>
      </c>
      <c r="B13" s="276">
        <f>SUM(B6:B12)</f>
        <v>235337</v>
      </c>
      <c r="C13" s="183">
        <f>SUM(C6:C12)</f>
        <v>245161</v>
      </c>
      <c r="D13" s="183">
        <f>SUM(D6:D12)</f>
        <v>256382</v>
      </c>
      <c r="E13" s="183">
        <f>SUM(E6:E12)</f>
        <v>271405</v>
      </c>
      <c r="F13" s="183">
        <f>SUM(F6:F12)</f>
        <v>282637</v>
      </c>
    </row>
    <row r="14" spans="1:6" ht="12.75" customHeight="1">
      <c r="A14" s="21"/>
      <c r="B14" s="7"/>
      <c r="C14" s="7"/>
      <c r="D14" s="7"/>
      <c r="F14" s="900" t="s">
        <v>327</v>
      </c>
    </row>
    <row r="15" spans="1:6" ht="18" customHeight="1">
      <c r="A15" s="21"/>
      <c r="B15" s="7"/>
      <c r="C15" s="7"/>
      <c r="D15" s="43"/>
      <c r="F15" s="7"/>
    </row>
    <row r="16" spans="1:6" ht="18" customHeight="1">
      <c r="B16" s="7"/>
      <c r="C16" s="7"/>
      <c r="D16" s="43"/>
      <c r="F16" s="7"/>
    </row>
    <row r="17" spans="1:6" ht="18.75" customHeight="1">
      <c r="A17" s="1363" t="s">
        <v>1455</v>
      </c>
      <c r="B17" s="1363"/>
      <c r="C17" s="1363"/>
      <c r="D17" s="1363"/>
      <c r="E17" s="1363"/>
      <c r="F17" s="1363"/>
    </row>
    <row r="18" spans="1:6" ht="34.5" customHeight="1">
      <c r="A18" s="1373" t="str">
        <f>CONCATENATE("Registration and Placement effected by Employment Exchanges 
in the district of ",District!A1)</f>
        <v>Registration and Placement effected by Employment Exchanges 
in the district of Malda</v>
      </c>
      <c r="B18" s="1373"/>
      <c r="C18" s="1373"/>
      <c r="D18" s="1373"/>
      <c r="E18" s="1373"/>
      <c r="F18" s="1373"/>
    </row>
    <row r="19" spans="1:6" ht="18" customHeight="1">
      <c r="B19" s="23"/>
      <c r="C19" s="23"/>
      <c r="D19" s="23"/>
      <c r="E19" s="23"/>
      <c r="F19" s="265" t="s">
        <v>1253</v>
      </c>
    </row>
    <row r="20" spans="1:6" ht="24" customHeight="1">
      <c r="A20" s="240" t="s">
        <v>206</v>
      </c>
      <c r="B20" s="730">
        <f>District!A9</f>
        <v>2010</v>
      </c>
      <c r="C20" s="730">
        <f>District!B9</f>
        <v>2011</v>
      </c>
      <c r="D20" s="730">
        <f>District!C9</f>
        <v>2012</v>
      </c>
      <c r="E20" s="730">
        <f>District!D9</f>
        <v>2013</v>
      </c>
      <c r="F20" s="730">
        <f>District!E9</f>
        <v>2014</v>
      </c>
    </row>
    <row r="21" spans="1:6" ht="24.75" customHeight="1">
      <c r="A21" s="151" t="s">
        <v>1208</v>
      </c>
      <c r="B21" s="151" t="s">
        <v>1209</v>
      </c>
      <c r="C21" s="151" t="s">
        <v>1210</v>
      </c>
      <c r="D21" s="219" t="s">
        <v>1211</v>
      </c>
      <c r="E21" s="99" t="s">
        <v>1212</v>
      </c>
      <c r="F21" s="153" t="s">
        <v>1213</v>
      </c>
    </row>
    <row r="22" spans="1:6" ht="41.25" customHeight="1">
      <c r="A22" s="444" t="s">
        <v>483</v>
      </c>
      <c r="B22" s="116">
        <v>13294</v>
      </c>
      <c r="C22" s="98">
        <v>10145</v>
      </c>
      <c r="D22" s="98">
        <v>11664</v>
      </c>
      <c r="E22" s="98">
        <v>18382</v>
      </c>
      <c r="F22" s="98">
        <v>15535</v>
      </c>
    </row>
    <row r="23" spans="1:6" ht="41.25" customHeight="1">
      <c r="A23" s="444" t="s">
        <v>484</v>
      </c>
      <c r="B23" s="116">
        <v>77</v>
      </c>
      <c r="C23" s="98">
        <v>28</v>
      </c>
      <c r="D23" s="98" t="s">
        <v>1509</v>
      </c>
      <c r="E23" s="98" t="s">
        <v>1509</v>
      </c>
      <c r="F23" s="98" t="s">
        <v>1509</v>
      </c>
    </row>
    <row r="24" spans="1:6" ht="41.25" customHeight="1">
      <c r="A24" s="444" t="s">
        <v>485</v>
      </c>
      <c r="B24" s="116">
        <v>25</v>
      </c>
      <c r="C24" s="98">
        <v>122</v>
      </c>
      <c r="D24" s="98">
        <v>44</v>
      </c>
      <c r="E24" s="98">
        <v>30</v>
      </c>
      <c r="F24" s="98">
        <v>15</v>
      </c>
    </row>
    <row r="25" spans="1:6" ht="41.25" customHeight="1">
      <c r="A25" s="823" t="s">
        <v>592</v>
      </c>
      <c r="B25" s="677">
        <f>B13</f>
        <v>235337</v>
      </c>
      <c r="C25" s="256">
        <f>C13</f>
        <v>245161</v>
      </c>
      <c r="D25" s="254">
        <f>D13</f>
        <v>256382</v>
      </c>
      <c r="E25" s="254">
        <f>E13</f>
        <v>271405</v>
      </c>
      <c r="F25" s="254">
        <f>F13</f>
        <v>282637</v>
      </c>
    </row>
    <row r="26" spans="1:6">
      <c r="A26" s="21"/>
      <c r="B26" s="7"/>
      <c r="C26" s="7"/>
      <c r="D26" s="7"/>
      <c r="F26" s="900" t="s">
        <v>327</v>
      </c>
    </row>
    <row r="27" spans="1:6">
      <c r="A27" s="21"/>
      <c r="B27" s="7"/>
      <c r="C27" s="7"/>
      <c r="D27" s="43"/>
      <c r="F27" s="7"/>
    </row>
  </sheetData>
  <mergeCells count="4">
    <mergeCell ref="A17:F17"/>
    <mergeCell ref="A18:F18"/>
    <mergeCell ref="A1:F1"/>
    <mergeCell ref="A2:F2"/>
  </mergeCells>
  <phoneticPr fontId="0" type="noConversion"/>
  <printOptions horizontalCentered="1"/>
  <pageMargins left="0.1" right="0.1" top="0.87" bottom="0.1" header="0.7" footer="0.1"/>
  <pageSetup paperSize="9" orientation="portrait" blackAndWhite="1" horizontalDpi="4294967295" r:id="rId1"/>
  <headerFooter alignWithMargins="0"/>
</worksheet>
</file>

<file path=xl/worksheets/sheet62.xml><?xml version="1.0" encoding="utf-8"?>
<worksheet xmlns="http://schemas.openxmlformats.org/spreadsheetml/2006/main" xmlns:r="http://schemas.openxmlformats.org/officeDocument/2006/relationships">
  <sheetPr codeName="Sheet44"/>
  <dimension ref="A1:G53"/>
  <sheetViews>
    <sheetView workbookViewId="0">
      <selection activeCell="L11" sqref="L11"/>
    </sheetView>
  </sheetViews>
  <sheetFormatPr defaultRowHeight="12.4" customHeight="1"/>
  <cols>
    <col min="1" max="1" width="23.28515625" customWidth="1"/>
    <col min="2" max="2" width="15" customWidth="1"/>
    <col min="3" max="3" width="16" customWidth="1"/>
    <col min="4" max="4" width="16.140625" customWidth="1"/>
    <col min="5" max="5" width="17.140625" customWidth="1"/>
    <col min="6" max="6" width="17.42578125" customWidth="1"/>
    <col min="7" max="7" width="17" customWidth="1"/>
  </cols>
  <sheetData>
    <row r="1" spans="1:7" ht="12.4" customHeight="1">
      <c r="A1" s="1363" t="s">
        <v>1464</v>
      </c>
      <c r="B1" s="1363"/>
      <c r="C1" s="1363"/>
      <c r="D1" s="1363"/>
      <c r="E1" s="1363"/>
      <c r="F1" s="1363"/>
      <c r="G1" s="1363"/>
    </row>
    <row r="2" spans="1:7" ht="20.25" customHeight="1">
      <c r="A2" s="1534" t="str">
        <f>CONCATENATE("Assistance to Old-aged Persons, Widows and Handicapped in the district of ",District!A1)</f>
        <v>Assistance to Old-aged Persons, Widows and Handicapped in the district of Malda</v>
      </c>
      <c r="B2" s="1534"/>
      <c r="C2" s="1534"/>
      <c r="D2" s="1534"/>
      <c r="E2" s="1534"/>
      <c r="F2" s="1534"/>
      <c r="G2" s="1534"/>
    </row>
    <row r="3" spans="1:7" ht="14.25" customHeight="1">
      <c r="A3" s="1852" t="s">
        <v>1089</v>
      </c>
      <c r="B3" s="1391" t="s">
        <v>593</v>
      </c>
      <c r="C3" s="1392"/>
      <c r="D3" s="1391" t="s">
        <v>595</v>
      </c>
      <c r="E3" s="1392"/>
      <c r="F3" s="1639" t="s">
        <v>596</v>
      </c>
      <c r="G3" s="1392"/>
    </row>
    <row r="4" spans="1:7" ht="27.75" customHeight="1">
      <c r="A4" s="1853"/>
      <c r="B4" s="1013" t="s">
        <v>594</v>
      </c>
      <c r="C4" s="258" t="s">
        <v>373</v>
      </c>
      <c r="D4" s="1013" t="s">
        <v>594</v>
      </c>
      <c r="E4" s="258" t="s">
        <v>373</v>
      </c>
      <c r="F4" s="1014" t="s">
        <v>594</v>
      </c>
      <c r="G4" s="258" t="s">
        <v>373</v>
      </c>
    </row>
    <row r="5" spans="1:7" ht="15.95" customHeight="1">
      <c r="A5" s="151" t="s">
        <v>1208</v>
      </c>
      <c r="B5" s="218" t="s">
        <v>1209</v>
      </c>
      <c r="C5" s="151" t="s">
        <v>1210</v>
      </c>
      <c r="D5" s="218" t="s">
        <v>1211</v>
      </c>
      <c r="E5" s="151" t="s">
        <v>1212</v>
      </c>
      <c r="F5" s="219" t="s">
        <v>1213</v>
      </c>
      <c r="G5" s="156" t="s">
        <v>1214</v>
      </c>
    </row>
    <row r="6" spans="1:7" ht="15.95" customHeight="1">
      <c r="A6" s="180" t="s">
        <v>1577</v>
      </c>
      <c r="B6" s="374">
        <v>8466</v>
      </c>
      <c r="C6" s="132">
        <v>37837</v>
      </c>
      <c r="D6" s="374">
        <v>1654</v>
      </c>
      <c r="E6" s="132">
        <v>15630</v>
      </c>
      <c r="F6" s="290">
        <v>1590</v>
      </c>
      <c r="G6" s="132">
        <v>15027</v>
      </c>
    </row>
    <row r="7" spans="1:7" ht="15.95" customHeight="1">
      <c r="A7" s="180" t="s">
        <v>1576</v>
      </c>
      <c r="B7" s="290">
        <v>4642</v>
      </c>
      <c r="C7" s="132">
        <v>41130</v>
      </c>
      <c r="D7" s="290">
        <v>1994</v>
      </c>
      <c r="E7" s="132">
        <v>18843</v>
      </c>
      <c r="F7" s="290">
        <v>2124</v>
      </c>
      <c r="G7" s="132">
        <v>20073</v>
      </c>
    </row>
    <row r="8" spans="1:7" ht="15.95" customHeight="1">
      <c r="A8" s="180" t="s">
        <v>267</v>
      </c>
      <c r="B8" s="362">
        <v>4654</v>
      </c>
      <c r="C8" s="132">
        <v>49042</v>
      </c>
      <c r="D8" s="132">
        <v>2003</v>
      </c>
      <c r="E8" s="132">
        <v>18927</v>
      </c>
      <c r="F8" s="132">
        <v>2163</v>
      </c>
      <c r="G8" s="132">
        <v>20184</v>
      </c>
    </row>
    <row r="9" spans="1:7" ht="15.95" customHeight="1">
      <c r="A9" s="180" t="s">
        <v>1094</v>
      </c>
      <c r="B9" s="362">
        <v>5106</v>
      </c>
      <c r="C9" s="132">
        <v>44733</v>
      </c>
      <c r="D9" s="132">
        <v>2003</v>
      </c>
      <c r="E9" s="132">
        <v>18928</v>
      </c>
      <c r="F9" s="132">
        <v>2131</v>
      </c>
      <c r="G9" s="132">
        <v>20785</v>
      </c>
    </row>
    <row r="10" spans="1:7" ht="15.95" customHeight="1">
      <c r="A10" s="252" t="s">
        <v>1595</v>
      </c>
      <c r="B10" s="362">
        <f t="shared" ref="B10:G10" si="0">SUM(B12,B19)</f>
        <v>4739</v>
      </c>
      <c r="C10" s="362">
        <f t="shared" si="0"/>
        <v>26139</v>
      </c>
      <c r="D10" s="362">
        <f t="shared" si="0"/>
        <v>2003</v>
      </c>
      <c r="E10" s="362">
        <f t="shared" si="0"/>
        <v>18928</v>
      </c>
      <c r="F10" s="362">
        <f t="shared" si="0"/>
        <v>2136</v>
      </c>
      <c r="G10" s="362">
        <f t="shared" si="0"/>
        <v>20186</v>
      </c>
    </row>
    <row r="11" spans="1:7" ht="27.75" customHeight="1">
      <c r="A11" s="188" t="s">
        <v>854</v>
      </c>
      <c r="B11" s="1535" t="str">
        <f>"Year : " &amp; A10</f>
        <v>Year : 2013-14</v>
      </c>
      <c r="C11" s="1536"/>
      <c r="D11" s="1536"/>
      <c r="E11" s="1536"/>
      <c r="F11" s="1536"/>
      <c r="G11" s="1537"/>
    </row>
    <row r="12" spans="1:7" ht="15.75" customHeight="1">
      <c r="A12" s="439" t="s">
        <v>1155</v>
      </c>
      <c r="B12" s="440">
        <f t="shared" ref="B12:G12" si="1">SUM(B13:B18)</f>
        <v>1562</v>
      </c>
      <c r="C12" s="439">
        <f t="shared" si="1"/>
        <v>8644</v>
      </c>
      <c r="D12" s="440">
        <f t="shared" si="1"/>
        <v>709</v>
      </c>
      <c r="E12" s="439">
        <f t="shared" si="1"/>
        <v>6701</v>
      </c>
      <c r="F12" s="440">
        <f t="shared" si="1"/>
        <v>755</v>
      </c>
      <c r="G12" s="439">
        <f t="shared" si="1"/>
        <v>7135</v>
      </c>
    </row>
    <row r="13" spans="1:7" ht="15.75" customHeight="1">
      <c r="A13" s="180" t="s">
        <v>1051</v>
      </c>
      <c r="B13" s="41">
        <v>219</v>
      </c>
      <c r="C13" s="116">
        <v>1324</v>
      </c>
      <c r="D13" s="41">
        <v>107</v>
      </c>
      <c r="E13" s="116">
        <v>1011</v>
      </c>
      <c r="F13" s="41">
        <v>113</v>
      </c>
      <c r="G13" s="116">
        <v>1068</v>
      </c>
    </row>
    <row r="14" spans="1:7" ht="15.75" customHeight="1">
      <c r="A14" s="180" t="s">
        <v>495</v>
      </c>
      <c r="B14" s="41">
        <v>331</v>
      </c>
      <c r="C14" s="116">
        <v>1561</v>
      </c>
      <c r="D14" s="41">
        <v>128</v>
      </c>
      <c r="E14" s="116">
        <v>1210</v>
      </c>
      <c r="F14" s="41">
        <v>136</v>
      </c>
      <c r="G14" s="116">
        <v>1285</v>
      </c>
    </row>
    <row r="15" spans="1:7" ht="15.75" customHeight="1">
      <c r="A15" s="180" t="s">
        <v>531</v>
      </c>
      <c r="B15" s="41">
        <v>271</v>
      </c>
      <c r="C15" s="116">
        <v>1447</v>
      </c>
      <c r="D15" s="41">
        <v>115</v>
      </c>
      <c r="E15" s="116">
        <v>1087</v>
      </c>
      <c r="F15" s="41">
        <v>124</v>
      </c>
      <c r="G15" s="116">
        <v>1172</v>
      </c>
    </row>
    <row r="16" spans="1:7" ht="15.75" customHeight="1">
      <c r="A16" s="180" t="s">
        <v>532</v>
      </c>
      <c r="B16" s="41">
        <v>235</v>
      </c>
      <c r="C16" s="116">
        <v>1333</v>
      </c>
      <c r="D16" s="41">
        <v>110</v>
      </c>
      <c r="E16" s="116">
        <v>1040</v>
      </c>
      <c r="F16" s="41">
        <v>117</v>
      </c>
      <c r="G16" s="116">
        <v>1106</v>
      </c>
    </row>
    <row r="17" spans="1:7" ht="15.75" customHeight="1">
      <c r="A17" s="180" t="s">
        <v>533</v>
      </c>
      <c r="B17" s="41">
        <v>304</v>
      </c>
      <c r="C17" s="116">
        <v>1674</v>
      </c>
      <c r="D17" s="41">
        <v>141</v>
      </c>
      <c r="E17" s="116">
        <v>1332</v>
      </c>
      <c r="F17" s="41">
        <v>151</v>
      </c>
      <c r="G17" s="116">
        <v>1427</v>
      </c>
    </row>
    <row r="18" spans="1:7" ht="15.75" customHeight="1">
      <c r="A18" s="180" t="s">
        <v>573</v>
      </c>
      <c r="B18" s="41">
        <v>202</v>
      </c>
      <c r="C18" s="116">
        <v>1305</v>
      </c>
      <c r="D18" s="41">
        <v>108</v>
      </c>
      <c r="E18" s="116">
        <v>1021</v>
      </c>
      <c r="F18" s="41">
        <v>114</v>
      </c>
      <c r="G18" s="116">
        <v>1077</v>
      </c>
    </row>
    <row r="19" spans="1:7" ht="15.75" customHeight="1">
      <c r="A19" s="372" t="s">
        <v>1154</v>
      </c>
      <c r="B19" s="372">
        <f t="shared" ref="B19:G19" si="2">SUM(B20:B30)</f>
        <v>3177</v>
      </c>
      <c r="C19" s="372">
        <f t="shared" si="2"/>
        <v>17495</v>
      </c>
      <c r="D19" s="372">
        <f t="shared" si="2"/>
        <v>1294</v>
      </c>
      <c r="E19" s="372">
        <f t="shared" si="2"/>
        <v>12227</v>
      </c>
      <c r="F19" s="211">
        <f t="shared" si="2"/>
        <v>1381</v>
      </c>
      <c r="G19" s="372">
        <f t="shared" si="2"/>
        <v>13051</v>
      </c>
    </row>
    <row r="20" spans="1:7" ht="15.75" customHeight="1">
      <c r="A20" s="180" t="s">
        <v>576</v>
      </c>
      <c r="B20" s="41">
        <v>510</v>
      </c>
      <c r="C20" s="116">
        <v>2346</v>
      </c>
      <c r="D20" s="41">
        <v>156</v>
      </c>
      <c r="E20" s="116">
        <v>1474</v>
      </c>
      <c r="F20" s="41">
        <v>162</v>
      </c>
      <c r="G20" s="116">
        <v>1531</v>
      </c>
    </row>
    <row r="21" spans="1:7" ht="15.75" customHeight="1">
      <c r="A21" s="180" t="s">
        <v>1510</v>
      </c>
      <c r="B21" s="41">
        <v>249</v>
      </c>
      <c r="C21" s="116">
        <v>1173</v>
      </c>
      <c r="D21" s="41">
        <v>68</v>
      </c>
      <c r="E21" s="116">
        <v>643</v>
      </c>
      <c r="F21" s="41">
        <v>71</v>
      </c>
      <c r="G21" s="116">
        <v>671</v>
      </c>
    </row>
    <row r="22" spans="1:7" ht="15.75" customHeight="1">
      <c r="A22" s="180" t="s">
        <v>577</v>
      </c>
      <c r="B22" s="41">
        <v>432</v>
      </c>
      <c r="C22" s="116">
        <v>1552</v>
      </c>
      <c r="D22" s="41">
        <v>94</v>
      </c>
      <c r="E22" s="116">
        <v>888</v>
      </c>
      <c r="F22" s="41">
        <v>96</v>
      </c>
      <c r="G22" s="116">
        <v>907</v>
      </c>
    </row>
    <row r="23" spans="1:7" ht="15.75" customHeight="1">
      <c r="A23" s="180" t="s">
        <v>578</v>
      </c>
      <c r="B23" s="41">
        <v>229</v>
      </c>
      <c r="C23" s="116">
        <v>1154</v>
      </c>
      <c r="D23" s="41">
        <v>76</v>
      </c>
      <c r="E23" s="116">
        <v>718</v>
      </c>
      <c r="F23" s="41">
        <v>76</v>
      </c>
      <c r="G23" s="116">
        <v>718</v>
      </c>
    </row>
    <row r="24" spans="1:7" ht="15.75" customHeight="1">
      <c r="A24" s="180" t="s">
        <v>490</v>
      </c>
      <c r="B24" s="41">
        <v>355</v>
      </c>
      <c r="C24" s="116">
        <v>1769</v>
      </c>
      <c r="D24" s="41">
        <v>136</v>
      </c>
      <c r="E24" s="116">
        <v>1285</v>
      </c>
      <c r="F24" s="41">
        <v>142</v>
      </c>
      <c r="G24" s="116">
        <v>1342</v>
      </c>
    </row>
    <row r="25" spans="1:7" ht="15.75" customHeight="1">
      <c r="A25" s="180" t="s">
        <v>580</v>
      </c>
      <c r="B25" s="41">
        <v>303</v>
      </c>
      <c r="C25" s="116">
        <v>1683</v>
      </c>
      <c r="D25" s="41">
        <v>126</v>
      </c>
      <c r="E25" s="116">
        <v>1191</v>
      </c>
      <c r="F25" s="41">
        <v>130</v>
      </c>
      <c r="G25" s="116">
        <v>1229</v>
      </c>
    </row>
    <row r="26" spans="1:7" ht="15.75" customHeight="1">
      <c r="A26" s="180" t="s">
        <v>585</v>
      </c>
      <c r="B26" s="41">
        <v>354</v>
      </c>
      <c r="C26" s="116">
        <v>2316</v>
      </c>
      <c r="D26" s="41">
        <v>196</v>
      </c>
      <c r="E26" s="116">
        <v>1852</v>
      </c>
      <c r="F26" s="41">
        <v>212</v>
      </c>
      <c r="G26" s="116">
        <v>2003</v>
      </c>
    </row>
    <row r="27" spans="1:7" ht="15.75" customHeight="1">
      <c r="A27" s="180" t="s">
        <v>586</v>
      </c>
      <c r="B27" s="41">
        <v>208</v>
      </c>
      <c r="C27" s="116">
        <v>1607</v>
      </c>
      <c r="D27" s="41">
        <v>134</v>
      </c>
      <c r="E27" s="116">
        <v>1266</v>
      </c>
      <c r="F27" s="41">
        <v>148</v>
      </c>
      <c r="G27" s="116">
        <v>1399</v>
      </c>
    </row>
    <row r="28" spans="1:7" ht="15.75" customHeight="1">
      <c r="A28" s="180" t="s">
        <v>587</v>
      </c>
      <c r="B28" s="41">
        <v>323</v>
      </c>
      <c r="C28" s="116">
        <v>2137</v>
      </c>
      <c r="D28" s="41">
        <v>180</v>
      </c>
      <c r="E28" s="116">
        <v>1701</v>
      </c>
      <c r="F28" s="41">
        <v>198</v>
      </c>
      <c r="G28" s="116">
        <v>1871</v>
      </c>
    </row>
    <row r="29" spans="1:7" ht="15.75" customHeight="1">
      <c r="A29" s="180" t="s">
        <v>1511</v>
      </c>
      <c r="B29" s="41">
        <v>70</v>
      </c>
      <c r="C29" s="116">
        <v>473</v>
      </c>
      <c r="D29" s="41">
        <v>32</v>
      </c>
      <c r="E29" s="116">
        <v>302</v>
      </c>
      <c r="F29" s="41">
        <v>116</v>
      </c>
      <c r="G29" s="116">
        <v>1096</v>
      </c>
    </row>
    <row r="30" spans="1:7" ht="15.75" customHeight="1">
      <c r="A30" s="252" t="s">
        <v>579</v>
      </c>
      <c r="B30" s="29">
        <v>144</v>
      </c>
      <c r="C30" s="117">
        <v>1285</v>
      </c>
      <c r="D30" s="29">
        <v>96</v>
      </c>
      <c r="E30" s="117">
        <v>907</v>
      </c>
      <c r="F30" s="29">
        <v>30</v>
      </c>
      <c r="G30" s="117">
        <v>284</v>
      </c>
    </row>
    <row r="31" spans="1:7" ht="12.4" customHeight="1">
      <c r="A31" s="1851" t="s">
        <v>1389</v>
      </c>
      <c r="B31" s="1851"/>
      <c r="C31" s="1851"/>
      <c r="E31" s="986" t="s">
        <v>117</v>
      </c>
      <c r="F31" s="987" t="s">
        <v>429</v>
      </c>
      <c r="G31" s="392"/>
    </row>
    <row r="32" spans="1:7" ht="13.5" customHeight="1">
      <c r="A32" s="1543"/>
      <c r="B32" s="1543"/>
      <c r="C32" s="1543"/>
      <c r="E32" s="972"/>
      <c r="F32" s="972" t="s">
        <v>982</v>
      </c>
      <c r="G32" s="356"/>
    </row>
    <row r="33" spans="1:7" ht="12.4" customHeight="1">
      <c r="A33" s="1543"/>
      <c r="B33" s="1543"/>
      <c r="C33" s="1543"/>
      <c r="D33" s="7"/>
      <c r="E33" s="972"/>
      <c r="F33" s="972" t="s">
        <v>1196</v>
      </c>
      <c r="G33" s="356"/>
    </row>
    <row r="34" spans="1:7" ht="12.4" customHeight="1">
      <c r="A34" s="1543"/>
      <c r="B34" s="1543"/>
      <c r="C34" s="1543"/>
      <c r="D34" s="7"/>
      <c r="E34" s="274"/>
      <c r="F34" s="274"/>
      <c r="G34" s="356"/>
    </row>
    <row r="35" spans="1:7" ht="12.4" customHeight="1">
      <c r="D35" s="7"/>
      <c r="E35" s="166"/>
      <c r="F35" s="356"/>
      <c r="G35" s="356"/>
    </row>
    <row r="36" spans="1:7" ht="12.4" customHeight="1">
      <c r="D36" s="7"/>
      <c r="F36" s="2"/>
    </row>
    <row r="37" spans="1:7" ht="12.4" customHeight="1">
      <c r="D37" s="7"/>
      <c r="F37" s="2"/>
    </row>
    <row r="38" spans="1:7" ht="12.4" customHeight="1">
      <c r="D38" s="7"/>
    </row>
    <row r="39" spans="1:7" ht="12.4" customHeight="1">
      <c r="D39" s="7"/>
      <c r="E39" s="7"/>
      <c r="F39" s="7"/>
      <c r="G39" s="7"/>
    </row>
    <row r="40" spans="1:7" ht="12.4" customHeight="1">
      <c r="A40" s="7"/>
      <c r="B40" s="7"/>
      <c r="C40" s="7"/>
      <c r="D40" s="7"/>
      <c r="E40" s="7"/>
      <c r="F40" s="7"/>
      <c r="G40" s="7"/>
    </row>
    <row r="41" spans="1:7" ht="12.4" customHeight="1">
      <c r="A41" s="7"/>
      <c r="B41" s="7"/>
      <c r="C41" s="7"/>
      <c r="D41" s="7"/>
      <c r="E41" s="7"/>
      <c r="F41" s="7"/>
      <c r="G41" s="7"/>
    </row>
    <row r="42" spans="1:7" ht="12.4" customHeight="1">
      <c r="A42" s="7"/>
      <c r="B42" s="7"/>
      <c r="C42" s="7"/>
      <c r="D42" s="7"/>
      <c r="E42" s="7"/>
      <c r="F42" s="7"/>
      <c r="G42" s="7"/>
    </row>
    <row r="43" spans="1:7" ht="12.4" customHeight="1">
      <c r="A43" s="7"/>
      <c r="B43" s="7"/>
      <c r="C43" s="7"/>
      <c r="D43" s="7"/>
      <c r="E43" s="7"/>
      <c r="F43" s="7"/>
      <c r="G43" s="7"/>
    </row>
    <row r="44" spans="1:7" ht="12.4" customHeight="1">
      <c r="A44" s="7"/>
      <c r="B44" s="7"/>
      <c r="C44" s="7"/>
      <c r="D44" s="7"/>
      <c r="E44" s="7"/>
      <c r="F44" s="7"/>
      <c r="G44" s="7"/>
    </row>
    <row r="45" spans="1:7" ht="12.4" customHeight="1">
      <c r="A45" s="7"/>
      <c r="B45" s="7"/>
      <c r="C45" s="7"/>
      <c r="D45" s="7"/>
      <c r="E45" s="7"/>
      <c r="F45" s="7"/>
      <c r="G45" s="7"/>
    </row>
    <row r="46" spans="1:7" ht="12.4" customHeight="1">
      <c r="A46" s="7"/>
      <c r="B46" s="7"/>
      <c r="C46" s="7"/>
      <c r="D46" s="7"/>
      <c r="E46" s="7"/>
      <c r="F46" s="7"/>
      <c r="G46" s="7"/>
    </row>
    <row r="47" spans="1:7" ht="12.4" customHeight="1">
      <c r="A47" s="82"/>
      <c r="B47" s="7"/>
      <c r="C47" s="7"/>
      <c r="D47" s="7"/>
      <c r="E47" s="7"/>
      <c r="F47" s="7"/>
      <c r="G47" s="7"/>
    </row>
    <row r="48" spans="1:7" ht="12.4" customHeight="1">
      <c r="A48" s="20"/>
      <c r="B48" s="82"/>
    </row>
    <row r="49" spans="1:2" ht="12.4" customHeight="1">
      <c r="A49" s="20"/>
      <c r="B49" s="20"/>
    </row>
    <row r="50" spans="1:2" ht="12.4" customHeight="1">
      <c r="A50" s="20"/>
      <c r="B50" s="20"/>
    </row>
    <row r="51" spans="1:2" ht="12.4" customHeight="1">
      <c r="A51" s="20"/>
      <c r="B51" s="20"/>
    </row>
    <row r="52" spans="1:2" ht="12.4" customHeight="1">
      <c r="A52" s="20"/>
      <c r="B52" s="20"/>
    </row>
    <row r="53" spans="1:2" ht="12.4" customHeight="1">
      <c r="B53" s="20"/>
    </row>
  </sheetData>
  <mergeCells count="8">
    <mergeCell ref="A31:C34"/>
    <mergeCell ref="A1:G1"/>
    <mergeCell ref="B11:G11"/>
    <mergeCell ref="A3:A4"/>
    <mergeCell ref="A2:G2"/>
    <mergeCell ref="B3:C3"/>
    <mergeCell ref="D3:E3"/>
    <mergeCell ref="F3:G3"/>
  </mergeCells>
  <phoneticPr fontId="0" type="noConversion"/>
  <printOptions horizontalCentered="1"/>
  <pageMargins left="0.1" right="0.1" top="0.49" bottom="0.1" header="0.49" footer="0.1"/>
  <pageSetup paperSize="9" orientation="landscape" blackAndWhite="1" horizontalDpi="4294967295" verticalDpi="300" r:id="rId1"/>
  <headerFooter alignWithMargins="0"/>
</worksheet>
</file>

<file path=xl/worksheets/sheet63.xml><?xml version="1.0" encoding="utf-8"?>
<worksheet xmlns="http://schemas.openxmlformats.org/spreadsheetml/2006/main" xmlns:r="http://schemas.openxmlformats.org/officeDocument/2006/relationships">
  <sheetPr codeName="Sheet76"/>
  <dimension ref="A1:F32"/>
  <sheetViews>
    <sheetView zoomScaleNormal="115" workbookViewId="0">
      <selection activeCell="M5" sqref="M5"/>
    </sheetView>
  </sheetViews>
  <sheetFormatPr defaultRowHeight="12.75"/>
  <cols>
    <col min="1" max="1" width="23.140625" customWidth="1"/>
    <col min="2" max="2" width="18.85546875" customWidth="1"/>
    <col min="3" max="3" width="9.7109375" customWidth="1"/>
    <col min="4" max="4" width="11.42578125" customWidth="1"/>
    <col min="5" max="5" width="11.7109375" customWidth="1"/>
    <col min="6" max="6" width="11.42578125" customWidth="1"/>
  </cols>
  <sheetData>
    <row r="1" spans="1:6" ht="16.5" customHeight="1">
      <c r="A1" s="1363" t="s">
        <v>1466</v>
      </c>
      <c r="B1" s="1363"/>
      <c r="C1" s="1363"/>
      <c r="D1" s="1363"/>
      <c r="E1" s="1363"/>
      <c r="F1" s="1363"/>
    </row>
    <row r="2" spans="1:6" ht="36" customHeight="1">
      <c r="A2" s="1727" t="str">
        <f>CONCATENATE("Wholesale Prices of Agricultural Commodities, Live-stock and Live-stock Products (average quality) in different markets in the district of ",District!$A$1)</f>
        <v>Wholesale Prices of Agricultural Commodities, Live-stock and Live-stock Products (average quality) in different markets in the district of Malda</v>
      </c>
      <c r="B2" s="1727"/>
      <c r="C2" s="1727"/>
      <c r="D2" s="1727"/>
      <c r="E2" s="1727"/>
      <c r="F2" s="1727"/>
    </row>
    <row r="3" spans="1:6" ht="16.5" customHeight="1">
      <c r="A3" s="1348" t="s">
        <v>728</v>
      </c>
      <c r="B3" s="1348" t="s">
        <v>729</v>
      </c>
      <c r="C3" s="1348" t="s">
        <v>1090</v>
      </c>
      <c r="D3" s="1391" t="s">
        <v>430</v>
      </c>
      <c r="E3" s="1639"/>
      <c r="F3" s="1392"/>
    </row>
    <row r="4" spans="1:6" ht="16.5" customHeight="1">
      <c r="A4" s="1349"/>
      <c r="B4" s="1349"/>
      <c r="C4" s="1349"/>
      <c r="D4" s="261">
        <f>District!C9</f>
        <v>2012</v>
      </c>
      <c r="E4" s="261">
        <f>District!D9</f>
        <v>2013</v>
      </c>
      <c r="F4" s="240">
        <f>District!E9</f>
        <v>2014</v>
      </c>
    </row>
    <row r="5" spans="1:6" ht="16.5" customHeight="1">
      <c r="A5" s="151" t="s">
        <v>1208</v>
      </c>
      <c r="B5" s="151" t="s">
        <v>1209</v>
      </c>
      <c r="C5" s="151" t="s">
        <v>1210</v>
      </c>
      <c r="D5" s="151" t="s">
        <v>1211</v>
      </c>
      <c r="E5" s="151" t="s">
        <v>1212</v>
      </c>
      <c r="F5" s="100" t="s">
        <v>1213</v>
      </c>
    </row>
    <row r="6" spans="1:6" ht="19.5" customHeight="1">
      <c r="A6" s="247" t="s">
        <v>1058</v>
      </c>
      <c r="B6" s="255" t="s">
        <v>1059</v>
      </c>
      <c r="C6" s="285" t="s">
        <v>1060</v>
      </c>
      <c r="D6" s="1141">
        <v>1050</v>
      </c>
      <c r="E6" s="1141">
        <v>1150</v>
      </c>
      <c r="F6" s="1141">
        <v>1700</v>
      </c>
    </row>
    <row r="7" spans="1:6" ht="19.5" customHeight="1">
      <c r="A7" s="247" t="s">
        <v>1197</v>
      </c>
      <c r="B7" s="255" t="s">
        <v>1061</v>
      </c>
      <c r="C7" s="285" t="s">
        <v>1061</v>
      </c>
      <c r="D7" s="1141">
        <v>950</v>
      </c>
      <c r="E7" s="1141">
        <v>1065</v>
      </c>
      <c r="F7" s="1141">
        <v>1200</v>
      </c>
    </row>
    <row r="8" spans="1:6" ht="19.5" customHeight="1">
      <c r="A8" s="247" t="s">
        <v>1057</v>
      </c>
      <c r="B8" s="255" t="s">
        <v>490</v>
      </c>
      <c r="C8" s="285" t="s">
        <v>1061</v>
      </c>
      <c r="D8" s="1141">
        <v>1960</v>
      </c>
      <c r="E8" s="1142">
        <v>2900</v>
      </c>
      <c r="F8" s="1142">
        <v>3300</v>
      </c>
    </row>
    <row r="9" spans="1:6" ht="19.5" customHeight="1">
      <c r="A9" s="247" t="s">
        <v>1066</v>
      </c>
      <c r="B9" s="255" t="s">
        <v>1061</v>
      </c>
      <c r="C9" s="285" t="s">
        <v>1061</v>
      </c>
      <c r="D9" s="1141">
        <v>1550</v>
      </c>
      <c r="E9" s="1141">
        <v>1975</v>
      </c>
      <c r="F9" s="1141">
        <v>2300</v>
      </c>
    </row>
    <row r="10" spans="1:6" ht="19.5" customHeight="1">
      <c r="A10" s="247" t="s">
        <v>1067</v>
      </c>
      <c r="B10" s="255" t="s">
        <v>1072</v>
      </c>
      <c r="C10" s="285" t="s">
        <v>1061</v>
      </c>
      <c r="D10" s="1141">
        <v>1100</v>
      </c>
      <c r="E10" s="1141">
        <v>1637</v>
      </c>
      <c r="F10" s="1141">
        <v>1600</v>
      </c>
    </row>
    <row r="11" spans="1:6" ht="19.5" customHeight="1">
      <c r="A11" s="247" t="s">
        <v>1302</v>
      </c>
      <c r="B11" s="255" t="s">
        <v>1061</v>
      </c>
      <c r="C11" s="285" t="s">
        <v>1061</v>
      </c>
      <c r="D11" s="1143">
        <v>2600</v>
      </c>
      <c r="E11" s="1144" t="s">
        <v>1183</v>
      </c>
      <c r="F11" s="1144">
        <v>4100</v>
      </c>
    </row>
    <row r="12" spans="1:6" ht="19.5" customHeight="1">
      <c r="A12" s="247" t="s">
        <v>1303</v>
      </c>
      <c r="B12" s="255" t="s">
        <v>1061</v>
      </c>
      <c r="C12" s="285" t="s">
        <v>1061</v>
      </c>
      <c r="D12" s="1143">
        <v>2800</v>
      </c>
      <c r="E12" s="1144" t="s">
        <v>1183</v>
      </c>
      <c r="F12" s="1144">
        <v>4200</v>
      </c>
    </row>
    <row r="13" spans="1:6" ht="19.5" customHeight="1">
      <c r="A13" s="247" t="s">
        <v>1304</v>
      </c>
      <c r="B13" s="255" t="s">
        <v>1059</v>
      </c>
      <c r="C13" s="285" t="s">
        <v>1061</v>
      </c>
      <c r="D13" s="1141" t="s">
        <v>1183</v>
      </c>
      <c r="E13" s="1142" t="s">
        <v>1183</v>
      </c>
      <c r="F13" s="1142" t="s">
        <v>1183</v>
      </c>
    </row>
    <row r="14" spans="1:6" ht="19.5" customHeight="1">
      <c r="A14" s="247" t="s">
        <v>1305</v>
      </c>
      <c r="B14" s="255" t="s">
        <v>1059</v>
      </c>
      <c r="C14" s="285" t="s">
        <v>1061</v>
      </c>
      <c r="D14" s="1141" t="s">
        <v>1183</v>
      </c>
      <c r="E14" s="1142">
        <v>1700</v>
      </c>
      <c r="F14" s="1142">
        <v>1750</v>
      </c>
    </row>
    <row r="15" spans="1:6" ht="19.5" customHeight="1">
      <c r="A15" s="247" t="s">
        <v>1306</v>
      </c>
      <c r="B15" s="255" t="s">
        <v>1061</v>
      </c>
      <c r="C15" s="285" t="s">
        <v>1061</v>
      </c>
      <c r="D15" s="1141">
        <v>3800</v>
      </c>
      <c r="E15" s="1142">
        <v>3800</v>
      </c>
      <c r="F15" s="1142">
        <v>3900</v>
      </c>
    </row>
    <row r="16" spans="1:6" ht="19.5" customHeight="1">
      <c r="A16" s="247" t="s">
        <v>1068</v>
      </c>
      <c r="B16" s="255" t="s">
        <v>1061</v>
      </c>
      <c r="C16" s="285" t="s">
        <v>1061</v>
      </c>
      <c r="D16" s="1141">
        <v>360</v>
      </c>
      <c r="E16" s="1142">
        <v>537</v>
      </c>
      <c r="F16" s="1142">
        <v>900</v>
      </c>
    </row>
    <row r="17" spans="1:6" ht="19.5" customHeight="1">
      <c r="A17" s="247" t="s">
        <v>259</v>
      </c>
      <c r="B17" s="255" t="s">
        <v>490</v>
      </c>
      <c r="C17" s="285" t="s">
        <v>1061</v>
      </c>
      <c r="D17" s="1141">
        <v>1100</v>
      </c>
      <c r="E17" s="1142">
        <v>1410</v>
      </c>
      <c r="F17" s="1142">
        <v>1500</v>
      </c>
    </row>
    <row r="18" spans="1:6" ht="19.5" customHeight="1">
      <c r="A18" s="247" t="s">
        <v>187</v>
      </c>
      <c r="B18" s="255" t="s">
        <v>1061</v>
      </c>
      <c r="C18" s="285" t="s">
        <v>1061</v>
      </c>
      <c r="D18" s="1141">
        <v>200</v>
      </c>
      <c r="E18" s="1142">
        <v>465</v>
      </c>
      <c r="F18" s="1142">
        <v>350</v>
      </c>
    </row>
    <row r="19" spans="1:6" ht="19.5" customHeight="1">
      <c r="A19" s="247" t="s">
        <v>188</v>
      </c>
      <c r="B19" s="255" t="s">
        <v>1061</v>
      </c>
      <c r="C19" s="285" t="s">
        <v>1061</v>
      </c>
      <c r="D19" s="1141">
        <v>750</v>
      </c>
      <c r="E19" s="1142">
        <v>1025</v>
      </c>
      <c r="F19" s="1142">
        <v>600</v>
      </c>
    </row>
    <row r="20" spans="1:6" ht="19.5" customHeight="1">
      <c r="A20" s="247" t="s">
        <v>1311</v>
      </c>
      <c r="B20" s="255" t="s">
        <v>1069</v>
      </c>
      <c r="C20" s="285" t="s">
        <v>1070</v>
      </c>
      <c r="D20" s="1141">
        <v>500</v>
      </c>
      <c r="E20" s="1142">
        <v>600</v>
      </c>
      <c r="F20" s="1142">
        <v>650</v>
      </c>
    </row>
    <row r="21" spans="1:6" ht="19.5" customHeight="1">
      <c r="A21" s="247" t="s">
        <v>1312</v>
      </c>
      <c r="B21" s="255" t="s">
        <v>1059</v>
      </c>
      <c r="C21" s="285" t="s">
        <v>1109</v>
      </c>
      <c r="D21" s="1141">
        <v>23</v>
      </c>
      <c r="E21" s="1142">
        <v>30</v>
      </c>
      <c r="F21" s="1142">
        <v>30</v>
      </c>
    </row>
    <row r="22" spans="1:6" ht="19.5" customHeight="1">
      <c r="A22" s="247" t="s">
        <v>1307</v>
      </c>
      <c r="B22" s="255" t="s">
        <v>1061</v>
      </c>
      <c r="C22" s="285" t="s">
        <v>1071</v>
      </c>
      <c r="D22" s="1141">
        <v>710</v>
      </c>
      <c r="E22" s="1142">
        <v>710</v>
      </c>
      <c r="F22" s="1142">
        <v>740</v>
      </c>
    </row>
    <row r="23" spans="1:6" ht="19.5" customHeight="1">
      <c r="A23" s="247" t="s">
        <v>1110</v>
      </c>
      <c r="B23" s="255" t="s">
        <v>1061</v>
      </c>
      <c r="C23" s="255" t="s">
        <v>1061</v>
      </c>
      <c r="D23" s="1141" t="s">
        <v>1183</v>
      </c>
      <c r="E23" s="1142">
        <v>2000</v>
      </c>
      <c r="F23" s="1142">
        <v>2200</v>
      </c>
    </row>
    <row r="24" spans="1:6" ht="19.5" customHeight="1">
      <c r="A24" s="247" t="s">
        <v>1111</v>
      </c>
      <c r="B24" s="255" t="s">
        <v>1072</v>
      </c>
      <c r="C24" s="285" t="s">
        <v>1061</v>
      </c>
      <c r="D24" s="1141">
        <v>1850</v>
      </c>
      <c r="E24" s="1142">
        <v>2087</v>
      </c>
      <c r="F24" s="1142">
        <v>2300</v>
      </c>
    </row>
    <row r="25" spans="1:6" ht="19.5" customHeight="1">
      <c r="A25" s="247" t="s">
        <v>1308</v>
      </c>
      <c r="B25" s="255" t="s">
        <v>490</v>
      </c>
      <c r="C25" s="285" t="s">
        <v>1060</v>
      </c>
      <c r="D25" s="1141">
        <v>800</v>
      </c>
      <c r="E25" s="1142">
        <v>1735</v>
      </c>
      <c r="F25" s="1142">
        <v>1400</v>
      </c>
    </row>
    <row r="26" spans="1:6" ht="19.5" customHeight="1">
      <c r="A26" s="247" t="s">
        <v>1309</v>
      </c>
      <c r="B26" s="255" t="s">
        <v>1061</v>
      </c>
      <c r="C26" s="285" t="s">
        <v>1061</v>
      </c>
      <c r="D26" s="1141">
        <v>3500</v>
      </c>
      <c r="E26" s="1142">
        <v>3600</v>
      </c>
      <c r="F26" s="1142">
        <v>3650</v>
      </c>
    </row>
    <row r="27" spans="1:6" ht="19.5" customHeight="1">
      <c r="A27" s="247" t="s">
        <v>1310</v>
      </c>
      <c r="B27" s="255" t="s">
        <v>1072</v>
      </c>
      <c r="C27" s="285" t="s">
        <v>1061</v>
      </c>
      <c r="D27" s="1141">
        <v>2500</v>
      </c>
      <c r="E27" s="1141">
        <v>2675</v>
      </c>
      <c r="F27" s="1141">
        <v>2000</v>
      </c>
    </row>
    <row r="28" spans="1:6" ht="19.5" customHeight="1">
      <c r="A28" s="247" t="s">
        <v>1113</v>
      </c>
      <c r="B28" s="255" t="s">
        <v>1059</v>
      </c>
      <c r="C28" s="285" t="s">
        <v>1061</v>
      </c>
      <c r="D28" s="1141">
        <v>2350</v>
      </c>
      <c r="E28" s="1142">
        <v>2550</v>
      </c>
      <c r="F28" s="1142">
        <v>2650</v>
      </c>
    </row>
    <row r="29" spans="1:6" ht="19.5" customHeight="1">
      <c r="A29" s="247" t="s">
        <v>1112</v>
      </c>
      <c r="B29" s="255" t="s">
        <v>490</v>
      </c>
      <c r="C29" s="285" t="s">
        <v>1061</v>
      </c>
      <c r="D29" s="1141">
        <v>3600</v>
      </c>
      <c r="E29" s="1142">
        <v>4200</v>
      </c>
      <c r="F29" s="1142">
        <v>4200</v>
      </c>
    </row>
    <row r="30" spans="1:6" ht="19.5" customHeight="1">
      <c r="A30" s="249" t="s">
        <v>186</v>
      </c>
      <c r="B30" s="256" t="s">
        <v>1061</v>
      </c>
      <c r="C30" s="292" t="s">
        <v>1061</v>
      </c>
      <c r="D30" s="1145">
        <v>450</v>
      </c>
      <c r="E30" s="1146">
        <v>745</v>
      </c>
      <c r="F30" s="1146">
        <v>400</v>
      </c>
    </row>
    <row r="31" spans="1:6" ht="14.25" customHeight="1">
      <c r="D31" s="579"/>
      <c r="E31" s="579"/>
      <c r="F31" s="985" t="s">
        <v>570</v>
      </c>
    </row>
    <row r="32" spans="1:6">
      <c r="D32" s="355"/>
      <c r="E32" s="355"/>
      <c r="F32" s="355"/>
    </row>
  </sheetData>
  <mergeCells count="6">
    <mergeCell ref="A1:F1"/>
    <mergeCell ref="A2:F2"/>
    <mergeCell ref="D3:F3"/>
    <mergeCell ref="A3:A4"/>
    <mergeCell ref="B3:B4"/>
    <mergeCell ref="C3:C4"/>
  </mergeCells>
  <phoneticPr fontId="0" type="noConversion"/>
  <conditionalFormatting sqref="A1:XFD1048576">
    <cfRule type="cellIs" dxfId="5" priority="1" stopIfTrue="1" operator="equal">
      <formula>".."</formula>
    </cfRule>
  </conditionalFormatting>
  <printOptions horizontalCentered="1"/>
  <pageMargins left="0.1" right="0.1" top="0.94" bottom="0.1" header="0.65" footer="0.1"/>
  <pageSetup paperSize="9" orientation="portrait" blackAndWhite="1" horizontalDpi="4294967295" r:id="rId1"/>
  <headerFooter alignWithMargins="0"/>
</worksheet>
</file>

<file path=xl/worksheets/sheet64.xml><?xml version="1.0" encoding="utf-8"?>
<worksheet xmlns="http://schemas.openxmlformats.org/spreadsheetml/2006/main" xmlns:r="http://schemas.openxmlformats.org/officeDocument/2006/relationships">
  <sheetPr codeName="Sheet46"/>
  <dimension ref="A1:E39"/>
  <sheetViews>
    <sheetView workbookViewId="0">
      <selection activeCell="H5" sqref="H5"/>
    </sheetView>
  </sheetViews>
  <sheetFormatPr defaultRowHeight="12.75"/>
  <cols>
    <col min="1" max="1" width="27.28515625" customWidth="1"/>
    <col min="2" max="2" width="13.7109375" customWidth="1"/>
    <col min="3" max="3" width="14.28515625" customWidth="1"/>
    <col min="4" max="4" width="13.7109375" customWidth="1"/>
    <col min="5" max="5" width="14.7109375" customWidth="1"/>
  </cols>
  <sheetData>
    <row r="1" spans="1:5" ht="13.5" customHeight="1">
      <c r="A1" s="1363" t="s">
        <v>1465</v>
      </c>
      <c r="B1" s="1363"/>
      <c r="C1" s="1363"/>
      <c r="D1" s="1363"/>
      <c r="E1" s="1363"/>
    </row>
    <row r="2" spans="1:5" ht="15.75" customHeight="1">
      <c r="A2" s="1355" t="str">
        <f>CONCATENATE("Regulated Market by category in the district of ",District!$A$1)</f>
        <v>Regulated Market by category in the district of Malda</v>
      </c>
      <c r="B2" s="1355"/>
      <c r="C2" s="1355"/>
      <c r="D2" s="1355"/>
      <c r="E2" s="1355"/>
    </row>
    <row r="3" spans="1:5" ht="14.25" customHeight="1">
      <c r="B3" s="531"/>
      <c r="C3" s="531"/>
      <c r="D3" s="531"/>
      <c r="E3" s="159" t="s">
        <v>1253</v>
      </c>
    </row>
    <row r="4" spans="1:5" ht="31.5" customHeight="1">
      <c r="A4" s="581" t="s">
        <v>1176</v>
      </c>
      <c r="B4" s="1389" t="s">
        <v>909</v>
      </c>
      <c r="C4" s="1392"/>
      <c r="D4" s="1630" t="s">
        <v>278</v>
      </c>
      <c r="E4" s="1392"/>
    </row>
    <row r="5" spans="1:5" ht="13.5" customHeight="1">
      <c r="A5" s="218" t="s">
        <v>1208</v>
      </c>
      <c r="B5" s="1353" t="s">
        <v>1209</v>
      </c>
      <c r="C5" s="1354"/>
      <c r="D5" s="1425" t="s">
        <v>1210</v>
      </c>
      <c r="E5" s="1354"/>
    </row>
    <row r="6" spans="1:5" ht="25.5" customHeight="1">
      <c r="A6" s="180" t="s">
        <v>1177</v>
      </c>
      <c r="B6" s="1778">
        <v>2</v>
      </c>
      <c r="C6" s="1666"/>
      <c r="D6" s="1778">
        <v>17</v>
      </c>
      <c r="E6" s="1666"/>
    </row>
    <row r="7" spans="1:5" ht="25.5" customHeight="1">
      <c r="A7" s="180" t="s">
        <v>1178</v>
      </c>
      <c r="B7" s="1413">
        <v>2</v>
      </c>
      <c r="C7" s="1414"/>
      <c r="D7" s="1413">
        <v>17</v>
      </c>
      <c r="E7" s="1414"/>
    </row>
    <row r="8" spans="1:5" ht="25.5" customHeight="1">
      <c r="A8" s="180" t="s">
        <v>1179</v>
      </c>
      <c r="B8" s="1413">
        <v>2</v>
      </c>
      <c r="C8" s="1414"/>
      <c r="D8" s="1413">
        <v>17</v>
      </c>
      <c r="E8" s="1414"/>
    </row>
    <row r="9" spans="1:5" ht="25.5" customHeight="1">
      <c r="A9" s="180" t="s">
        <v>1180</v>
      </c>
      <c r="B9" s="1413">
        <v>2</v>
      </c>
      <c r="C9" s="1414"/>
      <c r="D9" s="1468">
        <v>24</v>
      </c>
      <c r="E9" s="1414"/>
    </row>
    <row r="10" spans="1:5" ht="25.5" customHeight="1">
      <c r="A10" s="252" t="s">
        <v>790</v>
      </c>
      <c r="B10" s="1480">
        <v>2</v>
      </c>
      <c r="C10" s="1481"/>
      <c r="D10" s="1480">
        <v>24</v>
      </c>
      <c r="E10" s="1647"/>
    </row>
    <row r="11" spans="1:5" ht="13.5" customHeight="1">
      <c r="A11" s="1081"/>
      <c r="E11" s="924" t="s">
        <v>1106</v>
      </c>
    </row>
    <row r="12" spans="1:5" ht="13.5" customHeight="1">
      <c r="A12" s="1081"/>
      <c r="E12" s="924"/>
    </row>
    <row r="13" spans="1:5" ht="13.5" customHeight="1">
      <c r="A13" s="1081"/>
      <c r="E13" s="924"/>
    </row>
    <row r="14" spans="1:5" ht="11.25" customHeight="1">
      <c r="A14" s="1"/>
    </row>
    <row r="15" spans="1:5" ht="14.25" customHeight="1">
      <c r="A15" s="1739" t="s">
        <v>1468</v>
      </c>
      <c r="B15" s="1739"/>
      <c r="C15" s="1739"/>
      <c r="D15" s="1739"/>
      <c r="E15" s="1739"/>
    </row>
    <row r="16" spans="1:5" ht="37.5" customHeight="1">
      <c r="A16" s="1876" t="s">
        <v>1644</v>
      </c>
      <c r="B16" s="1876"/>
      <c r="C16" s="1876"/>
      <c r="D16" s="1876"/>
      <c r="E16" s="1876"/>
    </row>
    <row r="17" spans="1:5" ht="15" customHeight="1">
      <c r="A17" s="1066" t="s">
        <v>329</v>
      </c>
      <c r="C17" s="1875" t="s">
        <v>582</v>
      </c>
      <c r="D17" s="1875"/>
      <c r="E17" s="1875"/>
    </row>
    <row r="18" spans="1:5" ht="27" customHeight="1">
      <c r="A18" s="525" t="s">
        <v>1089</v>
      </c>
      <c r="B18" s="1863" t="s">
        <v>581</v>
      </c>
      <c r="C18" s="1864"/>
      <c r="D18" s="1864"/>
      <c r="E18" s="1865"/>
    </row>
    <row r="19" spans="1:5" ht="15" customHeight="1">
      <c r="A19" s="1067" t="s">
        <v>1208</v>
      </c>
      <c r="B19" s="1866" t="s">
        <v>1209</v>
      </c>
      <c r="C19" s="1867"/>
      <c r="D19" s="1867"/>
      <c r="E19" s="1868"/>
    </row>
    <row r="20" spans="1:5" ht="25.5" customHeight="1">
      <c r="A20" s="501">
        <v>2011</v>
      </c>
      <c r="B20" s="1860">
        <v>148.5</v>
      </c>
      <c r="C20" s="1861"/>
      <c r="D20" s="1861"/>
      <c r="E20" s="1862"/>
    </row>
    <row r="21" spans="1:5" ht="25.5" customHeight="1">
      <c r="A21" s="255">
        <v>2012</v>
      </c>
      <c r="B21" s="1857">
        <v>163.69999999999999</v>
      </c>
      <c r="C21" s="1858"/>
      <c r="D21" s="1858"/>
      <c r="E21" s="1859"/>
    </row>
    <row r="22" spans="1:5" ht="25.5" customHeight="1">
      <c r="A22" s="255">
        <v>2013</v>
      </c>
      <c r="B22" s="1857">
        <v>176.1</v>
      </c>
      <c r="C22" s="1858"/>
      <c r="D22" s="1858"/>
      <c r="E22" s="1859"/>
    </row>
    <row r="23" spans="1:5" ht="25.5" customHeight="1">
      <c r="A23" s="256">
        <v>2014</v>
      </c>
      <c r="B23" s="1869">
        <f>AVERAGE(B25:E36)</f>
        <v>188.625</v>
      </c>
      <c r="C23" s="1870"/>
      <c r="D23" s="1870"/>
      <c r="E23" s="1871"/>
    </row>
    <row r="24" spans="1:5" ht="18.75" customHeight="1">
      <c r="A24" s="48" t="s">
        <v>1215</v>
      </c>
      <c r="B24" s="1344" t="str">
        <f>"Year : " &amp; A23</f>
        <v>Year : 2014</v>
      </c>
      <c r="C24" s="1621"/>
      <c r="D24" s="1621"/>
      <c r="E24" s="1345"/>
    </row>
    <row r="25" spans="1:5" ht="23.25" customHeight="1">
      <c r="A25" s="598" t="s">
        <v>1221</v>
      </c>
      <c r="B25" s="1854">
        <v>182.9</v>
      </c>
      <c r="C25" s="1855"/>
      <c r="D25" s="1855"/>
      <c r="E25" s="1856"/>
    </row>
    <row r="26" spans="1:5" ht="23.25" customHeight="1">
      <c r="A26" s="598" t="s">
        <v>1222</v>
      </c>
      <c r="B26" s="1854">
        <v>182.5</v>
      </c>
      <c r="C26" s="1855"/>
      <c r="D26" s="1855"/>
      <c r="E26" s="1856"/>
    </row>
    <row r="27" spans="1:5" ht="23.25" customHeight="1">
      <c r="A27" s="598" t="s">
        <v>1223</v>
      </c>
      <c r="B27" s="1854">
        <v>182.6</v>
      </c>
      <c r="C27" s="1855"/>
      <c r="D27" s="1855"/>
      <c r="E27" s="1856"/>
    </row>
    <row r="28" spans="1:5" ht="23.25" customHeight="1">
      <c r="A28" s="598" t="s">
        <v>1224</v>
      </c>
      <c r="B28" s="1854">
        <v>183.5</v>
      </c>
      <c r="C28" s="1855"/>
      <c r="D28" s="1855"/>
      <c r="E28" s="1856"/>
    </row>
    <row r="29" spans="1:5" ht="23.25" customHeight="1">
      <c r="A29" s="598" t="s">
        <v>1225</v>
      </c>
      <c r="B29" s="1854">
        <v>184</v>
      </c>
      <c r="C29" s="1855"/>
      <c r="D29" s="1855"/>
      <c r="E29" s="1856"/>
    </row>
    <row r="30" spans="1:5" ht="23.25" customHeight="1">
      <c r="A30" s="598" t="s">
        <v>1226</v>
      </c>
      <c r="B30" s="1854">
        <v>189.6</v>
      </c>
      <c r="C30" s="1855"/>
      <c r="D30" s="1855"/>
      <c r="E30" s="1856"/>
    </row>
    <row r="31" spans="1:5" ht="23.25" customHeight="1">
      <c r="A31" s="598" t="s">
        <v>1227</v>
      </c>
      <c r="B31" s="1854">
        <v>192.2</v>
      </c>
      <c r="C31" s="1855"/>
      <c r="D31" s="1855"/>
      <c r="E31" s="1856"/>
    </row>
    <row r="32" spans="1:5" ht="23.25" customHeight="1">
      <c r="A32" s="598" t="s">
        <v>1228</v>
      </c>
      <c r="B32" s="1854">
        <v>193.1</v>
      </c>
      <c r="C32" s="1855"/>
      <c r="D32" s="1855"/>
      <c r="E32" s="1856"/>
    </row>
    <row r="33" spans="1:5" ht="23.25" customHeight="1">
      <c r="A33" s="598" t="s">
        <v>1229</v>
      </c>
      <c r="B33" s="1854">
        <v>193.1</v>
      </c>
      <c r="C33" s="1855"/>
      <c r="D33" s="1855"/>
      <c r="E33" s="1856"/>
    </row>
    <row r="34" spans="1:5" ht="23.25" customHeight="1">
      <c r="A34" s="598" t="s">
        <v>1230</v>
      </c>
      <c r="B34" s="1854">
        <v>193</v>
      </c>
      <c r="C34" s="1855"/>
      <c r="D34" s="1855"/>
      <c r="E34" s="1856"/>
    </row>
    <row r="35" spans="1:5" ht="23.25" customHeight="1">
      <c r="A35" s="598" t="s">
        <v>1231</v>
      </c>
      <c r="B35" s="1854">
        <v>193.1</v>
      </c>
      <c r="C35" s="1855"/>
      <c r="D35" s="1855"/>
      <c r="E35" s="1856"/>
    </row>
    <row r="36" spans="1:5" ht="23.25" customHeight="1">
      <c r="A36" s="1068" t="s">
        <v>1232</v>
      </c>
      <c r="B36" s="1872">
        <v>193.9</v>
      </c>
      <c r="C36" s="1873"/>
      <c r="D36" s="1873"/>
      <c r="E36" s="1874"/>
    </row>
    <row r="37" spans="1:5" ht="13.5" customHeight="1">
      <c r="A37" s="128"/>
      <c r="E37" s="874" t="s">
        <v>1034</v>
      </c>
    </row>
    <row r="39" spans="1:5">
      <c r="A39" s="841"/>
    </row>
  </sheetData>
  <mergeCells count="38">
    <mergeCell ref="B36:E36"/>
    <mergeCell ref="C17:E17"/>
    <mergeCell ref="A16:E16"/>
    <mergeCell ref="B25:E25"/>
    <mergeCell ref="B26:E26"/>
    <mergeCell ref="B27:E27"/>
    <mergeCell ref="B33:E33"/>
    <mergeCell ref="B34:E34"/>
    <mergeCell ref="B35:E35"/>
    <mergeCell ref="B31:E31"/>
    <mergeCell ref="B30:E30"/>
    <mergeCell ref="D4:E4"/>
    <mergeCell ref="B5:C5"/>
    <mergeCell ref="A15:E15"/>
    <mergeCell ref="B18:E18"/>
    <mergeCell ref="B19:E19"/>
    <mergeCell ref="B23:E23"/>
    <mergeCell ref="B21:E21"/>
    <mergeCell ref="B32:E32"/>
    <mergeCell ref="B6:C6"/>
    <mergeCell ref="B9:C9"/>
    <mergeCell ref="B8:C8"/>
    <mergeCell ref="B7:C7"/>
    <mergeCell ref="B22:E22"/>
    <mergeCell ref="B24:E24"/>
    <mergeCell ref="B20:E20"/>
    <mergeCell ref="B28:E28"/>
    <mergeCell ref="B29:E29"/>
    <mergeCell ref="A1:E1"/>
    <mergeCell ref="B10:C10"/>
    <mergeCell ref="D5:E5"/>
    <mergeCell ref="D6:E6"/>
    <mergeCell ref="D7:E7"/>
    <mergeCell ref="D8:E8"/>
    <mergeCell ref="D9:E9"/>
    <mergeCell ref="D10:E10"/>
    <mergeCell ref="A2:E2"/>
    <mergeCell ref="B4:C4"/>
  </mergeCells>
  <phoneticPr fontId="0" type="noConversion"/>
  <printOptions horizontalCentered="1"/>
  <pageMargins left="0.1" right="0.1" top="0.73" bottom="0.1" header="0.5" footer="0.34"/>
  <pageSetup paperSize="9" orientation="portrait" blackAndWhite="1" horizontalDpi="4294967295" r:id="rId1"/>
  <headerFooter alignWithMargins="0"/>
</worksheet>
</file>

<file path=xl/worksheets/sheet65.xml><?xml version="1.0" encoding="utf-8"?>
<worksheet xmlns="http://schemas.openxmlformats.org/spreadsheetml/2006/main" xmlns:r="http://schemas.openxmlformats.org/officeDocument/2006/relationships">
  <sheetPr codeName="Sheet77"/>
  <dimension ref="A1:H45"/>
  <sheetViews>
    <sheetView workbookViewId="0">
      <selection activeCell="M5" sqref="M5"/>
    </sheetView>
  </sheetViews>
  <sheetFormatPr defaultRowHeight="12.75"/>
  <cols>
    <col min="1" max="1" width="16.28515625" customWidth="1"/>
    <col min="2" max="2" width="14.28515625" customWidth="1"/>
    <col min="3" max="5" width="14.7109375" customWidth="1"/>
    <col min="6" max="6" width="15.5703125" customWidth="1"/>
  </cols>
  <sheetData>
    <row r="1" spans="1:8" ht="20.25" customHeight="1">
      <c r="A1" s="1430" t="s">
        <v>858</v>
      </c>
      <c r="B1" s="1430"/>
      <c r="C1" s="1430"/>
      <c r="D1" s="1430"/>
      <c r="E1" s="1430"/>
      <c r="F1" s="1430"/>
    </row>
    <row r="2" spans="1:8" ht="36" customHeight="1">
      <c r="A2" s="1544" t="str">
        <f>CONCATENATE("Consumer Price Index Numbers for Industrial Workers
 in the district of ",District!$A$1)</f>
        <v>Consumer Price Index Numbers for Industrial Workers
 in the district of Malda</v>
      </c>
      <c r="B2" s="1544"/>
      <c r="C2" s="1544"/>
      <c r="D2" s="1544"/>
      <c r="E2" s="1544"/>
      <c r="F2" s="1544"/>
      <c r="H2" s="1"/>
    </row>
    <row r="3" spans="1:8" ht="16.5" customHeight="1">
      <c r="A3" s="789" t="s">
        <v>1073</v>
      </c>
      <c r="B3" s="275"/>
      <c r="C3" s="275"/>
      <c r="D3" s="275"/>
      <c r="E3" s="275"/>
      <c r="F3" s="788" t="s">
        <v>328</v>
      </c>
    </row>
    <row r="4" spans="1:8" ht="18" customHeight="1">
      <c r="A4" s="240" t="s">
        <v>742</v>
      </c>
      <c r="B4" s="489">
        <v>2009</v>
      </c>
      <c r="C4" s="489">
        <v>2010</v>
      </c>
      <c r="D4" s="489">
        <v>2011</v>
      </c>
      <c r="E4" s="489">
        <v>2012</v>
      </c>
      <c r="F4" s="489">
        <v>2013</v>
      </c>
    </row>
    <row r="5" spans="1:8" ht="18" customHeight="1">
      <c r="A5" s="151" t="s">
        <v>1208</v>
      </c>
      <c r="B5" s="151" t="s">
        <v>1209</v>
      </c>
      <c r="C5" s="151" t="s">
        <v>1210</v>
      </c>
      <c r="D5" s="151" t="s">
        <v>1211</v>
      </c>
      <c r="E5" s="151" t="s">
        <v>1212</v>
      </c>
      <c r="F5" s="151" t="s">
        <v>1213</v>
      </c>
    </row>
    <row r="6" spans="1:8" ht="27" customHeight="1">
      <c r="A6" s="180" t="s">
        <v>1221</v>
      </c>
      <c r="B6" s="115">
        <v>722</v>
      </c>
      <c r="C6" s="115">
        <v>886</v>
      </c>
      <c r="D6" s="115">
        <v>951</v>
      </c>
      <c r="E6" s="116">
        <v>970</v>
      </c>
      <c r="F6" s="116">
        <v>1086</v>
      </c>
    </row>
    <row r="7" spans="1:8" ht="27" customHeight="1">
      <c r="A7" s="180" t="s">
        <v>1222</v>
      </c>
      <c r="B7" s="116">
        <v>726</v>
      </c>
      <c r="C7" s="116">
        <v>883</v>
      </c>
      <c r="D7" s="116">
        <v>935</v>
      </c>
      <c r="E7" s="116">
        <v>1005</v>
      </c>
      <c r="F7" s="116">
        <v>1090</v>
      </c>
    </row>
    <row r="8" spans="1:8" ht="27" customHeight="1">
      <c r="A8" s="180" t="s">
        <v>1074</v>
      </c>
      <c r="B8" s="116">
        <v>729</v>
      </c>
      <c r="C8" s="116">
        <v>883</v>
      </c>
      <c r="D8" s="116">
        <v>934</v>
      </c>
      <c r="E8" s="116">
        <v>1023</v>
      </c>
      <c r="F8" s="116">
        <v>1097</v>
      </c>
    </row>
    <row r="9" spans="1:8" ht="27" customHeight="1">
      <c r="A9" s="180" t="s">
        <v>1075</v>
      </c>
      <c r="B9" s="116">
        <v>740</v>
      </c>
      <c r="C9" s="116">
        <v>856</v>
      </c>
      <c r="D9" s="116">
        <v>963</v>
      </c>
      <c r="E9" s="116">
        <v>1031</v>
      </c>
      <c r="F9" s="116">
        <v>1103</v>
      </c>
    </row>
    <row r="10" spans="1:8" ht="27" customHeight="1">
      <c r="A10" s="180" t="s">
        <v>1076</v>
      </c>
      <c r="B10" s="116">
        <v>761</v>
      </c>
      <c r="C10" s="116">
        <v>858</v>
      </c>
      <c r="D10" s="116">
        <v>969</v>
      </c>
      <c r="E10" s="116">
        <v>1034</v>
      </c>
      <c r="F10" s="116">
        <v>1108</v>
      </c>
    </row>
    <row r="11" spans="1:8" ht="27" customHeight="1">
      <c r="A11" s="180" t="s">
        <v>1077</v>
      </c>
      <c r="B11" s="116">
        <v>766</v>
      </c>
      <c r="C11" s="116">
        <v>858</v>
      </c>
      <c r="D11" s="116">
        <v>941</v>
      </c>
      <c r="E11" s="116">
        <v>1031</v>
      </c>
      <c r="F11" s="116">
        <v>1113</v>
      </c>
    </row>
    <row r="12" spans="1:8" ht="27" customHeight="1">
      <c r="A12" s="180" t="s">
        <v>1078</v>
      </c>
      <c r="B12" s="116">
        <v>785</v>
      </c>
      <c r="C12" s="116">
        <v>880</v>
      </c>
      <c r="D12" s="116">
        <v>947</v>
      </c>
      <c r="E12" s="132">
        <v>1044</v>
      </c>
      <c r="F12" s="132">
        <v>1120</v>
      </c>
    </row>
    <row r="13" spans="1:8" ht="27" customHeight="1">
      <c r="A13" s="181" t="s">
        <v>1228</v>
      </c>
      <c r="B13" s="116">
        <v>800</v>
      </c>
      <c r="C13" s="116">
        <v>882</v>
      </c>
      <c r="D13" s="116">
        <v>947</v>
      </c>
      <c r="E13" s="132">
        <v>1050</v>
      </c>
      <c r="F13" s="132">
        <v>1138</v>
      </c>
    </row>
    <row r="14" spans="1:8" ht="27" customHeight="1">
      <c r="A14" s="181" t="s">
        <v>1229</v>
      </c>
      <c r="B14" s="116">
        <v>805</v>
      </c>
      <c r="C14" s="116">
        <v>895</v>
      </c>
      <c r="D14" s="116">
        <v>952</v>
      </c>
      <c r="E14" s="132">
        <v>1062</v>
      </c>
      <c r="F14" s="132">
        <v>1147</v>
      </c>
    </row>
    <row r="15" spans="1:8" ht="27" customHeight="1">
      <c r="A15" s="181" t="s">
        <v>1230</v>
      </c>
      <c r="B15" s="116">
        <v>829</v>
      </c>
      <c r="C15" s="116">
        <v>902</v>
      </c>
      <c r="D15" s="116">
        <v>945</v>
      </c>
      <c r="E15" s="132">
        <v>1077</v>
      </c>
      <c r="F15" s="132">
        <v>1168</v>
      </c>
    </row>
    <row r="16" spans="1:8" ht="27" customHeight="1">
      <c r="A16" s="181" t="s">
        <v>1231</v>
      </c>
      <c r="B16" s="116">
        <v>831</v>
      </c>
      <c r="C16" s="116">
        <v>910</v>
      </c>
      <c r="D16" s="116">
        <v>940</v>
      </c>
      <c r="E16" s="132">
        <v>1083</v>
      </c>
      <c r="F16" s="132">
        <v>1178</v>
      </c>
    </row>
    <row r="17" spans="1:6" ht="27" customHeight="1">
      <c r="A17" s="181" t="s">
        <v>1232</v>
      </c>
      <c r="B17" s="117">
        <v>838</v>
      </c>
      <c r="C17" s="117">
        <v>912</v>
      </c>
      <c r="D17" s="117">
        <v>933</v>
      </c>
      <c r="E17" s="132">
        <v>1089</v>
      </c>
      <c r="F17" s="132">
        <v>1159</v>
      </c>
    </row>
    <row r="18" spans="1:6" ht="22.5" customHeight="1">
      <c r="A18" s="276" t="s">
        <v>743</v>
      </c>
      <c r="B18" s="278">
        <f>AVERAGE(B6:B17)</f>
        <v>777.66666666666663</v>
      </c>
      <c r="C18" s="278">
        <f>AVERAGE(C6:C17)</f>
        <v>883.75</v>
      </c>
      <c r="D18" s="278">
        <f>AVERAGE(D6:D17)</f>
        <v>946.41666666666663</v>
      </c>
      <c r="E18" s="1294">
        <f>AVERAGE(E6:E17)</f>
        <v>1041.5833333333333</v>
      </c>
      <c r="F18" s="1294">
        <f>AVERAGE(F6:F17)</f>
        <v>1125.5833333333333</v>
      </c>
    </row>
    <row r="19" spans="1:6">
      <c r="D19" s="16"/>
      <c r="F19" s="924" t="s">
        <v>1618</v>
      </c>
    </row>
    <row r="20" spans="1:6">
      <c r="D20" s="16"/>
      <c r="F20" s="158"/>
    </row>
    <row r="21" spans="1:6" ht="16.5" customHeight="1">
      <c r="A21" s="1363" t="s">
        <v>1469</v>
      </c>
      <c r="B21" s="1363"/>
      <c r="C21" s="1363"/>
      <c r="D21" s="1363"/>
      <c r="E21" s="1363"/>
      <c r="F21" s="1363"/>
    </row>
    <row r="22" spans="1:6" ht="32.25" customHeight="1">
      <c r="A22" s="1544" t="s">
        <v>1645</v>
      </c>
      <c r="B22" s="1355"/>
      <c r="C22" s="1355"/>
      <c r="D22" s="1355"/>
      <c r="E22" s="1355"/>
      <c r="F22" s="1355"/>
    </row>
    <row r="23" spans="1:6" ht="12.75" customHeight="1">
      <c r="A23" s="1882"/>
      <c r="B23" s="1882"/>
      <c r="C23" s="1882"/>
      <c r="D23" s="1882"/>
      <c r="E23" s="1883" t="s">
        <v>1253</v>
      </c>
      <c r="F23" s="1883"/>
    </row>
    <row r="24" spans="1:6" ht="18" customHeight="1">
      <c r="A24" s="1389" t="s">
        <v>245</v>
      </c>
      <c r="B24" s="1390"/>
      <c r="C24" s="1391" t="s">
        <v>1640</v>
      </c>
      <c r="D24" s="1392"/>
      <c r="E24" s="1391" t="s">
        <v>1641</v>
      </c>
      <c r="F24" s="1392"/>
    </row>
    <row r="25" spans="1:6" ht="18" customHeight="1">
      <c r="A25" s="1353" t="s">
        <v>1208</v>
      </c>
      <c r="B25" s="1354"/>
      <c r="C25" s="1353" t="s">
        <v>1209</v>
      </c>
      <c r="D25" s="1354"/>
      <c r="E25" s="1353" t="s">
        <v>1210</v>
      </c>
      <c r="F25" s="1354"/>
    </row>
    <row r="26" spans="1:6" ht="30" customHeight="1">
      <c r="A26" s="1705" t="s">
        <v>248</v>
      </c>
      <c r="B26" s="1706"/>
      <c r="C26" s="1880" t="s">
        <v>1509</v>
      </c>
      <c r="D26" s="1881"/>
      <c r="E26" s="1778">
        <v>762</v>
      </c>
      <c r="F26" s="1666"/>
    </row>
    <row r="27" spans="1:6" ht="30" customHeight="1">
      <c r="A27" s="1689" t="s">
        <v>249</v>
      </c>
      <c r="B27" s="1690"/>
      <c r="C27" s="1413" t="s">
        <v>1509</v>
      </c>
      <c r="D27" s="1414"/>
      <c r="E27" s="1413">
        <v>762</v>
      </c>
      <c r="F27" s="1414"/>
    </row>
    <row r="28" spans="1:6" ht="30" customHeight="1">
      <c r="A28" s="1689" t="s">
        <v>250</v>
      </c>
      <c r="B28" s="1690"/>
      <c r="C28" s="1878" t="s">
        <v>1509</v>
      </c>
      <c r="D28" s="1879"/>
      <c r="E28" s="1413">
        <v>762</v>
      </c>
      <c r="F28" s="1414"/>
    </row>
    <row r="29" spans="1:6" ht="30" customHeight="1">
      <c r="A29" s="1689" t="s">
        <v>246</v>
      </c>
      <c r="B29" s="1885"/>
      <c r="C29" s="1413" t="s">
        <v>1509</v>
      </c>
      <c r="D29" s="1414"/>
      <c r="E29" s="1468">
        <v>762</v>
      </c>
      <c r="F29" s="1414"/>
    </row>
    <row r="30" spans="1:6" ht="30" customHeight="1">
      <c r="A30" s="1695" t="s">
        <v>247</v>
      </c>
      <c r="B30" s="1884"/>
      <c r="C30" s="1480" t="s">
        <v>1509</v>
      </c>
      <c r="D30" s="1647"/>
      <c r="E30" s="1481">
        <v>761</v>
      </c>
      <c r="F30" s="1647"/>
    </row>
    <row r="31" spans="1:6">
      <c r="A31" s="946"/>
      <c r="C31" s="924" t="s">
        <v>117</v>
      </c>
      <c r="D31" s="257" t="s">
        <v>1045</v>
      </c>
      <c r="E31" s="25"/>
      <c r="F31" s="25"/>
    </row>
    <row r="32" spans="1:6">
      <c r="B32" s="166"/>
      <c r="C32" s="25"/>
      <c r="D32" s="1877" t="s">
        <v>1046</v>
      </c>
      <c r="E32" s="1539"/>
      <c r="F32" s="1539"/>
    </row>
    <row r="33" spans="2:6">
      <c r="B33" s="166"/>
      <c r="C33" s="25"/>
      <c r="D33" s="1539"/>
      <c r="E33" s="1539"/>
      <c r="F33" s="1539"/>
    </row>
    <row r="40" spans="2:6" ht="12.75" customHeight="1"/>
    <row r="43" spans="2:6">
      <c r="B43" s="191"/>
    </row>
    <row r="45" spans="2:6">
      <c r="B45" s="175"/>
    </row>
  </sheetData>
  <mergeCells count="29">
    <mergeCell ref="A30:B30"/>
    <mergeCell ref="C30:D30"/>
    <mergeCell ref="E30:F30"/>
    <mergeCell ref="A27:B27"/>
    <mergeCell ref="A28:B28"/>
    <mergeCell ref="A29:B29"/>
    <mergeCell ref="A1:F1"/>
    <mergeCell ref="A22:F22"/>
    <mergeCell ref="A24:B24"/>
    <mergeCell ref="A25:B25"/>
    <mergeCell ref="E25:F25"/>
    <mergeCell ref="C25:D25"/>
    <mergeCell ref="A2:F2"/>
    <mergeCell ref="A26:B26"/>
    <mergeCell ref="A21:F21"/>
    <mergeCell ref="C24:D24"/>
    <mergeCell ref="C26:D26"/>
    <mergeCell ref="E24:F24"/>
    <mergeCell ref="A23:B23"/>
    <mergeCell ref="C23:D23"/>
    <mergeCell ref="E23:F23"/>
    <mergeCell ref="E26:F26"/>
    <mergeCell ref="D32:F33"/>
    <mergeCell ref="E29:F29"/>
    <mergeCell ref="C29:D29"/>
    <mergeCell ref="E27:F27"/>
    <mergeCell ref="E28:F28"/>
    <mergeCell ref="C27:D27"/>
    <mergeCell ref="C28:D28"/>
  </mergeCells>
  <phoneticPr fontId="0" type="noConversion"/>
  <printOptions horizontalCentered="1"/>
  <pageMargins left="0.15" right="0.1" top="0.75" bottom="0.1" header="0.57999999999999996" footer="0.1"/>
  <pageSetup paperSize="9" orientation="portrait" blackAndWhite="1" horizontalDpi="4294967295" r:id="rId1"/>
  <headerFooter alignWithMargins="0"/>
</worksheet>
</file>

<file path=xl/worksheets/sheet66.xml><?xml version="1.0" encoding="utf-8"?>
<worksheet xmlns="http://schemas.openxmlformats.org/spreadsheetml/2006/main" xmlns:r="http://schemas.openxmlformats.org/officeDocument/2006/relationships">
  <sheetPr codeName="Sheet81"/>
  <dimension ref="A1:Q32"/>
  <sheetViews>
    <sheetView workbookViewId="0">
      <selection activeCell="M5" sqref="M5"/>
    </sheetView>
  </sheetViews>
  <sheetFormatPr defaultRowHeight="12.75"/>
  <cols>
    <col min="1" max="1" width="13.5703125" customWidth="1"/>
    <col min="2" max="12" width="10.42578125" customWidth="1"/>
    <col min="13" max="13" width="11.85546875" customWidth="1"/>
  </cols>
  <sheetData>
    <row r="1" spans="1:13" ht="15.75" customHeight="1">
      <c r="A1" s="1363" t="s">
        <v>860</v>
      </c>
      <c r="B1" s="1363"/>
      <c r="C1" s="1363"/>
      <c r="D1" s="1363"/>
      <c r="E1" s="1363"/>
      <c r="F1" s="1363"/>
      <c r="G1" s="1363"/>
      <c r="H1" s="1363"/>
      <c r="I1" s="1363"/>
      <c r="J1" s="1363"/>
      <c r="K1" s="1363"/>
      <c r="L1" s="1363"/>
      <c r="M1" s="1363"/>
    </row>
    <row r="2" spans="1:13" ht="18" customHeight="1">
      <c r="A2" s="1355" t="s">
        <v>1238</v>
      </c>
      <c r="B2" s="1355"/>
      <c r="C2" s="1355"/>
      <c r="D2" s="1355"/>
      <c r="E2" s="1355"/>
      <c r="F2" s="1355"/>
      <c r="G2" s="1355"/>
      <c r="H2" s="1355"/>
      <c r="I2" s="1355"/>
      <c r="J2" s="1355"/>
      <c r="K2" s="1355"/>
      <c r="L2" s="1355"/>
      <c r="M2" s="1355"/>
    </row>
    <row r="3" spans="1:13" ht="12.75" customHeight="1">
      <c r="B3" s="4"/>
      <c r="C3" s="4"/>
      <c r="D3" s="4"/>
      <c r="E3" s="4"/>
      <c r="F3" s="4"/>
      <c r="G3" s="4"/>
      <c r="H3" s="7"/>
      <c r="L3" s="1896" t="s">
        <v>744</v>
      </c>
      <c r="M3" s="1896"/>
    </row>
    <row r="4" spans="1:13" ht="28.5" customHeight="1">
      <c r="A4" s="1346" t="s">
        <v>1089</v>
      </c>
      <c r="B4" s="1630" t="s">
        <v>745</v>
      </c>
      <c r="C4" s="1630"/>
      <c r="D4" s="1390"/>
      <c r="E4" s="1389" t="s">
        <v>746</v>
      </c>
      <c r="F4" s="1630"/>
      <c r="G4" s="1390"/>
      <c r="H4" s="1771" t="s">
        <v>1485</v>
      </c>
      <c r="I4" s="1788"/>
      <c r="J4" s="1773"/>
      <c r="K4" s="1771" t="s">
        <v>569</v>
      </c>
      <c r="L4" s="1788"/>
      <c r="M4" s="1773"/>
    </row>
    <row r="5" spans="1:13" ht="16.5" customHeight="1">
      <c r="A5" s="1347"/>
      <c r="B5" s="240" t="s">
        <v>1199</v>
      </c>
      <c r="C5" s="240" t="s">
        <v>941</v>
      </c>
      <c r="D5" s="216" t="s">
        <v>1233</v>
      </c>
      <c r="E5" s="240" t="s">
        <v>1199</v>
      </c>
      <c r="F5" s="240" t="s">
        <v>941</v>
      </c>
      <c r="G5" s="240" t="s">
        <v>1233</v>
      </c>
      <c r="H5" s="363" t="s">
        <v>1199</v>
      </c>
      <c r="I5" s="363" t="s">
        <v>941</v>
      </c>
      <c r="J5" s="298" t="s">
        <v>1233</v>
      </c>
      <c r="K5" s="363" t="s">
        <v>1199</v>
      </c>
      <c r="L5" s="363" t="s">
        <v>941</v>
      </c>
      <c r="M5" s="298" t="s">
        <v>1233</v>
      </c>
    </row>
    <row r="6" spans="1:13" ht="16.5" customHeight="1">
      <c r="A6" s="156" t="s">
        <v>1208</v>
      </c>
      <c r="B6" s="151" t="s">
        <v>1209</v>
      </c>
      <c r="C6" s="151" t="s">
        <v>1210</v>
      </c>
      <c r="D6" s="153" t="s">
        <v>1211</v>
      </c>
      <c r="E6" s="151" t="s">
        <v>1212</v>
      </c>
      <c r="F6" s="151" t="s">
        <v>1213</v>
      </c>
      <c r="G6" s="151" t="s">
        <v>1214</v>
      </c>
      <c r="H6" s="151" t="s">
        <v>1244</v>
      </c>
      <c r="I6" s="151" t="s">
        <v>1245</v>
      </c>
      <c r="J6" s="153" t="s">
        <v>1246</v>
      </c>
      <c r="K6" s="151" t="s">
        <v>1247</v>
      </c>
      <c r="L6" s="151" t="s">
        <v>1271</v>
      </c>
      <c r="M6" s="153" t="s">
        <v>1272</v>
      </c>
    </row>
    <row r="7" spans="1:13" ht="24" customHeight="1">
      <c r="A7" s="836" t="s">
        <v>1577</v>
      </c>
      <c r="B7" s="129">
        <v>719</v>
      </c>
      <c r="C7" s="129">
        <v>6</v>
      </c>
      <c r="D7" s="129">
        <f>SUM(B7:C7)</f>
        <v>725</v>
      </c>
      <c r="E7" s="129">
        <v>763.7</v>
      </c>
      <c r="F7" s="129">
        <v>352.9</v>
      </c>
      <c r="G7" s="129">
        <f>SUM(E7:F7)</f>
        <v>1116.5999999999999</v>
      </c>
      <c r="H7" s="129">
        <v>1428.9</v>
      </c>
      <c r="I7" s="129">
        <v>3814.1</v>
      </c>
      <c r="J7" s="291">
        <f>IF(SUM(H7:I7)=0,"..",SUM(H7:I7))</f>
        <v>5243</v>
      </c>
      <c r="K7" s="129">
        <v>68.959999999999994</v>
      </c>
      <c r="L7" s="840" t="s">
        <v>1509</v>
      </c>
      <c r="M7" s="291">
        <f>IF(SUM(K7:L7)=0,"..",SUM(K7:L7))</f>
        <v>68.959999999999994</v>
      </c>
    </row>
    <row r="8" spans="1:13" ht="24" customHeight="1">
      <c r="A8" s="836" t="s">
        <v>1576</v>
      </c>
      <c r="B8" s="129">
        <v>720</v>
      </c>
      <c r="C8" s="129">
        <v>7</v>
      </c>
      <c r="D8" s="129">
        <f>SUM(B8:C8)</f>
        <v>727</v>
      </c>
      <c r="E8" s="129">
        <v>789.2</v>
      </c>
      <c r="F8" s="129">
        <v>365.2</v>
      </c>
      <c r="G8" s="129">
        <f>SUM(E8:F8)</f>
        <v>1154.4000000000001</v>
      </c>
      <c r="H8" s="129">
        <v>1552</v>
      </c>
      <c r="I8" s="129">
        <v>3481</v>
      </c>
      <c r="J8" s="291">
        <f>IF(SUM(H8:I8)=0,"..",SUM(H8:I8))</f>
        <v>5033</v>
      </c>
      <c r="K8" s="129">
        <v>72.63</v>
      </c>
      <c r="L8" s="840" t="s">
        <v>1509</v>
      </c>
      <c r="M8" s="291">
        <f>IF(SUM(K8:L8)=0,"..",SUM(K8:L8))</f>
        <v>72.63</v>
      </c>
    </row>
    <row r="9" spans="1:13" ht="24" customHeight="1">
      <c r="A9" s="836" t="s">
        <v>267</v>
      </c>
      <c r="B9" s="129">
        <v>646</v>
      </c>
      <c r="C9" s="129" t="s">
        <v>1509</v>
      </c>
      <c r="D9" s="129" t="s">
        <v>718</v>
      </c>
      <c r="E9" s="129">
        <v>815.58</v>
      </c>
      <c r="F9" s="129">
        <v>374.27</v>
      </c>
      <c r="G9" s="129">
        <f>SUM(E9:F9)</f>
        <v>1189.8499999999999</v>
      </c>
      <c r="H9" s="129">
        <v>1800.48</v>
      </c>
      <c r="I9" s="129">
        <v>4146.5</v>
      </c>
      <c r="J9" s="291">
        <f>IF(SUM(H9:I9)=0,"..",SUM(H9:I9))</f>
        <v>5946.98</v>
      </c>
      <c r="K9" s="129">
        <v>412.04</v>
      </c>
      <c r="L9" s="840" t="s">
        <v>1509</v>
      </c>
      <c r="M9" s="291">
        <f>IF(SUM(K9:L9)=0,"..",SUM(K9:L9))</f>
        <v>412.04</v>
      </c>
    </row>
    <row r="10" spans="1:13" ht="24" customHeight="1">
      <c r="A10" s="836" t="s">
        <v>1094</v>
      </c>
      <c r="B10" s="129" t="s">
        <v>1183</v>
      </c>
      <c r="C10" s="129" t="s">
        <v>1183</v>
      </c>
      <c r="D10" s="129" t="s">
        <v>1183</v>
      </c>
      <c r="E10" s="129">
        <v>833.36</v>
      </c>
      <c r="F10" s="129">
        <v>356.97</v>
      </c>
      <c r="G10" s="129">
        <f>SUM(E10:F10)</f>
        <v>1190.33</v>
      </c>
      <c r="H10" s="129">
        <v>1804.55</v>
      </c>
      <c r="I10" s="129">
        <v>4153</v>
      </c>
      <c r="J10" s="469">
        <f>IF(SUM(H10:I10)=0,"..",SUM(H10:I10))</f>
        <v>5957.55</v>
      </c>
      <c r="K10" s="129">
        <v>487.33</v>
      </c>
      <c r="L10" s="129" t="s">
        <v>1509</v>
      </c>
      <c r="M10" s="469">
        <f>IF(SUM(K10:L10)=0,"..",SUM(K10:L10))</f>
        <v>487.33</v>
      </c>
    </row>
    <row r="11" spans="1:13" ht="24" customHeight="1">
      <c r="A11" s="761" t="s">
        <v>1595</v>
      </c>
      <c r="B11" s="131">
        <v>646</v>
      </c>
      <c r="C11" s="396" t="s">
        <v>1509</v>
      </c>
      <c r="D11" s="131">
        <v>646</v>
      </c>
      <c r="E11" s="131">
        <v>866.96</v>
      </c>
      <c r="F11" s="131">
        <v>323.37</v>
      </c>
      <c r="G11" s="131">
        <f>SUM(E11:F11)</f>
        <v>1190.33</v>
      </c>
      <c r="H11" s="131">
        <v>1834.3</v>
      </c>
      <c r="I11" s="131">
        <v>4122.25</v>
      </c>
      <c r="J11" s="710">
        <f>IF(SUM(H11:I11)=0,"..",SUM(H11:I11))</f>
        <v>5956.55</v>
      </c>
      <c r="K11" s="131">
        <v>549.41</v>
      </c>
      <c r="L11" s="131" t="s">
        <v>1509</v>
      </c>
      <c r="M11" s="710">
        <f>IF(SUM(K11:L11)=0,"..",SUM(K11:L11))</f>
        <v>549.41</v>
      </c>
    </row>
    <row r="12" spans="1:13" ht="12" customHeight="1">
      <c r="A12" s="1897" t="s">
        <v>1313</v>
      </c>
      <c r="B12" s="1897"/>
      <c r="C12" s="1897"/>
      <c r="D12" s="1897"/>
      <c r="E12" t="s">
        <v>933</v>
      </c>
      <c r="H12" s="166"/>
      <c r="J12" s="924" t="s">
        <v>947</v>
      </c>
      <c r="K12" s="257" t="s">
        <v>1391</v>
      </c>
      <c r="L12" s="25"/>
      <c r="M12" s="25"/>
    </row>
    <row r="13" spans="1:13" ht="12" customHeight="1">
      <c r="A13" s="1898"/>
      <c r="B13" s="1898"/>
      <c r="C13" s="1898"/>
      <c r="D13" s="1898"/>
      <c r="H13" s="274"/>
      <c r="K13" s="1307" t="s">
        <v>1392</v>
      </c>
      <c r="L13" s="25"/>
      <c r="M13" s="25"/>
    </row>
    <row r="14" spans="1:13" ht="13.5" customHeight="1">
      <c r="H14" s="274"/>
      <c r="J14" s="981" t="s">
        <v>948</v>
      </c>
      <c r="K14" s="972" t="s">
        <v>716</v>
      </c>
      <c r="L14" s="25"/>
      <c r="M14" s="25"/>
    </row>
    <row r="15" spans="1:13" ht="12" customHeight="1">
      <c r="H15" s="274"/>
      <c r="J15" s="924" t="s">
        <v>955</v>
      </c>
      <c r="K15" s="972" t="s">
        <v>717</v>
      </c>
      <c r="L15" s="25"/>
      <c r="M15" s="25"/>
    </row>
    <row r="16" spans="1:13" ht="12" customHeight="1">
      <c r="F16" s="166"/>
      <c r="G16" s="274"/>
      <c r="H16" s="274"/>
      <c r="I16" s="24"/>
      <c r="J16" s="924" t="s">
        <v>951</v>
      </c>
      <c r="K16" s="972" t="s">
        <v>568</v>
      </c>
    </row>
    <row r="17" spans="1:17">
      <c r="A17" s="1430" t="s">
        <v>859</v>
      </c>
      <c r="B17" s="1430"/>
      <c r="C17" s="1430"/>
      <c r="D17" s="1430"/>
      <c r="E17" s="1430"/>
      <c r="F17" s="1430"/>
      <c r="G17" s="1430"/>
      <c r="H17" s="1430"/>
      <c r="I17" s="1430"/>
      <c r="J17" s="1430"/>
      <c r="K17" s="1430"/>
      <c r="L17" s="1430"/>
    </row>
    <row r="18" spans="1:17" ht="16.5">
      <c r="A18" s="1367" t="str">
        <f>CONCATENATE("Length of different classes of Roads maintained by P.W.D. in the district of ",District!$A$1)</f>
        <v>Length of different classes of Roads maintained by P.W.D. in the district of Malda</v>
      </c>
      <c r="B18" s="1367"/>
      <c r="C18" s="1367"/>
      <c r="D18" s="1367"/>
      <c r="E18" s="1367"/>
      <c r="F18" s="1367"/>
      <c r="G18" s="1367"/>
      <c r="H18" s="1367"/>
      <c r="I18" s="1367"/>
      <c r="J18" s="1367"/>
      <c r="K18" s="1367"/>
      <c r="L18" s="1367"/>
    </row>
    <row r="19" spans="1:17">
      <c r="L19" s="162" t="s">
        <v>744</v>
      </c>
    </row>
    <row r="20" spans="1:17" ht="16.5" customHeight="1">
      <c r="A20" s="1359" t="s">
        <v>1089</v>
      </c>
      <c r="B20" s="1360"/>
      <c r="C20" s="1391" t="s">
        <v>749</v>
      </c>
      <c r="D20" s="1890"/>
      <c r="E20" s="1391" t="s">
        <v>750</v>
      </c>
      <c r="F20" s="1890"/>
      <c r="G20" s="1391" t="s">
        <v>751</v>
      </c>
      <c r="H20" s="1890"/>
      <c r="I20" s="1391" t="s">
        <v>752</v>
      </c>
      <c r="J20" s="1890"/>
      <c r="K20" s="1359" t="s">
        <v>1233</v>
      </c>
      <c r="L20" s="1360"/>
    </row>
    <row r="21" spans="1:17" ht="16.5" customHeight="1">
      <c r="A21" s="1353" t="s">
        <v>1208</v>
      </c>
      <c r="B21" s="1354"/>
      <c r="C21" s="1353" t="s">
        <v>1209</v>
      </c>
      <c r="D21" s="1890"/>
      <c r="E21" s="1353" t="s">
        <v>1210</v>
      </c>
      <c r="F21" s="1890"/>
      <c r="G21" s="1353" t="s">
        <v>1211</v>
      </c>
      <c r="H21" s="1890"/>
      <c r="I21" s="1353" t="s">
        <v>1212</v>
      </c>
      <c r="J21" s="1890"/>
      <c r="K21" s="1353" t="s">
        <v>1213</v>
      </c>
      <c r="L21" s="1354"/>
    </row>
    <row r="22" spans="1:17" ht="24" customHeight="1">
      <c r="A22" s="1705" t="s">
        <v>1577</v>
      </c>
      <c r="B22" s="1706"/>
      <c r="C22" s="1899" t="s">
        <v>1183</v>
      </c>
      <c r="D22" s="1900"/>
      <c r="E22" s="1899" t="s">
        <v>1183</v>
      </c>
      <c r="F22" s="1900"/>
      <c r="G22" s="1899" t="s">
        <v>1183</v>
      </c>
      <c r="H22" s="1900"/>
      <c r="I22" s="1899" t="s">
        <v>1183</v>
      </c>
      <c r="J22" s="1900"/>
      <c r="K22" s="1774">
        <v>725</v>
      </c>
      <c r="L22" s="1775"/>
    </row>
    <row r="23" spans="1:17" ht="24" customHeight="1">
      <c r="A23" s="1689" t="s">
        <v>1576</v>
      </c>
      <c r="B23" s="1690"/>
      <c r="C23" s="1891" t="s">
        <v>1183</v>
      </c>
      <c r="D23" s="1892"/>
      <c r="E23" s="1891" t="s">
        <v>1183</v>
      </c>
      <c r="F23" s="1892"/>
      <c r="G23" s="1891" t="s">
        <v>1183</v>
      </c>
      <c r="H23" s="1892"/>
      <c r="I23" s="1891" t="s">
        <v>1183</v>
      </c>
      <c r="J23" s="1892"/>
      <c r="K23" s="1776">
        <v>727</v>
      </c>
      <c r="L23" s="1777"/>
    </row>
    <row r="24" spans="1:17" ht="24" customHeight="1">
      <c r="A24" s="1689" t="s">
        <v>267</v>
      </c>
      <c r="B24" s="1690"/>
      <c r="C24" s="1891" t="s">
        <v>1183</v>
      </c>
      <c r="D24" s="1892"/>
      <c r="E24" s="1891" t="s">
        <v>1183</v>
      </c>
      <c r="F24" s="1892"/>
      <c r="G24" s="1891" t="s">
        <v>1183</v>
      </c>
      <c r="H24" s="1892"/>
      <c r="I24" s="1891" t="s">
        <v>1183</v>
      </c>
      <c r="J24" s="1892"/>
      <c r="K24" s="1776">
        <v>646</v>
      </c>
      <c r="L24" s="1777"/>
    </row>
    <row r="25" spans="1:17" ht="24" customHeight="1">
      <c r="A25" s="1689" t="s">
        <v>1094</v>
      </c>
      <c r="B25" s="1690"/>
      <c r="C25" s="1893" t="s">
        <v>1183</v>
      </c>
      <c r="D25" s="1894"/>
      <c r="E25" s="1893" t="s">
        <v>1183</v>
      </c>
      <c r="F25" s="1894"/>
      <c r="G25" s="1895" t="s">
        <v>1183</v>
      </c>
      <c r="H25" s="1894"/>
      <c r="I25" s="1893" t="s">
        <v>1183</v>
      </c>
      <c r="J25" s="1894"/>
      <c r="K25" s="1776" t="s">
        <v>1183</v>
      </c>
      <c r="L25" s="1777"/>
    </row>
    <row r="26" spans="1:17" ht="24" customHeight="1">
      <c r="A26" s="1695" t="s">
        <v>1595</v>
      </c>
      <c r="B26" s="1696"/>
      <c r="C26" s="1886">
        <v>118</v>
      </c>
      <c r="D26" s="1887"/>
      <c r="E26" s="1886">
        <v>66</v>
      </c>
      <c r="F26" s="1887"/>
      <c r="G26" s="1886">
        <v>418</v>
      </c>
      <c r="H26" s="1887"/>
      <c r="I26" s="1886">
        <v>44</v>
      </c>
      <c r="J26" s="1888"/>
      <c r="K26" s="1889">
        <f>SUM(C26:J26)</f>
        <v>646</v>
      </c>
      <c r="L26" s="1766"/>
    </row>
    <row r="27" spans="1:17">
      <c r="J27" s="360"/>
      <c r="L27" s="984" t="s">
        <v>1390</v>
      </c>
    </row>
    <row r="28" spans="1:17">
      <c r="I28" s="360"/>
      <c r="J28" s="530"/>
      <c r="Q28" s="7"/>
    </row>
    <row r="29" spans="1:17">
      <c r="A29" s="50"/>
      <c r="B29" s="279"/>
      <c r="D29" s="271"/>
    </row>
    <row r="30" spans="1:17">
      <c r="A30" s="50"/>
      <c r="B30" s="58"/>
      <c r="C30" s="58"/>
      <c r="D30" s="8"/>
    </row>
    <row r="32" spans="1:17">
      <c r="L32" s="9"/>
    </row>
  </sheetData>
  <mergeCells count="53">
    <mergeCell ref="A24:B24"/>
    <mergeCell ref="A22:B22"/>
    <mergeCell ref="C22:D22"/>
    <mergeCell ref="A18:L18"/>
    <mergeCell ref="E22:F22"/>
    <mergeCell ref="C20:D20"/>
    <mergeCell ref="E20:F20"/>
    <mergeCell ref="C21:D21"/>
    <mergeCell ref="G22:H22"/>
    <mergeCell ref="I22:J22"/>
    <mergeCell ref="A12:D13"/>
    <mergeCell ref="A23:B23"/>
    <mergeCell ref="A17:L17"/>
    <mergeCell ref="G21:H21"/>
    <mergeCell ref="I21:J21"/>
    <mergeCell ref="A20:B20"/>
    <mergeCell ref="A21:B21"/>
    <mergeCell ref="G24:H24"/>
    <mergeCell ref="I24:J24"/>
    <mergeCell ref="E24:F24"/>
    <mergeCell ref="C23:D23"/>
    <mergeCell ref="E23:F23"/>
    <mergeCell ref="I23:J23"/>
    <mergeCell ref="K4:M4"/>
    <mergeCell ref="A1:M1"/>
    <mergeCell ref="A2:M2"/>
    <mergeCell ref="K20:L20"/>
    <mergeCell ref="A4:A5"/>
    <mergeCell ref="B4:D4"/>
    <mergeCell ref="E4:G4"/>
    <mergeCell ref="L3:M3"/>
    <mergeCell ref="H4:J4"/>
    <mergeCell ref="I20:J20"/>
    <mergeCell ref="A25:B25"/>
    <mergeCell ref="K23:L23"/>
    <mergeCell ref="K24:L24"/>
    <mergeCell ref="G20:H20"/>
    <mergeCell ref="C24:D24"/>
    <mergeCell ref="G23:H23"/>
    <mergeCell ref="I25:J25"/>
    <mergeCell ref="C25:D25"/>
    <mergeCell ref="E25:F25"/>
    <mergeCell ref="G25:H25"/>
    <mergeCell ref="A26:B26"/>
    <mergeCell ref="C26:D26"/>
    <mergeCell ref="E26:F26"/>
    <mergeCell ref="K21:L21"/>
    <mergeCell ref="K22:L22"/>
    <mergeCell ref="G26:H26"/>
    <mergeCell ref="I26:J26"/>
    <mergeCell ref="K26:L26"/>
    <mergeCell ref="E21:F21"/>
    <mergeCell ref="K25:L25"/>
  </mergeCells>
  <phoneticPr fontId="0" type="noConversion"/>
  <conditionalFormatting sqref="A11:A12 M11:M65536 A14:D16 J25 A26:J65536 A1:M10 K27:L65536 N1:IV1048576 B11:D11 A19:L21 K22:K26 A22:A25 H25 C22:C25 B25 E22:E25 D25 G22:G25 F25 I22:I25 E11:I16 L11:L16 J11:K12 J14:K16">
    <cfRule type="cellIs" dxfId="4" priority="1" stopIfTrue="1" operator="equal">
      <formula>".."</formula>
    </cfRule>
  </conditionalFormatting>
  <printOptions horizontalCentered="1"/>
  <pageMargins left="0.1" right="0.14000000000000001" top="0.73" bottom="0.1" header="0.57999999999999996" footer="0.1"/>
  <pageSetup paperSize="9" orientation="landscape" blackAndWhite="1" horizontalDpi="4294967295" r:id="rId1"/>
  <headerFooter alignWithMargins="0"/>
</worksheet>
</file>

<file path=xl/worksheets/sheet67.xml><?xml version="1.0" encoding="utf-8"?>
<worksheet xmlns="http://schemas.openxmlformats.org/spreadsheetml/2006/main" xmlns:r="http://schemas.openxmlformats.org/officeDocument/2006/relationships">
  <sheetPr codeName="Sheet84"/>
  <dimension ref="A1:M29"/>
  <sheetViews>
    <sheetView workbookViewId="0">
      <selection activeCell="M5" sqref="M5"/>
    </sheetView>
  </sheetViews>
  <sheetFormatPr defaultRowHeight="12.75"/>
  <cols>
    <col min="1" max="1" width="11.5703125" customWidth="1"/>
    <col min="2" max="2" width="10.7109375" customWidth="1"/>
    <col min="3" max="3" width="10" customWidth="1"/>
    <col min="4" max="4" width="10.5703125" customWidth="1"/>
    <col min="5" max="5" width="15.140625" customWidth="1"/>
    <col min="6" max="6" width="12.140625" customWidth="1"/>
    <col min="7" max="7" width="9.28515625" customWidth="1"/>
    <col min="8" max="8" width="10" customWidth="1"/>
    <col min="9" max="9" width="12.140625" customWidth="1"/>
    <col min="10" max="10" width="8.140625" customWidth="1"/>
    <col min="11" max="11" width="11" customWidth="1"/>
  </cols>
  <sheetData>
    <row r="1" spans="1:13" ht="13.5" customHeight="1">
      <c r="A1" s="1430" t="s">
        <v>861</v>
      </c>
      <c r="B1" s="1430"/>
      <c r="C1" s="1430"/>
      <c r="D1" s="1430"/>
      <c r="E1" s="1430"/>
      <c r="F1" s="1430"/>
      <c r="G1" s="1430"/>
      <c r="H1" s="1430"/>
      <c r="I1" s="1430"/>
      <c r="J1" s="1430"/>
      <c r="K1" s="1430"/>
    </row>
    <row r="2" spans="1:13" ht="15" customHeight="1">
      <c r="A2" s="1467" t="str">
        <f>CONCATENATE("Length of Roads maintained by Municipalities in the district of ",District!$A$1)</f>
        <v>Length of Roads maintained by Municipalities in the district of Malda</v>
      </c>
      <c r="B2" s="1467"/>
      <c r="C2" s="1467"/>
      <c r="D2" s="1467"/>
      <c r="E2" s="1467"/>
      <c r="F2" s="1467"/>
      <c r="G2" s="1467"/>
      <c r="H2" s="1467"/>
      <c r="I2" s="1467"/>
      <c r="J2" s="1467"/>
      <c r="K2" s="1467"/>
    </row>
    <row r="3" spans="1:13" ht="12" customHeight="1">
      <c r="K3" s="162" t="s">
        <v>744</v>
      </c>
    </row>
    <row r="4" spans="1:13" ht="15.75" customHeight="1">
      <c r="A4" s="1359" t="s">
        <v>1089</v>
      </c>
      <c r="B4" s="1548"/>
      <c r="C4" s="1391" t="s">
        <v>1199</v>
      </c>
      <c r="D4" s="1639"/>
      <c r="E4" s="1392"/>
      <c r="F4" s="1391" t="s">
        <v>941</v>
      </c>
      <c r="G4" s="1639"/>
      <c r="H4" s="1392"/>
      <c r="I4" s="1391" t="s">
        <v>1233</v>
      </c>
      <c r="J4" s="1639"/>
      <c r="K4" s="1392"/>
    </row>
    <row r="5" spans="1:13" ht="15.75" customHeight="1">
      <c r="A5" s="1353" t="s">
        <v>1208</v>
      </c>
      <c r="B5" s="1425"/>
      <c r="C5" s="1353" t="s">
        <v>1209</v>
      </c>
      <c r="D5" s="1425"/>
      <c r="E5" s="1354"/>
      <c r="F5" s="1353" t="s">
        <v>1210</v>
      </c>
      <c r="G5" s="1425"/>
      <c r="H5" s="1354"/>
      <c r="I5" s="1353" t="s">
        <v>1211</v>
      </c>
      <c r="J5" s="1425"/>
      <c r="K5" s="1354"/>
    </row>
    <row r="6" spans="1:13" ht="20.100000000000001" customHeight="1">
      <c r="A6" s="1914" t="s">
        <v>1577</v>
      </c>
      <c r="B6" s="1915"/>
      <c r="C6" s="1774">
        <v>308.88</v>
      </c>
      <c r="D6" s="1912"/>
      <c r="E6" s="1775"/>
      <c r="F6" s="1774">
        <v>223.58</v>
      </c>
      <c r="G6" s="1912"/>
      <c r="H6" s="1775"/>
      <c r="I6" s="1774">
        <f>SUM(C6:F6)</f>
        <v>532.46</v>
      </c>
      <c r="J6" s="1912"/>
      <c r="K6" s="1775"/>
    </row>
    <row r="7" spans="1:13" ht="20.100000000000001" customHeight="1">
      <c r="A7" s="1751" t="s">
        <v>1576</v>
      </c>
      <c r="B7" s="1913"/>
      <c r="C7" s="1776">
        <v>318.69</v>
      </c>
      <c r="D7" s="1791"/>
      <c r="E7" s="1777"/>
      <c r="F7" s="1776">
        <v>215.72</v>
      </c>
      <c r="G7" s="1791"/>
      <c r="H7" s="1777"/>
      <c r="I7" s="1776">
        <f>SUM(C7:F7)</f>
        <v>534.41</v>
      </c>
      <c r="J7" s="1791"/>
      <c r="K7" s="1777"/>
    </row>
    <row r="8" spans="1:13" ht="20.100000000000001" customHeight="1">
      <c r="A8" s="1751" t="s">
        <v>267</v>
      </c>
      <c r="B8" s="1913"/>
      <c r="C8" s="1776">
        <v>320.99</v>
      </c>
      <c r="D8" s="1791"/>
      <c r="E8" s="1777"/>
      <c r="F8" s="1776">
        <v>213.42</v>
      </c>
      <c r="G8" s="1791"/>
      <c r="H8" s="1777"/>
      <c r="I8" s="1776">
        <f>SUM(C8,F8)</f>
        <v>534.41</v>
      </c>
      <c r="J8" s="1791"/>
      <c r="K8" s="1777"/>
    </row>
    <row r="9" spans="1:13" ht="20.100000000000001" customHeight="1">
      <c r="A9" s="1751" t="s">
        <v>1094</v>
      </c>
      <c r="B9" s="1913"/>
      <c r="C9" s="1776">
        <v>425.57</v>
      </c>
      <c r="D9" s="1791"/>
      <c r="E9" s="1777"/>
      <c r="F9" s="1776">
        <v>204.14</v>
      </c>
      <c r="G9" s="1791"/>
      <c r="H9" s="1777"/>
      <c r="I9" s="1776">
        <f>SUM(C9,F9)</f>
        <v>629.71</v>
      </c>
      <c r="J9" s="1791"/>
      <c r="K9" s="1777"/>
    </row>
    <row r="10" spans="1:13" ht="20.100000000000001" customHeight="1">
      <c r="A10" s="1916" t="s">
        <v>1595</v>
      </c>
      <c r="B10" s="1917"/>
      <c r="C10" s="1889">
        <f>SUM(C12,C13)</f>
        <v>374.31</v>
      </c>
      <c r="D10" s="1765"/>
      <c r="E10" s="1766"/>
      <c r="F10" s="1889">
        <f>SUM(F12,F13)</f>
        <v>210.28</v>
      </c>
      <c r="G10" s="1765"/>
      <c r="H10" s="1766"/>
      <c r="I10" s="1889">
        <f>SUM(C10,F10)</f>
        <v>584.59</v>
      </c>
      <c r="J10" s="1765"/>
      <c r="K10" s="1766"/>
      <c r="M10" s="1303"/>
    </row>
    <row r="11" spans="1:13" ht="20.25" customHeight="1">
      <c r="A11" s="1903" t="s">
        <v>1262</v>
      </c>
      <c r="B11" s="1904"/>
      <c r="C11" s="1905" t="str">
        <f>"Year : " &amp; A10</f>
        <v>Year : 2013-14</v>
      </c>
      <c r="D11" s="1906"/>
      <c r="E11" s="1906"/>
      <c r="F11" s="1906"/>
      <c r="G11" s="1906"/>
      <c r="H11" s="1906"/>
      <c r="I11" s="1906"/>
      <c r="J11" s="1906"/>
      <c r="K11" s="1907"/>
    </row>
    <row r="12" spans="1:13" ht="25.5" customHeight="1">
      <c r="A12" s="1342" t="s">
        <v>1322</v>
      </c>
      <c r="B12" s="1343"/>
      <c r="C12" s="1776">
        <v>293.61</v>
      </c>
      <c r="D12" s="1791"/>
      <c r="E12" s="1777"/>
      <c r="F12" s="1776">
        <v>173.6</v>
      </c>
      <c r="G12" s="1791"/>
      <c r="H12" s="1791"/>
      <c r="I12" s="1908">
        <f>SUM(C12,F12)</f>
        <v>467.21000000000004</v>
      </c>
      <c r="J12" s="1909"/>
      <c r="K12" s="1910"/>
    </row>
    <row r="13" spans="1:13" ht="25.5" customHeight="1">
      <c r="A13" s="1674" t="s">
        <v>578</v>
      </c>
      <c r="B13" s="1675"/>
      <c r="C13" s="1901">
        <v>80.7</v>
      </c>
      <c r="D13" s="1902"/>
      <c r="E13" s="1911"/>
      <c r="F13" s="1901">
        <v>36.68</v>
      </c>
      <c r="G13" s="1902"/>
      <c r="H13" s="1902"/>
      <c r="I13" s="1889">
        <f>SUM(C13,F13)</f>
        <v>117.38</v>
      </c>
      <c r="J13" s="1765"/>
      <c r="K13" s="1766"/>
    </row>
    <row r="14" spans="1:13">
      <c r="A14" s="50"/>
      <c r="B14" s="7"/>
      <c r="C14" s="7"/>
      <c r="D14" s="7"/>
      <c r="K14" s="930" t="s">
        <v>1080</v>
      </c>
    </row>
    <row r="15" spans="1:13">
      <c r="A15" s="50"/>
      <c r="B15" s="7"/>
      <c r="C15" s="7"/>
      <c r="D15" s="7"/>
      <c r="K15" s="239"/>
    </row>
    <row r="16" spans="1:13">
      <c r="A16" s="50"/>
      <c r="B16" s="7"/>
      <c r="C16" s="7"/>
      <c r="D16" s="7"/>
      <c r="K16" s="239"/>
    </row>
    <row r="18" spans="1:11">
      <c r="A18" s="1363" t="s">
        <v>862</v>
      </c>
      <c r="B18" s="1363"/>
      <c r="C18" s="1363"/>
      <c r="D18" s="1363"/>
      <c r="E18" s="1363"/>
      <c r="F18" s="1363"/>
      <c r="G18" s="1363"/>
      <c r="H18" s="1363"/>
      <c r="I18" s="1363"/>
      <c r="J18" s="1363"/>
      <c r="K18" s="1363"/>
    </row>
    <row r="19" spans="1:11" ht="16.5">
      <c r="A19" s="1367" t="str">
        <f>CONCATENATE("  Registered Motor Vehicles in the district of ",District!$A$1)</f>
        <v xml:space="preserve">  Registered Motor Vehicles in the district of Malda</v>
      </c>
      <c r="B19" s="1367"/>
      <c r="C19" s="1367"/>
      <c r="D19" s="1367"/>
      <c r="E19" s="1367"/>
      <c r="F19" s="1367"/>
      <c r="G19" s="1367"/>
      <c r="H19" s="1367"/>
      <c r="I19" s="1367"/>
      <c r="J19" s="1367"/>
      <c r="K19" s="1367"/>
    </row>
    <row r="20" spans="1:11" ht="12.75" customHeight="1">
      <c r="B20" s="1126"/>
      <c r="C20" s="2"/>
      <c r="D20" s="2"/>
      <c r="E20" s="2"/>
      <c r="F20" s="2"/>
      <c r="G20" s="2"/>
      <c r="H20" s="2"/>
      <c r="I20" s="2"/>
      <c r="J20" s="2"/>
      <c r="K20" s="1136" t="s">
        <v>1253</v>
      </c>
    </row>
    <row r="21" spans="1:11" ht="20.100000000000001" customHeight="1">
      <c r="A21" s="1346" t="s">
        <v>804</v>
      </c>
      <c r="B21" s="1435" t="s">
        <v>805</v>
      </c>
      <c r="C21" s="1346" t="s">
        <v>432</v>
      </c>
      <c r="D21" s="1435" t="s">
        <v>433</v>
      </c>
      <c r="E21" s="1346" t="s">
        <v>436</v>
      </c>
      <c r="F21" s="1435" t="s">
        <v>806</v>
      </c>
      <c r="G21" s="1346" t="s">
        <v>434</v>
      </c>
      <c r="H21" s="1435" t="s">
        <v>435</v>
      </c>
      <c r="I21" s="1346" t="s">
        <v>1148</v>
      </c>
      <c r="J21" s="1360" t="s">
        <v>1526</v>
      </c>
      <c r="K21" s="1360" t="s">
        <v>1233</v>
      </c>
    </row>
    <row r="22" spans="1:11" ht="8.25" customHeight="1">
      <c r="A22" s="1347"/>
      <c r="B22" s="1396"/>
      <c r="C22" s="1347"/>
      <c r="D22" s="1396"/>
      <c r="E22" s="1347"/>
      <c r="F22" s="1396"/>
      <c r="G22" s="1347"/>
      <c r="H22" s="1396"/>
      <c r="I22" s="1347"/>
      <c r="J22" s="1362"/>
      <c r="K22" s="1362"/>
    </row>
    <row r="23" spans="1:11" ht="20.100000000000001" customHeight="1">
      <c r="A23" s="99" t="s">
        <v>1208</v>
      </c>
      <c r="B23" s="280" t="s">
        <v>1209</v>
      </c>
      <c r="C23" s="99" t="s">
        <v>1210</v>
      </c>
      <c r="D23" s="280" t="s">
        <v>1211</v>
      </c>
      <c r="E23" s="99" t="s">
        <v>1212</v>
      </c>
      <c r="F23" s="280" t="s">
        <v>1213</v>
      </c>
      <c r="G23" s="99" t="s">
        <v>1214</v>
      </c>
      <c r="H23" s="280" t="s">
        <v>1244</v>
      </c>
      <c r="I23" s="99" t="s">
        <v>1245</v>
      </c>
      <c r="J23" s="100" t="s">
        <v>1246</v>
      </c>
      <c r="K23" s="153" t="s">
        <v>1247</v>
      </c>
    </row>
    <row r="24" spans="1:11" ht="24" customHeight="1">
      <c r="A24" s="281">
        <v>2010</v>
      </c>
      <c r="B24" s="410">
        <v>5495</v>
      </c>
      <c r="C24" s="405">
        <v>4493</v>
      </c>
      <c r="D24" s="410">
        <v>80131</v>
      </c>
      <c r="E24" s="405">
        <v>1849</v>
      </c>
      <c r="F24" s="410">
        <v>381</v>
      </c>
      <c r="G24" s="405">
        <v>93</v>
      </c>
      <c r="H24" s="410">
        <v>257</v>
      </c>
      <c r="I24" s="132">
        <v>5526</v>
      </c>
      <c r="J24" s="362">
        <v>746</v>
      </c>
      <c r="K24" s="362">
        <f>SUM(B24:J24)</f>
        <v>98971</v>
      </c>
    </row>
    <row r="25" spans="1:11" ht="24" customHeight="1">
      <c r="A25" s="281">
        <v>2011</v>
      </c>
      <c r="B25" s="410">
        <v>6190</v>
      </c>
      <c r="C25" s="405">
        <v>5676</v>
      </c>
      <c r="D25" s="410">
        <v>94536</v>
      </c>
      <c r="E25" s="405">
        <v>1935</v>
      </c>
      <c r="F25" s="410">
        <v>534</v>
      </c>
      <c r="G25" s="405">
        <v>93</v>
      </c>
      <c r="H25" s="410">
        <v>266</v>
      </c>
      <c r="I25" s="132">
        <v>6965</v>
      </c>
      <c r="J25" s="362">
        <v>1307</v>
      </c>
      <c r="K25" s="362">
        <f>SUM(B25:J25)</f>
        <v>117502</v>
      </c>
    </row>
    <row r="26" spans="1:11" ht="24" customHeight="1">
      <c r="A26" s="281">
        <v>2012</v>
      </c>
      <c r="B26" s="410">
        <v>7325</v>
      </c>
      <c r="C26" s="405">
        <v>6718</v>
      </c>
      <c r="D26" s="410">
        <v>110511</v>
      </c>
      <c r="E26" s="405">
        <v>1985</v>
      </c>
      <c r="F26" s="410">
        <v>757</v>
      </c>
      <c r="G26" s="405">
        <v>93</v>
      </c>
      <c r="H26" s="410">
        <v>275</v>
      </c>
      <c r="I26" s="132">
        <v>8381</v>
      </c>
      <c r="J26" s="362">
        <v>1611</v>
      </c>
      <c r="K26" s="362">
        <f>SUM(B26:J26)</f>
        <v>137656</v>
      </c>
    </row>
    <row r="27" spans="1:11" ht="24" customHeight="1">
      <c r="A27" s="281">
        <v>2013</v>
      </c>
      <c r="B27" s="406">
        <v>8349</v>
      </c>
      <c r="C27" s="406">
        <v>8486</v>
      </c>
      <c r="D27" s="406">
        <v>129583</v>
      </c>
      <c r="E27" s="406">
        <v>2073</v>
      </c>
      <c r="F27" s="406">
        <v>892</v>
      </c>
      <c r="G27" s="406">
        <v>93</v>
      </c>
      <c r="H27" s="406">
        <v>293</v>
      </c>
      <c r="I27" s="362">
        <v>9643</v>
      </c>
      <c r="J27" s="362">
        <v>1632</v>
      </c>
      <c r="K27" s="362">
        <f>SUM(B27:J27)</f>
        <v>161044</v>
      </c>
    </row>
    <row r="28" spans="1:11" ht="24" customHeight="1">
      <c r="A28" s="283">
        <v>2014</v>
      </c>
      <c r="B28" s="461">
        <v>9079</v>
      </c>
      <c r="C28" s="461">
        <v>10003</v>
      </c>
      <c r="D28" s="460">
        <v>149317</v>
      </c>
      <c r="E28" s="461">
        <v>2103</v>
      </c>
      <c r="F28" s="461">
        <v>1422</v>
      </c>
      <c r="G28" s="461">
        <v>94</v>
      </c>
      <c r="H28" s="461">
        <v>323</v>
      </c>
      <c r="I28" s="142">
        <v>10499</v>
      </c>
      <c r="J28" s="142">
        <v>1669</v>
      </c>
      <c r="K28" s="142">
        <f>SUM(B28:J28)</f>
        <v>184509</v>
      </c>
    </row>
    <row r="29" spans="1:11">
      <c r="A29" s="946"/>
      <c r="C29" s="835"/>
      <c r="D29" s="7"/>
      <c r="J29" s="166"/>
      <c r="K29" s="924" t="s">
        <v>467</v>
      </c>
    </row>
  </sheetData>
  <mergeCells count="53">
    <mergeCell ref="A6:B6"/>
    <mergeCell ref="A9:B9"/>
    <mergeCell ref="C9:E9"/>
    <mergeCell ref="F10:H10"/>
    <mergeCell ref="C7:E7"/>
    <mergeCell ref="C6:E6"/>
    <mergeCell ref="F8:H8"/>
    <mergeCell ref="F9:H9"/>
    <mergeCell ref="C8:E8"/>
    <mergeCell ref="A10:B10"/>
    <mergeCell ref="I10:K10"/>
    <mergeCell ref="A7:B7"/>
    <mergeCell ref="A8:B8"/>
    <mergeCell ref="I8:K8"/>
    <mergeCell ref="I9:K9"/>
    <mergeCell ref="C10:E10"/>
    <mergeCell ref="A5:B5"/>
    <mergeCell ref="C5:E5"/>
    <mergeCell ref="C12:E12"/>
    <mergeCell ref="C13:E13"/>
    <mergeCell ref="I5:K5"/>
    <mergeCell ref="F6:H6"/>
    <mergeCell ref="F7:H7"/>
    <mergeCell ref="I7:K7"/>
    <mergeCell ref="I6:K6"/>
    <mergeCell ref="F5:H5"/>
    <mergeCell ref="A2:K2"/>
    <mergeCell ref="A13:B13"/>
    <mergeCell ref="A11:B11"/>
    <mergeCell ref="A12:B12"/>
    <mergeCell ref="C11:K11"/>
    <mergeCell ref="I12:K12"/>
    <mergeCell ref="A4:B4"/>
    <mergeCell ref="I4:K4"/>
    <mergeCell ref="C4:E4"/>
    <mergeCell ref="F4:H4"/>
    <mergeCell ref="A1:K1"/>
    <mergeCell ref="A21:A22"/>
    <mergeCell ref="B21:B22"/>
    <mergeCell ref="C21:C22"/>
    <mergeCell ref="D21:D22"/>
    <mergeCell ref="J21:J22"/>
    <mergeCell ref="F12:H12"/>
    <mergeCell ref="K21:K22"/>
    <mergeCell ref="A18:K18"/>
    <mergeCell ref="A19:K19"/>
    <mergeCell ref="I21:I22"/>
    <mergeCell ref="G21:G22"/>
    <mergeCell ref="I13:K13"/>
    <mergeCell ref="E21:E22"/>
    <mergeCell ref="F21:F22"/>
    <mergeCell ref="H21:H22"/>
    <mergeCell ref="F13:H13"/>
  </mergeCells>
  <phoneticPr fontId="0" type="noConversion"/>
  <printOptions horizontalCentered="1"/>
  <pageMargins left="0.1" right="0.1" top="0.7" bottom="0.1" header="0.7" footer="0.1"/>
  <pageSetup paperSize="9" orientation="landscape" blackAndWhite="1" horizontalDpi="4294967295" r:id="rId1"/>
  <headerFooter alignWithMargins="0"/>
</worksheet>
</file>

<file path=xl/worksheets/sheet68.xml><?xml version="1.0" encoding="utf-8"?>
<worksheet xmlns="http://schemas.openxmlformats.org/spreadsheetml/2006/main" xmlns:r="http://schemas.openxmlformats.org/officeDocument/2006/relationships">
  <sheetPr codeName="Sheet85"/>
  <dimension ref="A1:H41"/>
  <sheetViews>
    <sheetView workbookViewId="0">
      <selection activeCell="L35" sqref="L35"/>
    </sheetView>
  </sheetViews>
  <sheetFormatPr defaultRowHeight="12.75"/>
  <cols>
    <col min="1" max="1" width="16.140625" customWidth="1"/>
    <col min="2" max="3" width="12.7109375" customWidth="1"/>
    <col min="4" max="4" width="9.42578125" customWidth="1"/>
    <col min="5" max="5" width="13.5703125" customWidth="1"/>
    <col min="6" max="6" width="13" customWidth="1"/>
    <col min="7" max="7" width="12.7109375" customWidth="1"/>
  </cols>
  <sheetData>
    <row r="1" spans="1:7" ht="15" customHeight="1">
      <c r="A1" s="1430" t="s">
        <v>864</v>
      </c>
      <c r="B1" s="1430"/>
      <c r="C1" s="1430"/>
      <c r="D1" s="1430"/>
      <c r="E1" s="1430"/>
      <c r="F1" s="1430"/>
      <c r="G1" s="1430"/>
    </row>
    <row r="2" spans="1:7" ht="23.25" customHeight="1">
      <c r="A2" s="1544" t="str">
        <f>CONCATENATE("Accidents on Roads in the district of ",District!$A$1)</f>
        <v>Accidents on Roads in the district of Malda</v>
      </c>
      <c r="B2" s="1544"/>
      <c r="C2" s="1544"/>
      <c r="D2" s="1544"/>
      <c r="E2" s="1544"/>
      <c r="F2" s="1544"/>
      <c r="G2" s="1544"/>
    </row>
    <row r="3" spans="1:7" ht="19.5" customHeight="1">
      <c r="A3" s="240" t="s">
        <v>1089</v>
      </c>
      <c r="B3" s="1391" t="s">
        <v>431</v>
      </c>
      <c r="C3" s="1392"/>
      <c r="D3" s="1391" t="s">
        <v>838</v>
      </c>
      <c r="E3" s="1392"/>
      <c r="F3" s="1391" t="s">
        <v>988</v>
      </c>
      <c r="G3" s="1392"/>
    </row>
    <row r="4" spans="1:7" ht="20.100000000000001" customHeight="1">
      <c r="A4" s="151" t="s">
        <v>1208</v>
      </c>
      <c r="B4" s="1353" t="s">
        <v>1209</v>
      </c>
      <c r="C4" s="1354"/>
      <c r="D4" s="1353" t="s">
        <v>1210</v>
      </c>
      <c r="E4" s="1354"/>
      <c r="F4" s="1353" t="s">
        <v>1211</v>
      </c>
      <c r="G4" s="1354"/>
    </row>
    <row r="5" spans="1:7" ht="20.100000000000001" customHeight="1">
      <c r="A5" s="251">
        <v>2010</v>
      </c>
      <c r="B5" s="1778">
        <v>603</v>
      </c>
      <c r="C5" s="1666"/>
      <c r="D5" s="1778">
        <v>788</v>
      </c>
      <c r="E5" s="1666"/>
      <c r="F5" s="1778">
        <v>348</v>
      </c>
      <c r="G5" s="1666"/>
    </row>
    <row r="6" spans="1:7" ht="20.100000000000001" customHeight="1">
      <c r="A6" s="180">
        <v>2011</v>
      </c>
      <c r="B6" s="1413">
        <v>492</v>
      </c>
      <c r="C6" s="1414"/>
      <c r="D6" s="1918">
        <v>690</v>
      </c>
      <c r="E6" s="1919"/>
      <c r="F6" s="1413">
        <v>187</v>
      </c>
      <c r="G6" s="1414"/>
    </row>
    <row r="7" spans="1:7" ht="20.100000000000001" customHeight="1">
      <c r="A7" s="180">
        <v>2012</v>
      </c>
      <c r="B7" s="1413">
        <v>522</v>
      </c>
      <c r="C7" s="1414"/>
      <c r="D7" s="1413">
        <v>825</v>
      </c>
      <c r="E7" s="1414"/>
      <c r="F7" s="1413">
        <v>246</v>
      </c>
      <c r="G7" s="1414"/>
    </row>
    <row r="8" spans="1:7" ht="20.100000000000001" customHeight="1">
      <c r="A8" s="180">
        <v>2013</v>
      </c>
      <c r="B8" s="1468">
        <v>441</v>
      </c>
      <c r="C8" s="1468"/>
      <c r="D8" s="1413">
        <v>646</v>
      </c>
      <c r="E8" s="1414"/>
      <c r="F8" s="1413">
        <v>246</v>
      </c>
      <c r="G8" s="1414"/>
    </row>
    <row r="9" spans="1:7" ht="20.100000000000001" customHeight="1">
      <c r="A9" s="252">
        <v>2014</v>
      </c>
      <c r="B9" s="1481">
        <v>433</v>
      </c>
      <c r="C9" s="1647"/>
      <c r="D9" s="1481">
        <v>536</v>
      </c>
      <c r="E9" s="1647"/>
      <c r="F9" s="1481">
        <v>284</v>
      </c>
      <c r="G9" s="1647"/>
    </row>
    <row r="10" spans="1:7">
      <c r="G10" s="924" t="s">
        <v>919</v>
      </c>
    </row>
    <row r="11" spans="1:7">
      <c r="D11" s="166"/>
    </row>
    <row r="12" spans="1:7">
      <c r="D12" s="166"/>
    </row>
    <row r="13" spans="1:7">
      <c r="A13" s="1363" t="s">
        <v>863</v>
      </c>
      <c r="B13" s="1363"/>
      <c r="C13" s="1363"/>
      <c r="D13" s="1363"/>
      <c r="E13" s="1363"/>
      <c r="F13" s="1363"/>
      <c r="G13" s="1363"/>
    </row>
    <row r="14" spans="1:7" ht="17.25" customHeight="1">
      <c r="A14" s="1367" t="str">
        <f>CONCATENATE("Post &amp; Telegraph Offices in the district of ",District!$A$1)</f>
        <v>Post &amp; Telegraph Offices in the district of Malda</v>
      </c>
      <c r="B14" s="1367"/>
      <c r="C14" s="1367"/>
      <c r="D14" s="1367"/>
      <c r="E14" s="1367"/>
      <c r="F14" s="1367"/>
      <c r="G14" s="1367"/>
    </row>
    <row r="15" spans="1:7">
      <c r="B15" s="531"/>
      <c r="C15" s="531"/>
      <c r="D15" s="532"/>
      <c r="G15" s="9" t="s">
        <v>1253</v>
      </c>
    </row>
    <row r="16" spans="1:7" ht="39.75" customHeight="1">
      <c r="A16" s="343" t="s">
        <v>335</v>
      </c>
      <c r="B16" s="1391" t="s">
        <v>839</v>
      </c>
      <c r="C16" s="1639"/>
      <c r="D16" s="1391" t="s">
        <v>840</v>
      </c>
      <c r="E16" s="1392"/>
      <c r="F16" s="1391" t="s">
        <v>841</v>
      </c>
      <c r="G16" s="1392"/>
    </row>
    <row r="17" spans="1:7" ht="18" customHeight="1">
      <c r="A17" s="151" t="s">
        <v>1208</v>
      </c>
      <c r="B17" s="1353" t="s">
        <v>1209</v>
      </c>
      <c r="C17" s="1425"/>
      <c r="D17" s="1353" t="s">
        <v>1210</v>
      </c>
      <c r="E17" s="1354"/>
      <c r="F17" s="1353" t="s">
        <v>1211</v>
      </c>
      <c r="G17" s="1354"/>
    </row>
    <row r="18" spans="1:7" ht="18" customHeight="1">
      <c r="A18" s="1063">
        <v>2010</v>
      </c>
      <c r="B18" s="1778">
        <v>334</v>
      </c>
      <c r="C18" s="1666"/>
      <c r="D18" s="1778">
        <v>1</v>
      </c>
      <c r="E18" s="1666"/>
      <c r="F18" s="1778">
        <v>15</v>
      </c>
      <c r="G18" s="1666"/>
    </row>
    <row r="19" spans="1:7" ht="18" customHeight="1">
      <c r="A19" s="282">
        <v>2011</v>
      </c>
      <c r="B19" s="1413">
        <v>334</v>
      </c>
      <c r="C19" s="1414"/>
      <c r="D19" s="1743" t="s">
        <v>1509</v>
      </c>
      <c r="E19" s="1744"/>
      <c r="F19" s="1413" t="s">
        <v>1509</v>
      </c>
      <c r="G19" s="1414"/>
    </row>
    <row r="20" spans="1:7" ht="18" customHeight="1">
      <c r="A20" s="282">
        <v>2012</v>
      </c>
      <c r="B20" s="1413">
        <v>334</v>
      </c>
      <c r="C20" s="1414"/>
      <c r="D20" s="1743" t="s">
        <v>1509</v>
      </c>
      <c r="E20" s="1744"/>
      <c r="F20" s="1413" t="s">
        <v>1509</v>
      </c>
      <c r="G20" s="1414"/>
    </row>
    <row r="21" spans="1:7" ht="18" customHeight="1">
      <c r="A21" s="282">
        <v>2013</v>
      </c>
      <c r="B21" s="1413">
        <v>334</v>
      </c>
      <c r="C21" s="1414"/>
      <c r="D21" s="1743" t="s">
        <v>1509</v>
      </c>
      <c r="E21" s="1744"/>
      <c r="F21" s="1413" t="s">
        <v>1509</v>
      </c>
      <c r="G21" s="1414"/>
    </row>
    <row r="22" spans="1:7" ht="18" customHeight="1">
      <c r="A22" s="492">
        <v>2014</v>
      </c>
      <c r="B22" s="1480">
        <v>334</v>
      </c>
      <c r="C22" s="1647"/>
      <c r="D22" s="1753" t="s">
        <v>1509</v>
      </c>
      <c r="E22" s="1754"/>
      <c r="F22" s="1480" t="s">
        <v>1509</v>
      </c>
      <c r="G22" s="1647"/>
    </row>
    <row r="23" spans="1:7">
      <c r="A23" s="983"/>
      <c r="B23" s="83"/>
      <c r="C23" s="83"/>
      <c r="G23" s="924" t="s">
        <v>851</v>
      </c>
    </row>
    <row r="24" spans="1:7">
      <c r="A24" s="24"/>
      <c r="B24" s="24"/>
      <c r="C24" s="24"/>
    </row>
    <row r="27" spans="1:7">
      <c r="A27" s="1430" t="s">
        <v>1470</v>
      </c>
      <c r="B27" s="1430"/>
      <c r="C27" s="1430"/>
      <c r="D27" s="1430"/>
      <c r="E27" s="1430"/>
      <c r="F27" s="1430"/>
      <c r="G27" s="1430"/>
    </row>
    <row r="28" spans="1:7" ht="17.25" customHeight="1">
      <c r="A28" s="1373" t="str">
        <f>CONCATENATE("Progress in Tourism in the district of ",District!$A$1)</f>
        <v>Progress in Tourism in the district of Malda</v>
      </c>
      <c r="B28" s="1373"/>
      <c r="C28" s="1373"/>
      <c r="D28" s="1373"/>
      <c r="E28" s="1373"/>
      <c r="F28" s="1373"/>
      <c r="G28" s="1373"/>
    </row>
    <row r="29" spans="1:7" ht="15" customHeight="1"/>
    <row r="30" spans="1:7" ht="43.5" customHeight="1">
      <c r="A30" s="261" t="s">
        <v>1089</v>
      </c>
      <c r="B30" s="772" t="s">
        <v>641</v>
      </c>
      <c r="C30" s="258" t="s">
        <v>1646</v>
      </c>
      <c r="D30" s="258" t="s">
        <v>1649</v>
      </c>
      <c r="E30" s="772" t="s">
        <v>273</v>
      </c>
      <c r="F30" s="258" t="s">
        <v>1007</v>
      </c>
      <c r="G30" s="258" t="s">
        <v>1639</v>
      </c>
    </row>
    <row r="31" spans="1:7" ht="15.75" customHeight="1">
      <c r="A31" s="151" t="s">
        <v>1208</v>
      </c>
      <c r="B31" s="152" t="s">
        <v>1209</v>
      </c>
      <c r="C31" s="151" t="s">
        <v>1210</v>
      </c>
      <c r="D31" s="151" t="s">
        <v>1211</v>
      </c>
      <c r="E31" s="153" t="s">
        <v>1212</v>
      </c>
      <c r="F31" s="152" t="s">
        <v>1213</v>
      </c>
      <c r="G31" s="151" t="s">
        <v>1214</v>
      </c>
    </row>
    <row r="32" spans="1:7" ht="20.100000000000001" customHeight="1">
      <c r="A32" s="1063" t="s">
        <v>1577</v>
      </c>
      <c r="B32" s="651" t="s">
        <v>1509</v>
      </c>
      <c r="C32" s="534" t="s">
        <v>1509</v>
      </c>
      <c r="D32" s="534" t="s">
        <v>1509</v>
      </c>
      <c r="E32" s="507">
        <v>2</v>
      </c>
      <c r="F32" s="608">
        <v>2963</v>
      </c>
      <c r="G32" s="608">
        <v>5851</v>
      </c>
    </row>
    <row r="33" spans="1:8" ht="20.100000000000001" customHeight="1">
      <c r="A33" s="282" t="s">
        <v>1576</v>
      </c>
      <c r="B33" s="651" t="s">
        <v>1509</v>
      </c>
      <c r="C33" s="534" t="s">
        <v>1509</v>
      </c>
      <c r="D33" s="534" t="s">
        <v>1509</v>
      </c>
      <c r="E33" s="507">
        <v>2</v>
      </c>
      <c r="F33" s="608">
        <v>3451</v>
      </c>
      <c r="G33" s="608">
        <v>7659</v>
      </c>
    </row>
    <row r="34" spans="1:8" ht="20.100000000000001" customHeight="1">
      <c r="A34" s="282" t="s">
        <v>267</v>
      </c>
      <c r="B34" s="651" t="s">
        <v>1509</v>
      </c>
      <c r="C34" s="534" t="s">
        <v>1509</v>
      </c>
      <c r="D34" s="534" t="s">
        <v>1509</v>
      </c>
      <c r="E34" s="507">
        <v>2</v>
      </c>
      <c r="F34" s="608">
        <v>5549</v>
      </c>
      <c r="G34" s="608">
        <v>8117</v>
      </c>
    </row>
    <row r="35" spans="1:8" ht="20.100000000000001" customHeight="1">
      <c r="A35" s="282" t="s">
        <v>1094</v>
      </c>
      <c r="B35" s="41" t="s">
        <v>1509</v>
      </c>
      <c r="C35" s="116" t="s">
        <v>1509</v>
      </c>
      <c r="D35" s="116" t="s">
        <v>1509</v>
      </c>
      <c r="E35" s="507">
        <v>2</v>
      </c>
      <c r="F35" s="608">
        <v>4228</v>
      </c>
      <c r="G35" s="608">
        <v>7326</v>
      </c>
    </row>
    <row r="36" spans="1:8" ht="20.100000000000001" customHeight="1">
      <c r="A36" s="492" t="s">
        <v>1595</v>
      </c>
      <c r="B36" s="94">
        <v>1</v>
      </c>
      <c r="C36" s="94">
        <v>28</v>
      </c>
      <c r="D36" s="117">
        <v>470</v>
      </c>
      <c r="E36" s="615">
        <v>2</v>
      </c>
      <c r="F36" s="615">
        <v>5346</v>
      </c>
      <c r="G36" s="615">
        <v>9554</v>
      </c>
    </row>
    <row r="37" spans="1:8">
      <c r="E37" s="924" t="s">
        <v>947</v>
      </c>
      <c r="F37" s="951" t="s">
        <v>1394</v>
      </c>
    </row>
    <row r="38" spans="1:8">
      <c r="F38" s="1307" t="s">
        <v>1395</v>
      </c>
    </row>
    <row r="39" spans="1:8">
      <c r="E39" s="847" t="s">
        <v>948</v>
      </c>
      <c r="F39" s="982" t="s">
        <v>1393</v>
      </c>
    </row>
    <row r="41" spans="1:8">
      <c r="H41" s="1"/>
    </row>
  </sheetData>
  <mergeCells count="48">
    <mergeCell ref="A27:G27"/>
    <mergeCell ref="B3:C3"/>
    <mergeCell ref="B4:C4"/>
    <mergeCell ref="D4:E4"/>
    <mergeCell ref="F19:G19"/>
    <mergeCell ref="F7:G7"/>
    <mergeCell ref="B5:C5"/>
    <mergeCell ref="B6:C6"/>
    <mergeCell ref="B7:C7"/>
    <mergeCell ref="F6:G6"/>
    <mergeCell ref="A13:G13"/>
    <mergeCell ref="A1:G1"/>
    <mergeCell ref="D3:E3"/>
    <mergeCell ref="F3:G3"/>
    <mergeCell ref="F4:G4"/>
    <mergeCell ref="F8:G8"/>
    <mergeCell ref="D8:E8"/>
    <mergeCell ref="D9:E9"/>
    <mergeCell ref="B8:C8"/>
    <mergeCell ref="B9:C9"/>
    <mergeCell ref="F18:G18"/>
    <mergeCell ref="F9:G9"/>
    <mergeCell ref="D5:E5"/>
    <mergeCell ref="F5:G5"/>
    <mergeCell ref="D6:E6"/>
    <mergeCell ref="D7:E7"/>
    <mergeCell ref="A14:G14"/>
    <mergeCell ref="B16:C16"/>
    <mergeCell ref="B17:C17"/>
    <mergeCell ref="F16:G16"/>
    <mergeCell ref="F22:G22"/>
    <mergeCell ref="B20:C20"/>
    <mergeCell ref="F20:G20"/>
    <mergeCell ref="F21:G21"/>
    <mergeCell ref="B21:C21"/>
    <mergeCell ref="D21:E21"/>
    <mergeCell ref="B22:C22"/>
    <mergeCell ref="D22:E22"/>
    <mergeCell ref="F17:G17"/>
    <mergeCell ref="A28:G28"/>
    <mergeCell ref="A2:G2"/>
    <mergeCell ref="D16:E16"/>
    <mergeCell ref="D17:E17"/>
    <mergeCell ref="D19:E19"/>
    <mergeCell ref="D20:E20"/>
    <mergeCell ref="B19:C19"/>
    <mergeCell ref="B18:C18"/>
    <mergeCell ref="D18:E18"/>
  </mergeCells>
  <phoneticPr fontId="0" type="noConversion"/>
  <printOptions horizontalCentered="1"/>
  <pageMargins left="0.1" right="0.1" top="0.92" bottom="0.1" header="0.7" footer="0.1"/>
  <pageSetup paperSize="9" orientation="portrait" blackAndWhite="1" horizontalDpi="4294967295" r:id="rId1"/>
  <headerFooter alignWithMargins="0"/>
</worksheet>
</file>

<file path=xl/worksheets/sheet69.xml><?xml version="1.0" encoding="utf-8"?>
<worksheet xmlns="http://schemas.openxmlformats.org/spreadsheetml/2006/main" xmlns:r="http://schemas.openxmlformats.org/officeDocument/2006/relationships">
  <sheetPr codeName="Sheet88"/>
  <dimension ref="A1:U41"/>
  <sheetViews>
    <sheetView workbookViewId="0">
      <selection activeCell="M5" sqref="M5"/>
    </sheetView>
  </sheetViews>
  <sheetFormatPr defaultRowHeight="12.75"/>
  <cols>
    <col min="1" max="1" width="17" customWidth="1"/>
    <col min="2" max="7" width="11.7109375" customWidth="1"/>
    <col min="8" max="8" width="11.7109375" style="24" customWidth="1"/>
    <col min="9" max="9" width="11.7109375" customWidth="1"/>
    <col min="10" max="10" width="14.28515625" customWidth="1"/>
    <col min="11" max="11" width="12.140625" customWidth="1"/>
    <col min="12" max="12" width="5.28515625" customWidth="1"/>
    <col min="13" max="13" width="6.140625" customWidth="1"/>
    <col min="14" max="14" width="6.28515625" customWidth="1"/>
    <col min="15" max="15" width="5.7109375" customWidth="1"/>
    <col min="16" max="16" width="5.85546875" customWidth="1"/>
    <col min="17" max="17" width="4.85546875" customWidth="1"/>
    <col min="18" max="18" width="5.28515625" customWidth="1"/>
    <col min="19" max="21" width="5" customWidth="1"/>
  </cols>
  <sheetData>
    <row r="1" spans="1:21" ht="13.5" customHeight="1">
      <c r="A1" s="1363" t="s">
        <v>1471</v>
      </c>
      <c r="B1" s="1363"/>
      <c r="C1" s="1363"/>
      <c r="D1" s="1363"/>
      <c r="E1" s="1363"/>
      <c r="F1" s="1363"/>
      <c r="G1" s="1363"/>
      <c r="H1" s="1363"/>
      <c r="I1" s="1363"/>
      <c r="J1" s="1363"/>
      <c r="K1" s="1363"/>
      <c r="L1" s="654"/>
      <c r="M1" s="654"/>
      <c r="N1" s="654"/>
      <c r="O1" s="654"/>
      <c r="P1" s="654"/>
      <c r="Q1" s="654"/>
      <c r="R1" s="654"/>
      <c r="S1" s="654"/>
      <c r="T1" s="654"/>
      <c r="U1" s="654"/>
    </row>
    <row r="2" spans="1:21" ht="33" customHeight="1">
      <c r="A2" s="1477" t="str">
        <f>CONCATENATE("Offences reported, Cases tried, Persons convicted and acquitted 
for different classes of offence in the district of ",District!$A$1)</f>
        <v>Offences reported, Cases tried, Persons convicted and acquitted 
for different classes of offence in the district of Malda</v>
      </c>
      <c r="B2" s="1477"/>
      <c r="C2" s="1477"/>
      <c r="D2" s="1477"/>
      <c r="E2" s="1477"/>
      <c r="F2" s="1477"/>
      <c r="G2" s="1477"/>
      <c r="H2" s="1477"/>
      <c r="I2" s="1477"/>
      <c r="J2" s="1477"/>
      <c r="K2" s="1477"/>
      <c r="L2" s="522"/>
      <c r="M2" s="522"/>
      <c r="N2" s="522"/>
      <c r="O2" s="522"/>
      <c r="P2" s="522"/>
      <c r="Q2" s="522"/>
      <c r="R2" s="522"/>
      <c r="S2" s="522"/>
      <c r="T2" s="522"/>
      <c r="U2" s="522"/>
    </row>
    <row r="3" spans="1:21" ht="15" customHeight="1">
      <c r="K3" s="170" t="s">
        <v>1253</v>
      </c>
      <c r="T3" s="7"/>
    </row>
    <row r="4" spans="1:21" ht="15.75" customHeight="1">
      <c r="A4" s="1348" t="s">
        <v>597</v>
      </c>
      <c r="B4" s="1389" t="s">
        <v>604</v>
      </c>
      <c r="C4" s="1630"/>
      <c r="D4" s="1630"/>
      <c r="E4" s="1630"/>
      <c r="F4" s="1390"/>
      <c r="G4" s="1389" t="s">
        <v>605</v>
      </c>
      <c r="H4" s="1630"/>
      <c r="I4" s="1630"/>
      <c r="J4" s="1630"/>
      <c r="K4" s="1390"/>
    </row>
    <row r="5" spans="1:21" ht="15.75" customHeight="1">
      <c r="A5" s="1370"/>
      <c r="B5" s="511">
        <f>District!A9</f>
        <v>2010</v>
      </c>
      <c r="C5" s="511">
        <f>District!B9</f>
        <v>2011</v>
      </c>
      <c r="D5" s="511">
        <f>District!C9</f>
        <v>2012</v>
      </c>
      <c r="E5" s="511">
        <f>District!D9</f>
        <v>2013</v>
      </c>
      <c r="F5" s="511">
        <f>District!E9</f>
        <v>2014</v>
      </c>
      <c r="G5" s="511">
        <f>District!A9</f>
        <v>2010</v>
      </c>
      <c r="H5" s="511">
        <f>District!B9</f>
        <v>2011</v>
      </c>
      <c r="I5" s="511">
        <f>District!C9</f>
        <v>2012</v>
      </c>
      <c r="J5" s="511">
        <f>District!D9</f>
        <v>2013</v>
      </c>
      <c r="K5" s="511">
        <f>District!E9</f>
        <v>2014</v>
      </c>
    </row>
    <row r="6" spans="1:21" ht="15.75" customHeight="1">
      <c r="A6" s="151" t="s">
        <v>1208</v>
      </c>
      <c r="B6" s="151" t="s">
        <v>1209</v>
      </c>
      <c r="C6" s="151" t="s">
        <v>1210</v>
      </c>
      <c r="D6" s="156" t="s">
        <v>1211</v>
      </c>
      <c r="E6" s="151" t="s">
        <v>1212</v>
      </c>
      <c r="F6" s="153" t="s">
        <v>1213</v>
      </c>
      <c r="G6" s="151" t="s">
        <v>1214</v>
      </c>
      <c r="H6" s="151" t="s">
        <v>1244</v>
      </c>
      <c r="I6" s="151" t="s">
        <v>1245</v>
      </c>
      <c r="J6" s="151" t="s">
        <v>1246</v>
      </c>
      <c r="K6" s="153" t="s">
        <v>1247</v>
      </c>
    </row>
    <row r="7" spans="1:21" ht="15.95" customHeight="1">
      <c r="A7" s="180" t="s">
        <v>598</v>
      </c>
      <c r="B7" s="132">
        <v>74</v>
      </c>
      <c r="C7" s="362">
        <v>89</v>
      </c>
      <c r="D7" s="642">
        <v>94</v>
      </c>
      <c r="E7" s="642">
        <v>91</v>
      </c>
      <c r="F7" s="449">
        <v>102</v>
      </c>
      <c r="G7" s="132">
        <v>74</v>
      </c>
      <c r="H7" s="362">
        <v>89</v>
      </c>
      <c r="I7" s="642">
        <v>28</v>
      </c>
      <c r="J7" s="642">
        <v>22</v>
      </c>
      <c r="K7" s="642">
        <v>13</v>
      </c>
    </row>
    <row r="8" spans="1:21" ht="15.95" customHeight="1">
      <c r="A8" s="181" t="s">
        <v>599</v>
      </c>
      <c r="B8" s="132">
        <v>7</v>
      </c>
      <c r="C8" s="362">
        <v>3</v>
      </c>
      <c r="D8" s="132">
        <v>2</v>
      </c>
      <c r="E8" s="132">
        <v>10</v>
      </c>
      <c r="F8" s="449">
        <v>9</v>
      </c>
      <c r="G8" s="132">
        <v>7</v>
      </c>
      <c r="H8" s="362">
        <v>3</v>
      </c>
      <c r="I8" s="132">
        <v>1</v>
      </c>
      <c r="J8" s="132">
        <v>1</v>
      </c>
      <c r="K8" s="132">
        <v>3</v>
      </c>
    </row>
    <row r="9" spans="1:21" ht="15.95" customHeight="1">
      <c r="A9" s="181" t="s">
        <v>600</v>
      </c>
      <c r="B9" s="132">
        <v>24</v>
      </c>
      <c r="C9" s="362">
        <v>16</v>
      </c>
      <c r="D9" s="132">
        <v>15</v>
      </c>
      <c r="E9" s="132">
        <v>17</v>
      </c>
      <c r="F9" s="449">
        <v>26</v>
      </c>
      <c r="G9" s="132">
        <v>24</v>
      </c>
      <c r="H9" s="362">
        <v>16</v>
      </c>
      <c r="I9" s="132" t="s">
        <v>1183</v>
      </c>
      <c r="J9" s="132">
        <v>5</v>
      </c>
      <c r="K9" s="132">
        <v>10</v>
      </c>
    </row>
    <row r="10" spans="1:21" ht="15.95" customHeight="1">
      <c r="A10" s="181" t="s">
        <v>601</v>
      </c>
      <c r="B10" s="132">
        <v>3</v>
      </c>
      <c r="C10" s="362">
        <v>9</v>
      </c>
      <c r="D10" s="132">
        <v>22</v>
      </c>
      <c r="E10" s="132">
        <v>13</v>
      </c>
      <c r="F10" s="449">
        <v>7</v>
      </c>
      <c r="G10" s="132">
        <v>3</v>
      </c>
      <c r="H10" s="362">
        <v>9</v>
      </c>
      <c r="I10" s="132">
        <v>4</v>
      </c>
      <c r="J10" s="132">
        <v>3</v>
      </c>
      <c r="K10" s="132">
        <v>5</v>
      </c>
    </row>
    <row r="11" spans="1:21" ht="15.95" customHeight="1">
      <c r="A11" s="181" t="s">
        <v>602</v>
      </c>
      <c r="B11" s="132">
        <v>82</v>
      </c>
      <c r="C11" s="362">
        <v>86</v>
      </c>
      <c r="D11" s="132">
        <v>58</v>
      </c>
      <c r="E11" s="132">
        <v>64</v>
      </c>
      <c r="F11" s="449">
        <v>46</v>
      </c>
      <c r="G11" s="132">
        <v>82</v>
      </c>
      <c r="H11" s="362">
        <v>86</v>
      </c>
      <c r="I11" s="132">
        <v>21</v>
      </c>
      <c r="J11" s="132">
        <v>31</v>
      </c>
      <c r="K11" s="132">
        <v>21</v>
      </c>
    </row>
    <row r="12" spans="1:21" ht="15.95" customHeight="1">
      <c r="A12" s="181" t="s">
        <v>603</v>
      </c>
      <c r="B12" s="132">
        <v>333</v>
      </c>
      <c r="C12" s="362">
        <v>410</v>
      </c>
      <c r="D12" s="132">
        <v>412</v>
      </c>
      <c r="E12" s="132">
        <v>458</v>
      </c>
      <c r="F12" s="449">
        <v>429</v>
      </c>
      <c r="G12" s="132">
        <v>333</v>
      </c>
      <c r="H12" s="362">
        <v>410</v>
      </c>
      <c r="I12" s="132">
        <v>71</v>
      </c>
      <c r="J12" s="132">
        <v>87</v>
      </c>
      <c r="K12" s="132">
        <v>353</v>
      </c>
    </row>
    <row r="13" spans="1:21" ht="15.95" customHeight="1">
      <c r="A13" s="181" t="s">
        <v>1081</v>
      </c>
      <c r="B13" s="132">
        <v>17851</v>
      </c>
      <c r="C13" s="362">
        <v>15830</v>
      </c>
      <c r="D13" s="132">
        <v>10155</v>
      </c>
      <c r="E13" s="132">
        <v>8437</v>
      </c>
      <c r="F13" s="449">
        <v>13628</v>
      </c>
      <c r="G13" s="132">
        <v>17851</v>
      </c>
      <c r="H13" s="362">
        <v>15830</v>
      </c>
      <c r="I13" s="132">
        <v>10155</v>
      </c>
      <c r="J13" s="132">
        <v>8437</v>
      </c>
      <c r="K13" s="132">
        <v>13628</v>
      </c>
    </row>
    <row r="14" spans="1:21" ht="27.75" customHeight="1">
      <c r="A14" s="412" t="s">
        <v>1160</v>
      </c>
      <c r="B14" s="132">
        <v>895</v>
      </c>
      <c r="C14" s="362">
        <v>1073</v>
      </c>
      <c r="D14" s="132">
        <v>1058</v>
      </c>
      <c r="E14" s="132">
        <v>1601</v>
      </c>
      <c r="F14" s="449">
        <v>2109</v>
      </c>
      <c r="G14" s="132">
        <f>85+645+105</f>
        <v>835</v>
      </c>
      <c r="H14" s="362">
        <f>92+800+181</f>
        <v>1073</v>
      </c>
      <c r="I14" s="132">
        <v>930</v>
      </c>
      <c r="J14" s="132">
        <v>1072</v>
      </c>
      <c r="K14" s="132">
        <v>1571</v>
      </c>
    </row>
    <row r="15" spans="1:21" ht="15.95" customHeight="1">
      <c r="A15" s="252" t="s">
        <v>1526</v>
      </c>
      <c r="B15" s="133">
        <v>2868</v>
      </c>
      <c r="C15" s="142">
        <v>3187</v>
      </c>
      <c r="D15" s="133">
        <v>4401</v>
      </c>
      <c r="E15" s="133">
        <v>3757</v>
      </c>
      <c r="F15" s="141">
        <v>4208</v>
      </c>
      <c r="G15" s="133">
        <v>2868</v>
      </c>
      <c r="H15" s="142">
        <v>3187</v>
      </c>
      <c r="I15" s="133">
        <v>2828</v>
      </c>
      <c r="J15" s="133">
        <v>2284</v>
      </c>
      <c r="K15" s="133">
        <v>2977</v>
      </c>
    </row>
    <row r="16" spans="1:21" ht="15.95" customHeight="1">
      <c r="A16" s="317" t="s">
        <v>1233</v>
      </c>
      <c r="B16" s="490">
        <f t="shared" ref="B16:K16" si="0">IF(SUM(B7:B15)=0,"..",SUM(B7:B15))</f>
        <v>22137</v>
      </c>
      <c r="C16" s="490">
        <f t="shared" si="0"/>
        <v>20703</v>
      </c>
      <c r="D16" s="490">
        <f t="shared" si="0"/>
        <v>16217</v>
      </c>
      <c r="E16" s="490">
        <f t="shared" si="0"/>
        <v>14448</v>
      </c>
      <c r="F16" s="490">
        <f t="shared" si="0"/>
        <v>20564</v>
      </c>
      <c r="G16" s="490">
        <f t="shared" si="0"/>
        <v>22077</v>
      </c>
      <c r="H16" s="490">
        <f t="shared" si="0"/>
        <v>20703</v>
      </c>
      <c r="I16" s="490">
        <f t="shared" si="0"/>
        <v>14038</v>
      </c>
      <c r="J16" s="490">
        <f t="shared" si="0"/>
        <v>11942</v>
      </c>
      <c r="K16" s="490">
        <f t="shared" si="0"/>
        <v>18581</v>
      </c>
    </row>
    <row r="17" spans="1:21" ht="11.25" customHeight="1">
      <c r="A17" s="21"/>
      <c r="B17" s="7"/>
      <c r="C17" s="7"/>
      <c r="D17" s="7"/>
      <c r="E17" s="7"/>
      <c r="G17" s="7"/>
      <c r="H17" s="83"/>
      <c r="I17" s="7"/>
      <c r="K17" s="510"/>
    </row>
    <row r="18" spans="1:21" ht="15.75" customHeight="1">
      <c r="A18" s="1444" t="s">
        <v>336</v>
      </c>
      <c r="B18" s="1444"/>
      <c r="C18" s="1444"/>
      <c r="D18" s="1444"/>
      <c r="E18" s="1444"/>
      <c r="F18" s="1444"/>
      <c r="G18" s="1444"/>
      <c r="H18" s="1444"/>
      <c r="I18" s="1444"/>
      <c r="J18" s="1444"/>
      <c r="K18" s="1444"/>
    </row>
    <row r="19" spans="1:21" ht="10.5" customHeight="1">
      <c r="A19" s="21"/>
      <c r="B19" s="7"/>
      <c r="C19" s="7"/>
      <c r="D19" s="7"/>
      <c r="E19" s="7"/>
      <c r="F19" s="7"/>
      <c r="G19" s="7"/>
      <c r="H19" s="83"/>
      <c r="I19" s="7"/>
      <c r="K19" s="170" t="s">
        <v>1253</v>
      </c>
      <c r="U19" s="148"/>
    </row>
    <row r="20" spans="1:21" ht="15" customHeight="1">
      <c r="A20" s="1348" t="s">
        <v>597</v>
      </c>
      <c r="B20" s="1389" t="s">
        <v>606</v>
      </c>
      <c r="C20" s="1630"/>
      <c r="D20" s="1630"/>
      <c r="E20" s="1630"/>
      <c r="F20" s="1390"/>
      <c r="G20" s="1639" t="s">
        <v>607</v>
      </c>
      <c r="H20" s="1639"/>
      <c r="I20" s="1639"/>
      <c r="J20" s="1639"/>
      <c r="K20" s="1392"/>
      <c r="U20" s="148"/>
    </row>
    <row r="21" spans="1:21" ht="15" customHeight="1">
      <c r="A21" s="1370"/>
      <c r="B21" s="511">
        <f>District!A9</f>
        <v>2010</v>
      </c>
      <c r="C21" s="511">
        <f>District!B9</f>
        <v>2011</v>
      </c>
      <c r="D21" s="511">
        <f>District!C9</f>
        <v>2012</v>
      </c>
      <c r="E21" s="511">
        <f>District!D9</f>
        <v>2013</v>
      </c>
      <c r="F21" s="511">
        <f>District!E9</f>
        <v>2014</v>
      </c>
      <c r="G21" s="511">
        <f>District!A9</f>
        <v>2010</v>
      </c>
      <c r="H21" s="511">
        <f>District!B9</f>
        <v>2011</v>
      </c>
      <c r="I21" s="511">
        <f>District!C9</f>
        <v>2012</v>
      </c>
      <c r="J21" s="511">
        <f>District!D9</f>
        <v>2013</v>
      </c>
      <c r="K21" s="511">
        <f>District!E9</f>
        <v>2014</v>
      </c>
      <c r="L21" s="367"/>
      <c r="M21" s="367"/>
      <c r="N21" s="367"/>
      <c r="O21" s="367"/>
      <c r="P21" s="367"/>
      <c r="Q21" s="367"/>
      <c r="R21" s="367"/>
      <c r="S21" s="367"/>
    </row>
    <row r="22" spans="1:21" ht="15" customHeight="1">
      <c r="A22" s="151" t="s">
        <v>1208</v>
      </c>
      <c r="B22" s="218" t="s">
        <v>1271</v>
      </c>
      <c r="C22" s="156" t="s">
        <v>1272</v>
      </c>
      <c r="D22" s="219" t="s">
        <v>1273</v>
      </c>
      <c r="E22" s="156" t="s">
        <v>1274</v>
      </c>
      <c r="F22" s="155" t="s">
        <v>1275</v>
      </c>
      <c r="G22" s="219" t="s">
        <v>1276</v>
      </c>
      <c r="H22" s="156" t="s">
        <v>1278</v>
      </c>
      <c r="I22" s="219" t="s">
        <v>1277</v>
      </c>
      <c r="J22" s="156" t="s">
        <v>1666</v>
      </c>
      <c r="K22" s="155" t="s">
        <v>1667</v>
      </c>
    </row>
    <row r="23" spans="1:21" ht="15.95" customHeight="1">
      <c r="A23" s="180" t="s">
        <v>598</v>
      </c>
      <c r="B23" s="642">
        <v>13</v>
      </c>
      <c r="C23" s="642">
        <v>40</v>
      </c>
      <c r="D23" s="132">
        <v>38</v>
      </c>
      <c r="E23" s="644">
        <v>68</v>
      </c>
      <c r="F23" s="644">
        <v>3</v>
      </c>
      <c r="G23" s="132">
        <v>6</v>
      </c>
      <c r="H23" s="644">
        <v>8</v>
      </c>
      <c r="I23" s="132" t="s">
        <v>1183</v>
      </c>
      <c r="J23" s="644">
        <v>3</v>
      </c>
      <c r="K23" s="644" t="s">
        <v>1509</v>
      </c>
    </row>
    <row r="24" spans="1:21" ht="15.95" customHeight="1">
      <c r="A24" s="181" t="s">
        <v>599</v>
      </c>
      <c r="B24" s="132" t="s">
        <v>1183</v>
      </c>
      <c r="C24" s="132" t="s">
        <v>1183</v>
      </c>
      <c r="D24" s="132" t="s">
        <v>1183</v>
      </c>
      <c r="E24" s="132" t="s">
        <v>1509</v>
      </c>
      <c r="F24" s="132" t="s">
        <v>1509</v>
      </c>
      <c r="G24" s="132" t="s">
        <v>1183</v>
      </c>
      <c r="H24" s="362" t="s">
        <v>1183</v>
      </c>
      <c r="I24" s="132" t="s">
        <v>1183</v>
      </c>
      <c r="J24" s="132" t="s">
        <v>1509</v>
      </c>
      <c r="K24" s="132" t="s">
        <v>1509</v>
      </c>
    </row>
    <row r="25" spans="1:21" ht="15.95" customHeight="1">
      <c r="A25" s="181" t="s">
        <v>600</v>
      </c>
      <c r="B25" s="132" t="s">
        <v>1183</v>
      </c>
      <c r="C25" s="132" t="s">
        <v>1183</v>
      </c>
      <c r="D25" s="132" t="s">
        <v>1183</v>
      </c>
      <c r="E25" s="132" t="s">
        <v>1509</v>
      </c>
      <c r="F25" s="132" t="s">
        <v>1509</v>
      </c>
      <c r="G25" s="132" t="s">
        <v>1183</v>
      </c>
      <c r="H25" s="362">
        <v>1</v>
      </c>
      <c r="I25" s="132" t="s">
        <v>1183</v>
      </c>
      <c r="J25" s="362" t="s">
        <v>1509</v>
      </c>
      <c r="K25" s="132" t="s">
        <v>1509</v>
      </c>
    </row>
    <row r="26" spans="1:21" ht="15.95" customHeight="1">
      <c r="A26" s="181" t="s">
        <v>601</v>
      </c>
      <c r="B26" s="132" t="s">
        <v>1183</v>
      </c>
      <c r="C26" s="132" t="s">
        <v>1183</v>
      </c>
      <c r="D26" s="132" t="s">
        <v>1183</v>
      </c>
      <c r="E26" s="132" t="s">
        <v>1509</v>
      </c>
      <c r="F26" s="132" t="s">
        <v>1509</v>
      </c>
      <c r="G26" s="132" t="s">
        <v>1183</v>
      </c>
      <c r="H26" s="362" t="s">
        <v>1183</v>
      </c>
      <c r="I26" s="132" t="s">
        <v>1183</v>
      </c>
      <c r="J26" s="132" t="s">
        <v>1509</v>
      </c>
      <c r="K26" s="132" t="s">
        <v>1509</v>
      </c>
      <c r="P26" s="7"/>
    </row>
    <row r="27" spans="1:21" ht="15.95" customHeight="1">
      <c r="A27" s="181" t="s">
        <v>602</v>
      </c>
      <c r="B27" s="132" t="s">
        <v>1183</v>
      </c>
      <c r="C27" s="375">
        <v>12</v>
      </c>
      <c r="D27" s="132" t="s">
        <v>1183</v>
      </c>
      <c r="E27" s="362" t="s">
        <v>1509</v>
      </c>
      <c r="F27" s="132" t="s">
        <v>1509</v>
      </c>
      <c r="G27" s="132" t="s">
        <v>1183</v>
      </c>
      <c r="H27" s="362">
        <v>1</v>
      </c>
      <c r="I27" s="132" t="s">
        <v>1183</v>
      </c>
      <c r="J27" s="362" t="s">
        <v>1509</v>
      </c>
      <c r="K27" s="132" t="s">
        <v>1509</v>
      </c>
    </row>
    <row r="28" spans="1:21" ht="15.95" customHeight="1">
      <c r="A28" s="181" t="s">
        <v>603</v>
      </c>
      <c r="B28" s="375">
        <v>3</v>
      </c>
      <c r="C28" s="362" t="s">
        <v>1183</v>
      </c>
      <c r="D28" s="132" t="s">
        <v>1183</v>
      </c>
      <c r="E28" s="132" t="s">
        <v>1509</v>
      </c>
      <c r="F28" s="132" t="s">
        <v>1509</v>
      </c>
      <c r="G28" s="132" t="s">
        <v>1183</v>
      </c>
      <c r="H28" s="362">
        <v>20</v>
      </c>
      <c r="I28" s="132" t="s">
        <v>1183</v>
      </c>
      <c r="J28" s="362" t="s">
        <v>1509</v>
      </c>
      <c r="K28" s="132" t="s">
        <v>1509</v>
      </c>
    </row>
    <row r="29" spans="1:21" ht="15.95" customHeight="1">
      <c r="A29" s="181" t="s">
        <v>1081</v>
      </c>
      <c r="B29" s="132">
        <v>17851</v>
      </c>
      <c r="C29" s="375">
        <v>15830</v>
      </c>
      <c r="D29" s="132">
        <v>10155</v>
      </c>
      <c r="E29" s="132">
        <v>14562</v>
      </c>
      <c r="F29" s="132">
        <v>13628</v>
      </c>
      <c r="G29" s="132" t="s">
        <v>1183</v>
      </c>
      <c r="H29" s="362" t="s">
        <v>1183</v>
      </c>
      <c r="I29" s="132" t="s">
        <v>1183</v>
      </c>
      <c r="J29" s="132" t="s">
        <v>1183</v>
      </c>
      <c r="K29" s="132" t="s">
        <v>1509</v>
      </c>
    </row>
    <row r="30" spans="1:21" ht="25.5" customHeight="1">
      <c r="A30" s="412" t="s">
        <v>1160</v>
      </c>
      <c r="B30" s="377">
        <v>1</v>
      </c>
      <c r="C30" s="362">
        <v>13</v>
      </c>
      <c r="D30" s="132">
        <v>9</v>
      </c>
      <c r="E30" s="132">
        <v>20</v>
      </c>
      <c r="F30" s="132">
        <v>2</v>
      </c>
      <c r="G30" s="132" t="s">
        <v>1183</v>
      </c>
      <c r="H30" s="362">
        <v>6</v>
      </c>
      <c r="I30" s="132" t="s">
        <v>1183</v>
      </c>
      <c r="J30" s="362">
        <v>1</v>
      </c>
      <c r="K30" s="132" t="s">
        <v>1509</v>
      </c>
    </row>
    <row r="31" spans="1:21" ht="15.95" customHeight="1">
      <c r="A31" s="252" t="s">
        <v>1526</v>
      </c>
      <c r="B31" s="142">
        <v>12</v>
      </c>
      <c r="C31" s="947">
        <v>42</v>
      </c>
      <c r="D31" s="947">
        <v>37</v>
      </c>
      <c r="E31" s="947">
        <v>58</v>
      </c>
      <c r="F31" s="947">
        <v>19</v>
      </c>
      <c r="G31" s="133" t="s">
        <v>1183</v>
      </c>
      <c r="H31" s="133">
        <v>232</v>
      </c>
      <c r="I31" s="133" t="s">
        <v>1183</v>
      </c>
      <c r="J31" s="133">
        <v>2</v>
      </c>
      <c r="K31" s="133" t="s">
        <v>1509</v>
      </c>
    </row>
    <row r="32" spans="1:21" ht="15.95" customHeight="1">
      <c r="A32" s="317" t="s">
        <v>1233</v>
      </c>
      <c r="B32" s="490">
        <f t="shared" ref="B32:J32" si="1">IF(SUM(B23:B31)=0,"..",SUM(B23:B31))</f>
        <v>17880</v>
      </c>
      <c r="C32" s="490">
        <f t="shared" si="1"/>
        <v>15937</v>
      </c>
      <c r="D32" s="490">
        <f t="shared" si="1"/>
        <v>10239</v>
      </c>
      <c r="E32" s="490">
        <f t="shared" si="1"/>
        <v>14708</v>
      </c>
      <c r="F32" s="490">
        <f t="shared" si="1"/>
        <v>13652</v>
      </c>
      <c r="G32" s="490">
        <f t="shared" si="1"/>
        <v>6</v>
      </c>
      <c r="H32" s="490">
        <f t="shared" si="1"/>
        <v>268</v>
      </c>
      <c r="I32" s="490" t="str">
        <f t="shared" si="1"/>
        <v>..</v>
      </c>
      <c r="J32" s="490">
        <f t="shared" si="1"/>
        <v>6</v>
      </c>
      <c r="K32" s="490" t="str">
        <f>IF(SUM(K23:K31)=0,"-",SUM(K23:K31))</f>
        <v>-</v>
      </c>
    </row>
    <row r="33" spans="2:11" ht="12" hidden="1" customHeight="1">
      <c r="G33" s="80"/>
      <c r="H33"/>
      <c r="J33" s="3"/>
      <c r="K33" s="900" t="s">
        <v>1463</v>
      </c>
    </row>
    <row r="34" spans="2:11" ht="15" customHeight="1">
      <c r="G34" s="80"/>
      <c r="H34" s="83"/>
      <c r="I34" s="7"/>
      <c r="K34" s="900" t="s">
        <v>1463</v>
      </c>
    </row>
    <row r="35" spans="2:11" ht="15" customHeight="1">
      <c r="B35" s="21"/>
      <c r="C35" s="7"/>
      <c r="D35" s="7"/>
      <c r="E35" s="43"/>
      <c r="G35" s="80"/>
      <c r="H35" s="83"/>
      <c r="I35" s="7"/>
    </row>
    <row r="36" spans="2:11">
      <c r="G36" s="80"/>
    </row>
    <row r="37" spans="2:11">
      <c r="G37" s="80"/>
    </row>
    <row r="38" spans="2:11">
      <c r="G38" s="80"/>
    </row>
    <row r="39" spans="2:11">
      <c r="G39" s="41"/>
    </row>
    <row r="40" spans="2:11">
      <c r="G40" s="41"/>
    </row>
    <row r="41" spans="2:11">
      <c r="G41" s="7"/>
    </row>
  </sheetData>
  <dataConsolidate/>
  <mergeCells count="9">
    <mergeCell ref="A18:K18"/>
    <mergeCell ref="A1:K1"/>
    <mergeCell ref="A2:K2"/>
    <mergeCell ref="A20:A21"/>
    <mergeCell ref="G20:K20"/>
    <mergeCell ref="A4:A5"/>
    <mergeCell ref="B4:F4"/>
    <mergeCell ref="G4:K4"/>
    <mergeCell ref="B20:F20"/>
  </mergeCells>
  <phoneticPr fontId="0" type="noConversion"/>
  <conditionalFormatting sqref="A1:XFD1048576">
    <cfRule type="cellIs" dxfId="3" priority="1" stopIfTrue="1" operator="equal">
      <formula>".."</formula>
    </cfRule>
  </conditionalFormatting>
  <printOptions horizontalCentered="1"/>
  <pageMargins left="0.15" right="0.15" top="0.37" bottom="0.14000000000000001" header="0.37" footer="0.15"/>
  <pageSetup paperSize="9" orientation="landscape" blackAndWhite="1" horizontalDpi="4294967295" verticalDpi="300" r:id="rId1"/>
  <headerFooter alignWithMargins="0"/>
</worksheet>
</file>

<file path=xl/worksheets/sheet7.xml><?xml version="1.0" encoding="utf-8"?>
<worksheet xmlns="http://schemas.openxmlformats.org/spreadsheetml/2006/main" xmlns:r="http://schemas.openxmlformats.org/officeDocument/2006/relationships">
  <sheetPr codeName="Sheet5"/>
  <dimension ref="A1:K41"/>
  <sheetViews>
    <sheetView workbookViewId="0">
      <selection activeCell="M5" sqref="M5"/>
    </sheetView>
  </sheetViews>
  <sheetFormatPr defaultRowHeight="12.75"/>
  <cols>
    <col min="1" max="1" width="16.28515625" customWidth="1"/>
    <col min="2" max="7" width="11.42578125" customWidth="1"/>
    <col min="8" max="11" width="11.42578125" style="1" customWidth="1"/>
  </cols>
  <sheetData>
    <row r="1" spans="1:11">
      <c r="A1" s="1363" t="s">
        <v>545</v>
      </c>
      <c r="B1" s="1363"/>
      <c r="C1" s="1363"/>
      <c r="D1" s="1363"/>
      <c r="E1" s="1363"/>
      <c r="F1" s="1363"/>
      <c r="G1" s="1363"/>
      <c r="H1" s="1363"/>
      <c r="I1" s="1363"/>
      <c r="J1" s="1363"/>
      <c r="K1" s="1363"/>
    </row>
    <row r="2" spans="1:11" ht="15.95" customHeight="1">
      <c r="A2" s="1374" t="str">
        <f>CONCATENATE("Maximum and Minimum Temperature by month in the district of ",District!$A$1)</f>
        <v>Maximum and Minimum Temperature by month in the district of Malda</v>
      </c>
      <c r="B2" s="1374"/>
      <c r="C2" s="1374"/>
      <c r="D2" s="1374"/>
      <c r="E2" s="1374"/>
      <c r="F2" s="1374"/>
      <c r="G2" s="1374"/>
      <c r="H2" s="1374"/>
      <c r="I2" s="1374"/>
      <c r="J2" s="1374"/>
      <c r="K2" s="1374"/>
    </row>
    <row r="3" spans="1:11" ht="14.1" customHeight="1">
      <c r="A3" s="709" t="s">
        <v>355</v>
      </c>
      <c r="K3" s="162" t="s">
        <v>978</v>
      </c>
    </row>
    <row r="4" spans="1:11" ht="12.75" customHeight="1">
      <c r="A4" s="1348" t="s">
        <v>1215</v>
      </c>
      <c r="B4" s="1371">
        <f>District!A11</f>
        <v>2010</v>
      </c>
      <c r="C4" s="1372"/>
      <c r="D4" s="1371">
        <f>District!C11</f>
        <v>2011</v>
      </c>
      <c r="E4" s="1372"/>
      <c r="F4" s="1371">
        <f>District!E11</f>
        <v>2012</v>
      </c>
      <c r="G4" s="1372"/>
      <c r="H4" s="1371">
        <f>District!G11</f>
        <v>2013</v>
      </c>
      <c r="I4" s="1372"/>
      <c r="J4" s="1371">
        <f>District!I11</f>
        <v>2014</v>
      </c>
      <c r="K4" s="1372"/>
    </row>
    <row r="5" spans="1:11" ht="12.75" customHeight="1">
      <c r="A5" s="1349"/>
      <c r="B5" s="259" t="s">
        <v>1335</v>
      </c>
      <c r="C5" s="262" t="s">
        <v>1336</v>
      </c>
      <c r="D5" s="259" t="s">
        <v>1335</v>
      </c>
      <c r="E5" s="262" t="s">
        <v>1336</v>
      </c>
      <c r="F5" s="259" t="s">
        <v>1335</v>
      </c>
      <c r="G5" s="262" t="s">
        <v>1336</v>
      </c>
      <c r="H5" s="259" t="s">
        <v>1335</v>
      </c>
      <c r="I5" s="262" t="s">
        <v>1336</v>
      </c>
      <c r="J5" s="259" t="s">
        <v>1335</v>
      </c>
      <c r="K5" s="262" t="s">
        <v>1336</v>
      </c>
    </row>
    <row r="6" spans="1:11" ht="12.75" customHeight="1">
      <c r="A6" s="99" t="s">
        <v>1208</v>
      </c>
      <c r="B6" s="704" t="s">
        <v>1209</v>
      </c>
      <c r="C6" s="705" t="s">
        <v>1210</v>
      </c>
      <c r="D6" s="700" t="s">
        <v>1211</v>
      </c>
      <c r="E6" s="1086" t="s">
        <v>1212</v>
      </c>
      <c r="F6" s="704" t="s">
        <v>1213</v>
      </c>
      <c r="G6" s="705" t="s">
        <v>1214</v>
      </c>
      <c r="H6" s="704" t="s">
        <v>1244</v>
      </c>
      <c r="I6" s="705" t="s">
        <v>1245</v>
      </c>
      <c r="J6" s="1037" t="s">
        <v>1246</v>
      </c>
      <c r="K6" s="1038" t="s">
        <v>1247</v>
      </c>
    </row>
    <row r="7" spans="1:11" ht="14.25" customHeight="1">
      <c r="A7" s="180" t="s">
        <v>1221</v>
      </c>
      <c r="B7" s="49">
        <v>26</v>
      </c>
      <c r="C7" s="123">
        <v>8</v>
      </c>
      <c r="D7" s="121">
        <v>26</v>
      </c>
      <c r="E7" s="98">
        <v>5</v>
      </c>
      <c r="F7" s="49">
        <v>28</v>
      </c>
      <c r="G7" s="123">
        <v>10</v>
      </c>
      <c r="H7" s="121">
        <v>27</v>
      </c>
      <c r="I7" s="98">
        <v>5</v>
      </c>
      <c r="J7" s="121">
        <v>27</v>
      </c>
      <c r="K7" s="98">
        <v>9</v>
      </c>
    </row>
    <row r="8" spans="1:11" ht="14.25" customHeight="1">
      <c r="A8" s="180" t="s">
        <v>1222</v>
      </c>
      <c r="B8" s="41">
        <v>32</v>
      </c>
      <c r="C8" s="98">
        <v>13</v>
      </c>
      <c r="D8" s="121">
        <v>31</v>
      </c>
      <c r="E8" s="98">
        <v>13</v>
      </c>
      <c r="F8" s="41">
        <v>34</v>
      </c>
      <c r="G8" s="98">
        <v>11</v>
      </c>
      <c r="H8" s="121">
        <v>32</v>
      </c>
      <c r="I8" s="98">
        <v>13</v>
      </c>
      <c r="J8" s="121">
        <v>30</v>
      </c>
      <c r="K8" s="98">
        <v>10</v>
      </c>
    </row>
    <row r="9" spans="1:11" ht="14.25" customHeight="1">
      <c r="A9" s="180" t="s">
        <v>1223</v>
      </c>
      <c r="B9" s="41">
        <v>40</v>
      </c>
      <c r="C9" s="98">
        <v>19</v>
      </c>
      <c r="D9" s="121">
        <v>37</v>
      </c>
      <c r="E9" s="98">
        <v>15</v>
      </c>
      <c r="F9" s="41">
        <v>39</v>
      </c>
      <c r="G9" s="98">
        <v>17</v>
      </c>
      <c r="H9" s="121">
        <v>38</v>
      </c>
      <c r="I9" s="98">
        <v>17</v>
      </c>
      <c r="J9" s="121">
        <v>38</v>
      </c>
      <c r="K9" s="98">
        <v>16</v>
      </c>
    </row>
    <row r="10" spans="1:11" ht="14.25" customHeight="1">
      <c r="A10" s="180" t="s">
        <v>1224</v>
      </c>
      <c r="B10" s="41">
        <v>41</v>
      </c>
      <c r="C10" s="98">
        <v>22</v>
      </c>
      <c r="D10" s="121">
        <v>39</v>
      </c>
      <c r="E10" s="98">
        <v>19</v>
      </c>
      <c r="F10" s="41">
        <v>41</v>
      </c>
      <c r="G10" s="98">
        <v>20</v>
      </c>
      <c r="H10" s="121">
        <v>42</v>
      </c>
      <c r="I10" s="98">
        <v>19</v>
      </c>
      <c r="J10" s="121">
        <v>41</v>
      </c>
      <c r="K10" s="98">
        <v>22</v>
      </c>
    </row>
    <row r="11" spans="1:11" ht="14.25" customHeight="1">
      <c r="A11" s="180" t="s">
        <v>1225</v>
      </c>
      <c r="B11" s="41">
        <v>42</v>
      </c>
      <c r="C11" s="98">
        <v>21</v>
      </c>
      <c r="D11" s="121">
        <v>37</v>
      </c>
      <c r="E11" s="98">
        <v>21</v>
      </c>
      <c r="F11" s="41">
        <v>43</v>
      </c>
      <c r="G11" s="98">
        <v>21</v>
      </c>
      <c r="H11" s="121">
        <v>43</v>
      </c>
      <c r="I11" s="98">
        <v>22</v>
      </c>
      <c r="J11" s="121">
        <v>42</v>
      </c>
      <c r="K11" s="98">
        <v>21</v>
      </c>
    </row>
    <row r="12" spans="1:11" ht="14.25" customHeight="1">
      <c r="A12" s="180" t="s">
        <v>1226</v>
      </c>
      <c r="B12" s="41">
        <v>40</v>
      </c>
      <c r="C12" s="98">
        <v>22</v>
      </c>
      <c r="D12" s="121">
        <v>37</v>
      </c>
      <c r="E12" s="98">
        <v>25</v>
      </c>
      <c r="F12" s="41">
        <v>42</v>
      </c>
      <c r="G12" s="98">
        <v>25</v>
      </c>
      <c r="H12" s="121">
        <v>37</v>
      </c>
      <c r="I12" s="98">
        <v>22</v>
      </c>
      <c r="J12" s="121">
        <v>38</v>
      </c>
      <c r="K12" s="98">
        <v>22</v>
      </c>
    </row>
    <row r="13" spans="1:11" ht="14.25" customHeight="1">
      <c r="A13" s="180" t="s">
        <v>1227</v>
      </c>
      <c r="B13" s="41">
        <v>36</v>
      </c>
      <c r="C13" s="98">
        <v>26</v>
      </c>
      <c r="D13" s="121">
        <v>35</v>
      </c>
      <c r="E13" s="98">
        <v>25</v>
      </c>
      <c r="F13" s="41">
        <v>36</v>
      </c>
      <c r="G13" s="98">
        <v>26</v>
      </c>
      <c r="H13" s="121">
        <v>36</v>
      </c>
      <c r="I13" s="98">
        <v>26</v>
      </c>
      <c r="J13" s="121">
        <v>36</v>
      </c>
      <c r="K13" s="98">
        <v>25</v>
      </c>
    </row>
    <row r="14" spans="1:11" ht="14.25" customHeight="1">
      <c r="A14" s="180" t="s">
        <v>1228</v>
      </c>
      <c r="B14" s="41">
        <v>38</v>
      </c>
      <c r="C14" s="98">
        <v>26</v>
      </c>
      <c r="D14" s="121">
        <v>37</v>
      </c>
      <c r="E14" s="98">
        <v>24</v>
      </c>
      <c r="F14" s="41">
        <v>36</v>
      </c>
      <c r="G14" s="98">
        <v>26</v>
      </c>
      <c r="H14" s="121">
        <v>36</v>
      </c>
      <c r="I14" s="98">
        <v>25</v>
      </c>
      <c r="J14" s="121">
        <v>34</v>
      </c>
      <c r="K14" s="98">
        <v>25</v>
      </c>
    </row>
    <row r="15" spans="1:11" ht="14.25" customHeight="1">
      <c r="A15" s="180" t="s">
        <v>1229</v>
      </c>
      <c r="B15" s="41">
        <v>35</v>
      </c>
      <c r="C15" s="98">
        <v>25</v>
      </c>
      <c r="D15" s="121">
        <v>37</v>
      </c>
      <c r="E15" s="98">
        <v>25</v>
      </c>
      <c r="F15" s="290" t="s">
        <v>1183</v>
      </c>
      <c r="G15" s="362" t="s">
        <v>1183</v>
      </c>
      <c r="H15" s="374">
        <v>37</v>
      </c>
      <c r="I15" s="362">
        <v>24</v>
      </c>
      <c r="J15" s="374">
        <v>36</v>
      </c>
      <c r="K15" s="362">
        <v>24</v>
      </c>
    </row>
    <row r="16" spans="1:11" ht="14.25" customHeight="1">
      <c r="A16" s="180" t="s">
        <v>1230</v>
      </c>
      <c r="B16" s="41">
        <v>35</v>
      </c>
      <c r="C16" s="98">
        <v>22</v>
      </c>
      <c r="D16" s="121">
        <v>35</v>
      </c>
      <c r="E16" s="98">
        <v>20</v>
      </c>
      <c r="F16" s="41">
        <v>35</v>
      </c>
      <c r="G16" s="98">
        <v>20</v>
      </c>
      <c r="H16" s="121">
        <v>34</v>
      </c>
      <c r="I16" s="98">
        <v>22</v>
      </c>
      <c r="J16" s="121">
        <v>35</v>
      </c>
      <c r="K16" s="98">
        <v>22</v>
      </c>
    </row>
    <row r="17" spans="1:11" ht="14.25" customHeight="1">
      <c r="A17" s="180" t="s">
        <v>1231</v>
      </c>
      <c r="B17" s="41">
        <v>34</v>
      </c>
      <c r="C17" s="98">
        <v>17</v>
      </c>
      <c r="D17" s="121">
        <v>32</v>
      </c>
      <c r="E17" s="98">
        <v>17</v>
      </c>
      <c r="F17" s="41">
        <v>32</v>
      </c>
      <c r="G17" s="98">
        <v>15</v>
      </c>
      <c r="H17" s="121">
        <v>31</v>
      </c>
      <c r="I17" s="98">
        <v>16</v>
      </c>
      <c r="J17" s="121">
        <v>33</v>
      </c>
      <c r="K17" s="98">
        <v>16</v>
      </c>
    </row>
    <row r="18" spans="1:11" ht="14.25" customHeight="1">
      <c r="A18" s="180" t="s">
        <v>1232</v>
      </c>
      <c r="B18" s="29">
        <v>30</v>
      </c>
      <c r="C18" s="94">
        <v>9</v>
      </c>
      <c r="D18" s="127">
        <v>31</v>
      </c>
      <c r="E18" s="94">
        <v>9</v>
      </c>
      <c r="F18" s="29">
        <v>27</v>
      </c>
      <c r="G18" s="94">
        <v>8</v>
      </c>
      <c r="H18" s="127">
        <v>29</v>
      </c>
      <c r="I18" s="94">
        <v>10</v>
      </c>
      <c r="J18" s="127">
        <v>28</v>
      </c>
      <c r="K18" s="94">
        <v>9</v>
      </c>
    </row>
    <row r="19" spans="1:11" ht="14.25" customHeight="1">
      <c r="A19" s="316" t="s">
        <v>1249</v>
      </c>
      <c r="B19" s="318">
        <f>MAX(B7:B18)</f>
        <v>42</v>
      </c>
      <c r="C19" s="490">
        <f>MIN(C7:C18)</f>
        <v>8</v>
      </c>
      <c r="D19" s="182">
        <f>MAX(D7:D18)</f>
        <v>39</v>
      </c>
      <c r="E19" s="183">
        <f>MIN(E7:E18)</f>
        <v>5</v>
      </c>
      <c r="F19" s="182">
        <f>MAX(F7:F18)</f>
        <v>43</v>
      </c>
      <c r="G19" s="183">
        <f>MIN(G7:G18)</f>
        <v>8</v>
      </c>
      <c r="H19" s="182">
        <f>MAX(H7:H18)</f>
        <v>43</v>
      </c>
      <c r="I19" s="183">
        <f>MIN(I7:I18)</f>
        <v>5</v>
      </c>
      <c r="J19" s="182">
        <f>MAX(J7:J18)</f>
        <v>42</v>
      </c>
      <c r="K19" s="183">
        <f>MIN(K7:K18)</f>
        <v>9</v>
      </c>
    </row>
    <row r="20" spans="1:11" ht="12.95" customHeight="1">
      <c r="K20" s="847" t="s">
        <v>946</v>
      </c>
    </row>
    <row r="21" spans="1:11" ht="12.95" customHeight="1">
      <c r="A21" s="1363" t="s">
        <v>546</v>
      </c>
      <c r="B21" s="1363"/>
      <c r="C21" s="1363"/>
      <c r="D21" s="1363"/>
      <c r="E21" s="1363"/>
      <c r="F21" s="1363"/>
      <c r="G21" s="1363"/>
      <c r="H21" s="1363"/>
      <c r="I21" s="1363"/>
      <c r="J21" s="1363"/>
      <c r="K21" s="1363"/>
    </row>
    <row r="22" spans="1:11" ht="15.95" customHeight="1">
      <c r="A22" s="1373" t="str">
        <f>CONCATENATE("Mean Maximum and Mean Minimum Temperature by month in the district of ",District!$A$1)</f>
        <v>Mean Maximum and Mean Minimum Temperature by month in the district of Malda</v>
      </c>
      <c r="B22" s="1373"/>
      <c r="C22" s="1373"/>
      <c r="D22" s="1373"/>
      <c r="E22" s="1373"/>
      <c r="F22" s="1373"/>
      <c r="G22" s="1373"/>
      <c r="H22" s="1373"/>
      <c r="I22" s="1373"/>
      <c r="J22" s="1373"/>
      <c r="K22" s="1373"/>
    </row>
    <row r="23" spans="1:11" ht="14.1" customHeight="1">
      <c r="A23" s="709" t="s">
        <v>355</v>
      </c>
      <c r="K23" s="162" t="s">
        <v>992</v>
      </c>
    </row>
    <row r="24" spans="1:11" ht="12.75" customHeight="1">
      <c r="A24" s="1348" t="s">
        <v>1215</v>
      </c>
      <c r="B24" s="1371">
        <f>District!A11</f>
        <v>2010</v>
      </c>
      <c r="C24" s="1372"/>
      <c r="D24" s="1371">
        <f>District!C11</f>
        <v>2011</v>
      </c>
      <c r="E24" s="1372"/>
      <c r="F24" s="1371">
        <f>District!E11</f>
        <v>2012</v>
      </c>
      <c r="G24" s="1372"/>
      <c r="H24" s="1371">
        <f>District!G11</f>
        <v>2013</v>
      </c>
      <c r="I24" s="1372"/>
      <c r="J24" s="1371">
        <f>District!I11</f>
        <v>2014</v>
      </c>
      <c r="K24" s="1372"/>
    </row>
    <row r="25" spans="1:11" ht="12.75" customHeight="1">
      <c r="A25" s="1370"/>
      <c r="B25" s="263" t="s">
        <v>1248</v>
      </c>
      <c r="C25" s="298" t="s">
        <v>1248</v>
      </c>
      <c r="D25" s="263" t="s">
        <v>1248</v>
      </c>
      <c r="E25" s="298" t="s">
        <v>1248</v>
      </c>
      <c r="F25" s="263" t="s">
        <v>1248</v>
      </c>
      <c r="G25" s="298" t="s">
        <v>1248</v>
      </c>
      <c r="H25" s="263" t="s">
        <v>1248</v>
      </c>
      <c r="I25" s="298" t="s">
        <v>1248</v>
      </c>
      <c r="J25" s="263" t="s">
        <v>1248</v>
      </c>
      <c r="K25" s="298" t="s">
        <v>1248</v>
      </c>
    </row>
    <row r="26" spans="1:11" ht="12.75" customHeight="1">
      <c r="A26" s="1349"/>
      <c r="B26" s="259" t="s">
        <v>1335</v>
      </c>
      <c r="C26" s="262" t="s">
        <v>1336</v>
      </c>
      <c r="D26" s="259" t="s">
        <v>1335</v>
      </c>
      <c r="E26" s="262" t="s">
        <v>1336</v>
      </c>
      <c r="F26" s="259" t="s">
        <v>1335</v>
      </c>
      <c r="G26" s="262" t="s">
        <v>1336</v>
      </c>
      <c r="H26" s="259" t="s">
        <v>1335</v>
      </c>
      <c r="I26" s="262" t="s">
        <v>1336</v>
      </c>
      <c r="J26" s="259" t="s">
        <v>1335</v>
      </c>
      <c r="K26" s="262" t="s">
        <v>1336</v>
      </c>
    </row>
    <row r="27" spans="1:11" ht="12.75" customHeight="1">
      <c r="A27" s="1036" t="s">
        <v>1208</v>
      </c>
      <c r="B27" s="704" t="s">
        <v>1209</v>
      </c>
      <c r="C27" s="705" t="s">
        <v>1210</v>
      </c>
      <c r="D27" s="700" t="s">
        <v>1211</v>
      </c>
      <c r="E27" s="1086" t="s">
        <v>1212</v>
      </c>
      <c r="F27" s="704" t="s">
        <v>1213</v>
      </c>
      <c r="G27" s="705" t="s">
        <v>1214</v>
      </c>
      <c r="H27" s="704" t="s">
        <v>1244</v>
      </c>
      <c r="I27" s="705" t="s">
        <v>1245</v>
      </c>
      <c r="J27" s="1037" t="s">
        <v>1246</v>
      </c>
      <c r="K27" s="1038" t="s">
        <v>1247</v>
      </c>
    </row>
    <row r="28" spans="1:11" ht="14.25" customHeight="1">
      <c r="A28" s="180" t="s">
        <v>1221</v>
      </c>
      <c r="B28" s="49">
        <v>21</v>
      </c>
      <c r="C28" s="123">
        <v>11</v>
      </c>
      <c r="D28" s="41">
        <v>21</v>
      </c>
      <c r="E28" s="98">
        <v>11</v>
      </c>
      <c r="F28" s="49">
        <v>23</v>
      </c>
      <c r="G28" s="123">
        <v>13</v>
      </c>
      <c r="H28" s="304">
        <v>22</v>
      </c>
      <c r="I28" s="98">
        <v>11</v>
      </c>
      <c r="J28" s="304">
        <v>23</v>
      </c>
      <c r="K28" s="98">
        <v>13</v>
      </c>
    </row>
    <row r="29" spans="1:11" ht="14.25" customHeight="1">
      <c r="A29" s="180" t="s">
        <v>1222</v>
      </c>
      <c r="B29" s="304">
        <v>28</v>
      </c>
      <c r="C29" s="98">
        <v>16</v>
      </c>
      <c r="D29" s="304">
        <v>28</v>
      </c>
      <c r="E29" s="98">
        <v>16</v>
      </c>
      <c r="F29" s="304">
        <v>28</v>
      </c>
      <c r="G29" s="98">
        <v>16</v>
      </c>
      <c r="H29" s="304">
        <v>28</v>
      </c>
      <c r="I29" s="98">
        <v>16</v>
      </c>
      <c r="J29" s="304">
        <v>25</v>
      </c>
      <c r="K29" s="98">
        <v>15</v>
      </c>
    </row>
    <row r="30" spans="1:11" ht="14.25" customHeight="1">
      <c r="A30" s="180" t="s">
        <v>1223</v>
      </c>
      <c r="B30" s="304">
        <v>35</v>
      </c>
      <c r="C30" s="98">
        <v>22</v>
      </c>
      <c r="D30" s="304">
        <v>33</v>
      </c>
      <c r="E30" s="98">
        <v>21</v>
      </c>
      <c r="F30" s="304">
        <v>34</v>
      </c>
      <c r="G30" s="98">
        <v>20</v>
      </c>
      <c r="H30" s="304">
        <v>34</v>
      </c>
      <c r="I30" s="98">
        <v>21</v>
      </c>
      <c r="J30" s="304">
        <v>32</v>
      </c>
      <c r="K30" s="98">
        <v>20</v>
      </c>
    </row>
    <row r="31" spans="1:11" ht="14.25" customHeight="1">
      <c r="A31" s="180" t="s">
        <v>1224</v>
      </c>
      <c r="B31" s="304">
        <v>37</v>
      </c>
      <c r="C31" s="98">
        <v>26</v>
      </c>
      <c r="D31" s="304">
        <v>34</v>
      </c>
      <c r="E31" s="98">
        <v>23</v>
      </c>
      <c r="F31" s="304">
        <v>35</v>
      </c>
      <c r="G31" s="98">
        <v>24</v>
      </c>
      <c r="H31" s="304">
        <v>35</v>
      </c>
      <c r="I31" s="98">
        <v>24</v>
      </c>
      <c r="J31" s="304">
        <v>37</v>
      </c>
      <c r="K31" s="98">
        <v>24</v>
      </c>
    </row>
    <row r="32" spans="1:11" ht="14.25" customHeight="1">
      <c r="A32" s="180" t="s">
        <v>1225</v>
      </c>
      <c r="B32" s="304">
        <v>35</v>
      </c>
      <c r="C32" s="98">
        <v>25</v>
      </c>
      <c r="D32" s="304">
        <v>34</v>
      </c>
      <c r="E32" s="98">
        <v>25</v>
      </c>
      <c r="F32" s="304">
        <v>38</v>
      </c>
      <c r="G32" s="98">
        <v>27</v>
      </c>
      <c r="H32" s="304">
        <v>34</v>
      </c>
      <c r="I32" s="98">
        <v>25</v>
      </c>
      <c r="J32" s="304">
        <v>38</v>
      </c>
      <c r="K32" s="98">
        <v>26</v>
      </c>
    </row>
    <row r="33" spans="1:11" ht="14.25" customHeight="1">
      <c r="A33" s="180" t="s">
        <v>1226</v>
      </c>
      <c r="B33" s="304">
        <v>34</v>
      </c>
      <c r="C33" s="98">
        <v>26</v>
      </c>
      <c r="D33" s="304">
        <v>34</v>
      </c>
      <c r="E33" s="98">
        <v>26</v>
      </c>
      <c r="F33" s="304">
        <v>36</v>
      </c>
      <c r="G33" s="98">
        <v>28</v>
      </c>
      <c r="H33" s="304">
        <v>34</v>
      </c>
      <c r="I33" s="98">
        <v>27</v>
      </c>
      <c r="J33" s="304">
        <v>34</v>
      </c>
      <c r="K33" s="98">
        <v>27</v>
      </c>
    </row>
    <row r="34" spans="1:11" ht="14.25" customHeight="1">
      <c r="A34" s="180" t="s">
        <v>1227</v>
      </c>
      <c r="B34" s="304">
        <v>33</v>
      </c>
      <c r="C34" s="98">
        <v>27</v>
      </c>
      <c r="D34" s="304">
        <v>33</v>
      </c>
      <c r="E34" s="98">
        <v>27</v>
      </c>
      <c r="F34" s="304">
        <v>33</v>
      </c>
      <c r="G34" s="98">
        <v>27</v>
      </c>
      <c r="H34" s="304">
        <v>34</v>
      </c>
      <c r="I34" s="98">
        <v>28</v>
      </c>
      <c r="J34" s="304">
        <v>33</v>
      </c>
      <c r="K34" s="98">
        <v>27</v>
      </c>
    </row>
    <row r="35" spans="1:11" ht="14.25" customHeight="1">
      <c r="A35" s="180" t="s">
        <v>1228</v>
      </c>
      <c r="B35" s="304">
        <v>34</v>
      </c>
      <c r="C35" s="98">
        <v>27</v>
      </c>
      <c r="D35" s="304">
        <v>32</v>
      </c>
      <c r="E35" s="98">
        <v>27</v>
      </c>
      <c r="F35" s="304">
        <v>34</v>
      </c>
      <c r="G35" s="98">
        <v>28</v>
      </c>
      <c r="H35" s="304">
        <v>33</v>
      </c>
      <c r="I35" s="98">
        <v>27</v>
      </c>
      <c r="J35" s="304">
        <v>33</v>
      </c>
      <c r="K35" s="98">
        <v>27</v>
      </c>
    </row>
    <row r="36" spans="1:11" ht="14.25" customHeight="1">
      <c r="A36" s="180" t="s">
        <v>1229</v>
      </c>
      <c r="B36" s="304">
        <v>33</v>
      </c>
      <c r="C36" s="98">
        <v>26</v>
      </c>
      <c r="D36" s="304">
        <v>33</v>
      </c>
      <c r="E36" s="98">
        <v>26</v>
      </c>
      <c r="F36" s="449" t="s">
        <v>1183</v>
      </c>
      <c r="G36" s="362" t="s">
        <v>1183</v>
      </c>
      <c r="H36" s="449">
        <v>34</v>
      </c>
      <c r="I36" s="362">
        <v>27</v>
      </c>
      <c r="J36" s="449">
        <v>32</v>
      </c>
      <c r="K36" s="362">
        <v>26</v>
      </c>
    </row>
    <row r="37" spans="1:11" ht="14.25" customHeight="1">
      <c r="A37" s="180" t="s">
        <v>1230</v>
      </c>
      <c r="B37" s="304">
        <v>32</v>
      </c>
      <c r="C37" s="98">
        <v>24</v>
      </c>
      <c r="D37" s="304">
        <v>33</v>
      </c>
      <c r="E37" s="98">
        <v>25</v>
      </c>
      <c r="F37" s="304">
        <v>32</v>
      </c>
      <c r="G37" s="98">
        <v>24</v>
      </c>
      <c r="H37" s="304">
        <v>31</v>
      </c>
      <c r="I37" s="98">
        <v>24</v>
      </c>
      <c r="J37" s="304">
        <v>32</v>
      </c>
      <c r="K37" s="98">
        <v>24</v>
      </c>
    </row>
    <row r="38" spans="1:11" ht="14.25" customHeight="1">
      <c r="A38" s="180" t="s">
        <v>1231</v>
      </c>
      <c r="B38" s="304">
        <v>30</v>
      </c>
      <c r="C38" s="98">
        <v>21</v>
      </c>
      <c r="D38" s="304">
        <v>29</v>
      </c>
      <c r="E38" s="98">
        <v>20</v>
      </c>
      <c r="F38" s="304">
        <v>28</v>
      </c>
      <c r="G38" s="98">
        <v>18</v>
      </c>
      <c r="H38" s="304">
        <v>29</v>
      </c>
      <c r="I38" s="98">
        <v>19</v>
      </c>
      <c r="J38" s="304">
        <v>30</v>
      </c>
      <c r="K38" s="98">
        <v>19</v>
      </c>
    </row>
    <row r="39" spans="1:11" ht="14.25" customHeight="1">
      <c r="A39" s="252" t="s">
        <v>1232</v>
      </c>
      <c r="B39" s="29">
        <v>25</v>
      </c>
      <c r="C39" s="94">
        <v>14</v>
      </c>
      <c r="D39" s="127">
        <v>24</v>
      </c>
      <c r="E39" s="94">
        <v>14</v>
      </c>
      <c r="F39" s="29">
        <v>22</v>
      </c>
      <c r="G39" s="94">
        <v>13</v>
      </c>
      <c r="H39" s="127">
        <v>25</v>
      </c>
      <c r="I39" s="94">
        <v>15</v>
      </c>
      <c r="J39" s="127">
        <v>23</v>
      </c>
      <c r="K39" s="94">
        <v>13</v>
      </c>
    </row>
    <row r="40" spans="1:11">
      <c r="F40" s="1"/>
      <c r="G40" s="1"/>
      <c r="K40" s="847" t="s">
        <v>946</v>
      </c>
    </row>
    <row r="41" spans="1:11">
      <c r="J41" s="491"/>
    </row>
  </sheetData>
  <mergeCells count="16">
    <mergeCell ref="A1:K1"/>
    <mergeCell ref="A21:K21"/>
    <mergeCell ref="A22:K22"/>
    <mergeCell ref="B4:C4"/>
    <mergeCell ref="F4:G4"/>
    <mergeCell ref="A2:K2"/>
    <mergeCell ref="H4:I4"/>
    <mergeCell ref="J4:K4"/>
    <mergeCell ref="A4:A5"/>
    <mergeCell ref="D4:E4"/>
    <mergeCell ref="A24:A26"/>
    <mergeCell ref="J24:K24"/>
    <mergeCell ref="B24:C24"/>
    <mergeCell ref="H24:I24"/>
    <mergeCell ref="F24:G24"/>
    <mergeCell ref="D24:E24"/>
  </mergeCells>
  <phoneticPr fontId="0" type="noConversion"/>
  <conditionalFormatting sqref="A1:XFD1048576">
    <cfRule type="cellIs" dxfId="21" priority="1" stopIfTrue="1" operator="equal">
      <formula>".."</formula>
    </cfRule>
  </conditionalFormatting>
  <printOptions horizontalCentered="1"/>
  <pageMargins left="0.1" right="0.1" top="0.39" bottom="0.1" header="0.24" footer="0.1"/>
  <pageSetup paperSize="9" orientation="landscape" blackAndWhite="1" horizontalDpi="4294967295" verticalDpi="144" r:id="rId1"/>
  <headerFooter alignWithMargins="0"/>
</worksheet>
</file>

<file path=xl/worksheets/sheet70.xml><?xml version="1.0" encoding="utf-8"?>
<worksheet xmlns="http://schemas.openxmlformats.org/spreadsheetml/2006/main" xmlns:r="http://schemas.openxmlformats.org/officeDocument/2006/relationships">
  <sheetPr codeName="Sheet48"/>
  <dimension ref="A1:K30"/>
  <sheetViews>
    <sheetView workbookViewId="0">
      <selection activeCell="M5" sqref="M5"/>
    </sheetView>
  </sheetViews>
  <sheetFormatPr defaultRowHeight="12.75"/>
  <cols>
    <col min="1" max="1" width="23.140625" customWidth="1"/>
    <col min="2" max="11" width="10.85546875" customWidth="1"/>
  </cols>
  <sheetData>
    <row r="1" spans="1:11" ht="15" customHeight="1">
      <c r="A1" s="1363" t="s">
        <v>1472</v>
      </c>
      <c r="B1" s="1363"/>
      <c r="C1" s="1363"/>
      <c r="D1" s="1363"/>
      <c r="E1" s="1363"/>
      <c r="F1" s="1363"/>
      <c r="G1" s="1363"/>
      <c r="H1" s="1363"/>
      <c r="I1" s="1363"/>
      <c r="J1" s="1363"/>
      <c r="K1" s="1363"/>
    </row>
    <row r="2" spans="1:11" ht="19.5" customHeight="1">
      <c r="A2" s="1629" t="str">
        <f>CONCATENATE(" Police Stations and Out-posts in different Sub-divisions in the district of ",District!$A$1)</f>
        <v xml:space="preserve"> Police Stations and Out-posts in different Sub-divisions in the district of Malda</v>
      </c>
      <c r="B2" s="1629"/>
      <c r="C2" s="1629"/>
      <c r="D2" s="1629"/>
      <c r="E2" s="1629"/>
      <c r="F2" s="1629"/>
      <c r="G2" s="1629"/>
      <c r="H2" s="1629"/>
      <c r="I2" s="1629"/>
      <c r="J2" s="1629"/>
      <c r="K2" s="1629"/>
    </row>
    <row r="3" spans="1:11" ht="14.25" customHeight="1">
      <c r="E3" s="24"/>
      <c r="K3" s="661" t="s">
        <v>1253</v>
      </c>
    </row>
    <row r="4" spans="1:11" ht="16.5" customHeight="1">
      <c r="A4" s="1346" t="s">
        <v>1619</v>
      </c>
      <c r="B4" s="1389" t="s">
        <v>1239</v>
      </c>
      <c r="C4" s="1630"/>
      <c r="D4" s="1630"/>
      <c r="E4" s="1630"/>
      <c r="F4" s="1630"/>
      <c r="G4" s="1359" t="s">
        <v>642</v>
      </c>
      <c r="H4" s="1548"/>
      <c r="I4" s="1548"/>
      <c r="J4" s="1548"/>
      <c r="K4" s="1360"/>
    </row>
    <row r="5" spans="1:11" ht="16.5" customHeight="1">
      <c r="A5" s="1347"/>
      <c r="B5" s="215">
        <f>District!A9</f>
        <v>2010</v>
      </c>
      <c r="C5" s="215">
        <f>District!B9</f>
        <v>2011</v>
      </c>
      <c r="D5" s="215">
        <f>District!C9</f>
        <v>2012</v>
      </c>
      <c r="E5" s="215">
        <f>District!D9</f>
        <v>2013</v>
      </c>
      <c r="F5" s="215">
        <f>District!E9</f>
        <v>2014</v>
      </c>
      <c r="G5" s="240">
        <f>District!A9</f>
        <v>2010</v>
      </c>
      <c r="H5" s="240">
        <f>District!B9</f>
        <v>2011</v>
      </c>
      <c r="I5" s="240">
        <f>District!C9</f>
        <v>2012</v>
      </c>
      <c r="J5" s="240">
        <f>District!D9</f>
        <v>2013</v>
      </c>
      <c r="K5" s="240">
        <f>District!E9</f>
        <v>2014</v>
      </c>
    </row>
    <row r="6" spans="1:11" ht="16.5" customHeight="1">
      <c r="A6" s="151" t="s">
        <v>1208</v>
      </c>
      <c r="B6" s="218" t="s">
        <v>1209</v>
      </c>
      <c r="C6" s="218" t="s">
        <v>1210</v>
      </c>
      <c r="D6" s="154" t="s">
        <v>1211</v>
      </c>
      <c r="E6" s="151" t="s">
        <v>1212</v>
      </c>
      <c r="F6" s="152" t="s">
        <v>1213</v>
      </c>
      <c r="G6" s="218" t="s">
        <v>1214</v>
      </c>
      <c r="H6" s="218" t="s">
        <v>1244</v>
      </c>
      <c r="I6" s="218" t="s">
        <v>1245</v>
      </c>
      <c r="J6" s="218" t="s">
        <v>1246</v>
      </c>
      <c r="K6" s="151" t="s">
        <v>1247</v>
      </c>
    </row>
    <row r="7" spans="1:11" ht="27.75" customHeight="1">
      <c r="A7" s="180" t="s">
        <v>493</v>
      </c>
      <c r="B7" s="578">
        <v>3</v>
      </c>
      <c r="C7" s="578">
        <v>3</v>
      </c>
      <c r="D7" s="115">
        <v>3</v>
      </c>
      <c r="E7" s="116">
        <v>3</v>
      </c>
      <c r="F7" s="304">
        <v>4</v>
      </c>
      <c r="G7" s="115">
        <v>6</v>
      </c>
      <c r="H7" s="115">
        <v>6</v>
      </c>
      <c r="I7" s="115">
        <v>6</v>
      </c>
      <c r="J7" s="115">
        <v>6</v>
      </c>
      <c r="K7" s="115">
        <v>4</v>
      </c>
    </row>
    <row r="8" spans="1:11" ht="29.25" customHeight="1">
      <c r="A8" s="180" t="s">
        <v>575</v>
      </c>
      <c r="B8" s="127">
        <v>8</v>
      </c>
      <c r="C8" s="127">
        <v>8</v>
      </c>
      <c r="D8" s="117">
        <v>8</v>
      </c>
      <c r="E8" s="117">
        <v>8</v>
      </c>
      <c r="F8" s="304">
        <v>9</v>
      </c>
      <c r="G8" s="117">
        <v>10</v>
      </c>
      <c r="H8" s="117">
        <v>10</v>
      </c>
      <c r="I8" s="117">
        <v>10</v>
      </c>
      <c r="J8" s="117">
        <v>10</v>
      </c>
      <c r="K8" s="117">
        <v>8</v>
      </c>
    </row>
    <row r="9" spans="1:11" ht="20.25" customHeight="1">
      <c r="A9" s="276" t="s">
        <v>1233</v>
      </c>
      <c r="B9" s="212">
        <v>11</v>
      </c>
      <c r="C9" s="212">
        <v>11</v>
      </c>
      <c r="D9" s="212">
        <v>11</v>
      </c>
      <c r="E9" s="212">
        <v>11</v>
      </c>
      <c r="F9" s="212">
        <f>SUM(F7,F8)</f>
        <v>13</v>
      </c>
      <c r="G9" s="212">
        <v>16</v>
      </c>
      <c r="H9" s="276">
        <v>16</v>
      </c>
      <c r="I9" s="276">
        <v>16</v>
      </c>
      <c r="J9" s="276">
        <v>16</v>
      </c>
      <c r="K9" s="276">
        <f>SUM(K7,K8)</f>
        <v>12</v>
      </c>
    </row>
    <row r="10" spans="1:11">
      <c r="A10" s="10"/>
      <c r="B10" s="50"/>
      <c r="C10" s="50"/>
      <c r="D10" s="50"/>
      <c r="E10" s="24"/>
      <c r="F10" s="187"/>
      <c r="I10" s="236"/>
      <c r="K10" s="900" t="str">
        <f>CONCATENATE("Source : Superintendent of Police, ",District!$A$1)</f>
        <v>Source : Superintendent of Police, Malda</v>
      </c>
    </row>
    <row r="12" spans="1:11">
      <c r="A12" s="1363" t="s">
        <v>1473</v>
      </c>
      <c r="B12" s="1363"/>
      <c r="C12" s="1363"/>
      <c r="D12" s="1363"/>
      <c r="E12" s="1363"/>
      <c r="F12" s="1363"/>
      <c r="G12" s="1363"/>
      <c r="H12" s="1363"/>
      <c r="I12" s="1363"/>
      <c r="J12" s="1363"/>
      <c r="K12" s="1363"/>
    </row>
    <row r="13" spans="1:11" ht="16.5">
      <c r="A13" s="1355" t="str">
        <f>CONCATENATE("Strength of Police Force by category in the district of ",District!$A$1)</f>
        <v>Strength of Police Force by category in the district of Malda</v>
      </c>
      <c r="B13" s="1355"/>
      <c r="C13" s="1355"/>
      <c r="D13" s="1355"/>
      <c r="E13" s="1355"/>
      <c r="F13" s="1355"/>
      <c r="G13" s="1355"/>
      <c r="H13" s="1355"/>
      <c r="I13" s="1355"/>
      <c r="J13" s="1355"/>
      <c r="K13" s="1355"/>
    </row>
    <row r="14" spans="1:11">
      <c r="B14" s="526"/>
      <c r="C14" s="526"/>
      <c r="D14" s="526"/>
      <c r="E14" s="526"/>
      <c r="K14" s="442" t="s">
        <v>1253</v>
      </c>
    </row>
    <row r="15" spans="1:11" ht="16.5" customHeight="1">
      <c r="A15" s="261" t="s">
        <v>1114</v>
      </c>
      <c r="B15" s="1445">
        <f>District!A11</f>
        <v>2010</v>
      </c>
      <c r="C15" s="1446"/>
      <c r="D15" s="1445">
        <f>District!C11</f>
        <v>2011</v>
      </c>
      <c r="E15" s="1446"/>
      <c r="F15" s="1445">
        <f>District!E11</f>
        <v>2012</v>
      </c>
      <c r="G15" s="1446"/>
      <c r="H15" s="1445">
        <f>District!G11</f>
        <v>2013</v>
      </c>
      <c r="I15" s="1446"/>
      <c r="J15" s="1445">
        <f>District!I11</f>
        <v>2014</v>
      </c>
      <c r="K15" s="1446"/>
    </row>
    <row r="16" spans="1:11" ht="16.5" customHeight="1">
      <c r="A16" s="151" t="s">
        <v>1208</v>
      </c>
      <c r="B16" s="1353" t="s">
        <v>1209</v>
      </c>
      <c r="C16" s="1354"/>
      <c r="D16" s="1353" t="s">
        <v>1210</v>
      </c>
      <c r="E16" s="1354"/>
      <c r="F16" s="1920" t="s">
        <v>1211</v>
      </c>
      <c r="G16" s="1921"/>
      <c r="H16" s="1920" t="s">
        <v>1212</v>
      </c>
      <c r="I16" s="1921"/>
      <c r="J16" s="1353" t="s">
        <v>1213</v>
      </c>
      <c r="K16" s="1354"/>
    </row>
    <row r="17" spans="1:11" ht="18" customHeight="1">
      <c r="A17" s="180" t="s">
        <v>337</v>
      </c>
      <c r="B17" s="1778">
        <v>1</v>
      </c>
      <c r="C17" s="1666"/>
      <c r="D17" s="1778">
        <v>1</v>
      </c>
      <c r="E17" s="1666"/>
      <c r="F17" s="1778">
        <v>1</v>
      </c>
      <c r="G17" s="1666"/>
      <c r="H17" s="1778">
        <v>1</v>
      </c>
      <c r="I17" s="1666"/>
      <c r="J17" s="1778">
        <v>1</v>
      </c>
      <c r="K17" s="1666"/>
    </row>
    <row r="18" spans="1:11" ht="18" customHeight="1">
      <c r="A18" s="180" t="s">
        <v>1008</v>
      </c>
      <c r="B18" s="1413">
        <v>1</v>
      </c>
      <c r="C18" s="1414"/>
      <c r="D18" s="1413">
        <v>1</v>
      </c>
      <c r="E18" s="1414"/>
      <c r="F18" s="1413">
        <v>1</v>
      </c>
      <c r="G18" s="1414"/>
      <c r="H18" s="1413">
        <v>1</v>
      </c>
      <c r="I18" s="1414"/>
      <c r="J18" s="1413">
        <v>1</v>
      </c>
      <c r="K18" s="1414"/>
    </row>
    <row r="19" spans="1:11" ht="18" customHeight="1">
      <c r="A19" s="181" t="s">
        <v>338</v>
      </c>
      <c r="B19" s="1413">
        <v>3</v>
      </c>
      <c r="C19" s="1414"/>
      <c r="D19" s="1413">
        <v>2</v>
      </c>
      <c r="E19" s="1414"/>
      <c r="F19" s="1413">
        <v>3</v>
      </c>
      <c r="G19" s="1414"/>
      <c r="H19" s="1413">
        <v>3</v>
      </c>
      <c r="I19" s="1414"/>
      <c r="J19" s="1413">
        <v>3</v>
      </c>
      <c r="K19" s="1414"/>
    </row>
    <row r="20" spans="1:11" ht="18" customHeight="1">
      <c r="A20" s="181" t="s">
        <v>339</v>
      </c>
      <c r="B20" s="1413">
        <v>1</v>
      </c>
      <c r="C20" s="1414"/>
      <c r="D20" s="1413">
        <v>1</v>
      </c>
      <c r="E20" s="1414"/>
      <c r="F20" s="1413">
        <v>1</v>
      </c>
      <c r="G20" s="1414"/>
      <c r="H20" s="1413">
        <v>1</v>
      </c>
      <c r="I20" s="1414"/>
      <c r="J20" s="1413">
        <v>1</v>
      </c>
      <c r="K20" s="1414"/>
    </row>
    <row r="21" spans="1:11" ht="18" customHeight="1">
      <c r="A21" s="181" t="s">
        <v>340</v>
      </c>
      <c r="B21" s="1413">
        <v>20</v>
      </c>
      <c r="C21" s="1414"/>
      <c r="D21" s="1413">
        <v>18</v>
      </c>
      <c r="E21" s="1414"/>
      <c r="F21" s="1413">
        <v>15</v>
      </c>
      <c r="G21" s="1414"/>
      <c r="H21" s="1413">
        <v>13</v>
      </c>
      <c r="I21" s="1414"/>
      <c r="J21" s="1413">
        <v>15</v>
      </c>
      <c r="K21" s="1414"/>
    </row>
    <row r="22" spans="1:11" ht="18" customHeight="1">
      <c r="A22" s="181" t="s">
        <v>345</v>
      </c>
      <c r="B22" s="1413">
        <v>91</v>
      </c>
      <c r="C22" s="1414"/>
      <c r="D22" s="1413">
        <v>85</v>
      </c>
      <c r="E22" s="1414"/>
      <c r="F22" s="1413">
        <v>117</v>
      </c>
      <c r="G22" s="1414"/>
      <c r="H22" s="1413">
        <v>81</v>
      </c>
      <c r="I22" s="1414"/>
      <c r="J22" s="1413">
        <v>79</v>
      </c>
      <c r="K22" s="1414"/>
    </row>
    <row r="23" spans="1:11" ht="18" customHeight="1">
      <c r="A23" s="181" t="s">
        <v>346</v>
      </c>
      <c r="B23" s="1413" t="s">
        <v>1509</v>
      </c>
      <c r="C23" s="1414"/>
      <c r="D23" s="1413" t="s">
        <v>1509</v>
      </c>
      <c r="E23" s="1414"/>
      <c r="F23" s="1413" t="s">
        <v>1509</v>
      </c>
      <c r="G23" s="1414"/>
      <c r="H23" s="1413">
        <v>2</v>
      </c>
      <c r="I23" s="1414"/>
      <c r="J23" s="1922" t="s">
        <v>1509</v>
      </c>
      <c r="K23" s="1414"/>
    </row>
    <row r="24" spans="1:11" ht="18" customHeight="1">
      <c r="A24" s="181" t="s">
        <v>347</v>
      </c>
      <c r="B24" s="1413" t="s">
        <v>1509</v>
      </c>
      <c r="C24" s="1414"/>
      <c r="D24" s="1413" t="s">
        <v>1509</v>
      </c>
      <c r="E24" s="1414"/>
      <c r="F24" s="1413" t="s">
        <v>1509</v>
      </c>
      <c r="G24" s="1414"/>
      <c r="H24" s="1923" t="s">
        <v>1509</v>
      </c>
      <c r="I24" s="1924"/>
      <c r="J24" s="1923" t="s">
        <v>1509</v>
      </c>
      <c r="K24" s="1924"/>
    </row>
    <row r="25" spans="1:11" ht="25.5" customHeight="1">
      <c r="A25" s="444" t="s">
        <v>1115</v>
      </c>
      <c r="B25" s="1413">
        <v>173</v>
      </c>
      <c r="C25" s="1414"/>
      <c r="D25" s="1413">
        <v>138</v>
      </c>
      <c r="E25" s="1414"/>
      <c r="F25" s="1413">
        <v>139</v>
      </c>
      <c r="G25" s="1414"/>
      <c r="H25" s="1413">
        <v>151</v>
      </c>
      <c r="I25" s="1414"/>
      <c r="J25" s="1413">
        <v>143</v>
      </c>
      <c r="K25" s="1414"/>
    </row>
    <row r="26" spans="1:11" ht="18" customHeight="1">
      <c r="A26" s="180" t="s">
        <v>348</v>
      </c>
      <c r="B26" s="1413"/>
      <c r="C26" s="1414"/>
      <c r="D26" s="1413"/>
      <c r="E26" s="1414"/>
      <c r="F26" s="1413"/>
      <c r="G26" s="1414"/>
      <c r="H26" s="1413"/>
      <c r="I26" s="1414"/>
      <c r="J26" s="1413"/>
      <c r="K26" s="1414"/>
    </row>
    <row r="27" spans="1:11" ht="18" customHeight="1">
      <c r="A27" s="181" t="s">
        <v>349</v>
      </c>
      <c r="B27" s="1413">
        <v>1</v>
      </c>
      <c r="C27" s="1414"/>
      <c r="D27" s="1413">
        <v>1</v>
      </c>
      <c r="E27" s="1414"/>
      <c r="F27" s="1413">
        <v>1</v>
      </c>
      <c r="G27" s="1414"/>
      <c r="H27" s="1413">
        <v>1</v>
      </c>
      <c r="I27" s="1414"/>
      <c r="J27" s="1922">
        <v>1</v>
      </c>
      <c r="K27" s="1414"/>
    </row>
    <row r="28" spans="1:11" ht="18" customHeight="1">
      <c r="A28" s="357" t="s">
        <v>350</v>
      </c>
      <c r="B28" s="1480">
        <v>648</v>
      </c>
      <c r="C28" s="1647"/>
      <c r="D28" s="1480">
        <v>561</v>
      </c>
      <c r="E28" s="1647"/>
      <c r="F28" s="1480">
        <v>556</v>
      </c>
      <c r="G28" s="1647"/>
      <c r="H28" s="1480">
        <v>637</v>
      </c>
      <c r="I28" s="1647"/>
      <c r="J28" s="1480">
        <v>834</v>
      </c>
      <c r="K28" s="1647"/>
    </row>
    <row r="29" spans="1:11" ht="18.75" customHeight="1">
      <c r="A29" s="317" t="s">
        <v>1233</v>
      </c>
      <c r="B29" s="1344">
        <f>SUM(B17:C28)</f>
        <v>939</v>
      </c>
      <c r="C29" s="1345"/>
      <c r="D29" s="1344">
        <f>SUM(D17:E28)</f>
        <v>808</v>
      </c>
      <c r="E29" s="1345"/>
      <c r="F29" s="1344">
        <f>SUM(F17:G28)</f>
        <v>834</v>
      </c>
      <c r="G29" s="1345"/>
      <c r="H29" s="1344">
        <f>SUM(H17:I28)</f>
        <v>891</v>
      </c>
      <c r="I29" s="1345"/>
      <c r="J29" s="1344">
        <f>SUM(J17:K28)</f>
        <v>1078</v>
      </c>
      <c r="K29" s="1345"/>
    </row>
    <row r="30" spans="1:11">
      <c r="A30" s="2"/>
      <c r="B30" s="2"/>
      <c r="C30" s="2"/>
      <c r="D30" s="2"/>
      <c r="E30" s="2"/>
      <c r="K30" s="900" t="str">
        <f>CONCATENATE("Source : Superintendent of Police, ",District!$A$1)</f>
        <v>Source : Superintendent of Police, Malda</v>
      </c>
    </row>
  </sheetData>
  <mergeCells count="77">
    <mergeCell ref="J17:K17"/>
    <mergeCell ref="J18:K18"/>
    <mergeCell ref="H23:I23"/>
    <mergeCell ref="J24:K24"/>
    <mergeCell ref="J20:K20"/>
    <mergeCell ref="J21:K21"/>
    <mergeCell ref="J22:K22"/>
    <mergeCell ref="J23:K23"/>
    <mergeCell ref="J19:K19"/>
    <mergeCell ref="H24:I24"/>
    <mergeCell ref="J28:K28"/>
    <mergeCell ref="H25:I26"/>
    <mergeCell ref="H28:I28"/>
    <mergeCell ref="J25:K26"/>
    <mergeCell ref="B29:C29"/>
    <mergeCell ref="H29:I29"/>
    <mergeCell ref="J29:K29"/>
    <mergeCell ref="H27:I27"/>
    <mergeCell ref="F29:G29"/>
    <mergeCell ref="D29:E29"/>
    <mergeCell ref="F27:G27"/>
    <mergeCell ref="B27:C27"/>
    <mergeCell ref="F28:G28"/>
    <mergeCell ref="J27:K27"/>
    <mergeCell ref="B16:C16"/>
    <mergeCell ref="F15:G15"/>
    <mergeCell ref="J16:K16"/>
    <mergeCell ref="D15:E15"/>
    <mergeCell ref="H15:I15"/>
    <mergeCell ref="F16:G16"/>
    <mergeCell ref="H17:I17"/>
    <mergeCell ref="H16:I16"/>
    <mergeCell ref="D16:E16"/>
    <mergeCell ref="H22:I22"/>
    <mergeCell ref="H18:I18"/>
    <mergeCell ref="H19:I19"/>
    <mergeCell ref="H20:I20"/>
    <mergeCell ref="H21:I21"/>
    <mergeCell ref="D17:E17"/>
    <mergeCell ref="D18:E18"/>
    <mergeCell ref="B24:C24"/>
    <mergeCell ref="B15:C15"/>
    <mergeCell ref="A12:K12"/>
    <mergeCell ref="A1:K1"/>
    <mergeCell ref="A2:K2"/>
    <mergeCell ref="A4:A5"/>
    <mergeCell ref="B4:F4"/>
    <mergeCell ref="G4:K4"/>
    <mergeCell ref="J15:K15"/>
    <mergeCell ref="A13:K13"/>
    <mergeCell ref="F23:G23"/>
    <mergeCell ref="B17:C17"/>
    <mergeCell ref="B18:C18"/>
    <mergeCell ref="B19:C19"/>
    <mergeCell ref="B20:C20"/>
    <mergeCell ref="B21:C21"/>
    <mergeCell ref="B22:C22"/>
    <mergeCell ref="D25:E26"/>
    <mergeCell ref="F25:G26"/>
    <mergeCell ref="D23:E23"/>
    <mergeCell ref="B23:C23"/>
    <mergeCell ref="D19:E19"/>
    <mergeCell ref="D20:E20"/>
    <mergeCell ref="D21:E21"/>
    <mergeCell ref="F22:G22"/>
    <mergeCell ref="D22:E22"/>
    <mergeCell ref="F21:G21"/>
    <mergeCell ref="D28:E28"/>
    <mergeCell ref="B28:C28"/>
    <mergeCell ref="F17:G17"/>
    <mergeCell ref="F18:G18"/>
    <mergeCell ref="F19:G19"/>
    <mergeCell ref="F20:G20"/>
    <mergeCell ref="F24:G24"/>
    <mergeCell ref="D24:E24"/>
    <mergeCell ref="D27:E27"/>
    <mergeCell ref="B25:C26"/>
  </mergeCells>
  <phoneticPr fontId="0" type="noConversion"/>
  <printOptions horizontalCentered="1"/>
  <pageMargins left="0.1" right="0.11" top="0.5" bottom="0.2" header="0.5" footer="0.16"/>
  <pageSetup paperSize="9" orientation="landscape" blackAndWhite="1" horizontalDpi="4294967295" verticalDpi="300" r:id="rId1"/>
  <headerFooter alignWithMargins="0"/>
  <drawing r:id="rId2"/>
</worksheet>
</file>

<file path=xl/worksheets/sheet71.xml><?xml version="1.0" encoding="utf-8"?>
<worksheet xmlns="http://schemas.openxmlformats.org/spreadsheetml/2006/main" xmlns:r="http://schemas.openxmlformats.org/officeDocument/2006/relationships">
  <sheetPr codeName="Sheet91"/>
  <dimension ref="A1:P24"/>
  <sheetViews>
    <sheetView workbookViewId="0">
      <selection activeCell="M5" sqref="M5"/>
    </sheetView>
  </sheetViews>
  <sheetFormatPr defaultRowHeight="12.75"/>
  <cols>
    <col min="1" max="1" width="13.5703125" customWidth="1"/>
    <col min="2" max="2" width="12.5703125" customWidth="1"/>
    <col min="3" max="3" width="9.7109375" customWidth="1"/>
    <col min="4" max="4" width="8.7109375" customWidth="1"/>
    <col min="5" max="5" width="10.85546875" customWidth="1"/>
    <col min="6" max="6" width="9" customWidth="1"/>
    <col min="7" max="7" width="11.140625" customWidth="1"/>
    <col min="8" max="8" width="9.28515625" customWidth="1"/>
    <col min="9" max="9" width="11" customWidth="1"/>
    <col min="10" max="10" width="9" customWidth="1"/>
    <col min="11" max="11" width="10.85546875" customWidth="1"/>
    <col min="12" max="12" width="9.28515625" customWidth="1"/>
    <col min="13" max="13" width="11.5703125" customWidth="1"/>
  </cols>
  <sheetData>
    <row r="1" spans="1:14" ht="15.75" customHeight="1">
      <c r="A1" s="1363" t="s">
        <v>1474</v>
      </c>
      <c r="B1" s="1363"/>
      <c r="C1" s="1363"/>
      <c r="D1" s="1363"/>
      <c r="E1" s="1363"/>
      <c r="F1" s="1363"/>
      <c r="G1" s="1363"/>
      <c r="H1" s="1363"/>
      <c r="I1" s="1363"/>
      <c r="J1" s="1363"/>
      <c r="K1" s="1363"/>
      <c r="L1" s="1363"/>
      <c r="M1" s="1363"/>
    </row>
    <row r="2" spans="1:14" ht="18.75" customHeight="1">
      <c r="A2" s="1374" t="str">
        <f>CONCATENATE("Population, Receipt &amp; Expenditure of Municipalities in the district of ",District!$A$1)</f>
        <v>Population, Receipt &amp; Expenditure of Municipalities in the district of Malda</v>
      </c>
      <c r="B2" s="1374"/>
      <c r="C2" s="1374"/>
      <c r="D2" s="1374"/>
      <c r="E2" s="1374"/>
      <c r="F2" s="1374"/>
      <c r="G2" s="1374"/>
      <c r="H2" s="1374"/>
      <c r="I2" s="1374"/>
      <c r="J2" s="1374"/>
      <c r="K2" s="1374"/>
      <c r="L2" s="1374"/>
      <c r="M2" s="1374"/>
    </row>
    <row r="3" spans="1:14" ht="15" customHeight="1">
      <c r="B3" s="4"/>
      <c r="C3" s="4"/>
      <c r="D3" s="4"/>
      <c r="E3" s="4"/>
      <c r="F3" s="4"/>
      <c r="G3" s="4"/>
      <c r="H3" s="4"/>
      <c r="I3" s="4"/>
      <c r="J3" s="4"/>
      <c r="K3" s="4"/>
      <c r="L3" s="4"/>
      <c r="M3" s="159" t="s">
        <v>1650</v>
      </c>
    </row>
    <row r="4" spans="1:14" ht="21" customHeight="1">
      <c r="A4" s="1346" t="s">
        <v>374</v>
      </c>
      <c r="B4" s="1346" t="s">
        <v>609</v>
      </c>
      <c r="C4" s="1346" t="s">
        <v>901</v>
      </c>
      <c r="D4" s="1391" t="str">
        <f>District!A12</f>
        <v>2009-10</v>
      </c>
      <c r="E4" s="1392"/>
      <c r="F4" s="1391" t="str">
        <f>District!C12</f>
        <v>2010-11</v>
      </c>
      <c r="G4" s="1392"/>
      <c r="H4" s="1391" t="str">
        <f>District!E12</f>
        <v>2011-12</v>
      </c>
      <c r="I4" s="1392"/>
      <c r="J4" s="1391" t="str">
        <f>District!G12</f>
        <v>2012-13</v>
      </c>
      <c r="K4" s="1392"/>
      <c r="L4" s="1391" t="str">
        <f>District!I12</f>
        <v>2013-14</v>
      </c>
      <c r="M4" s="1392"/>
    </row>
    <row r="5" spans="1:14" ht="21" customHeight="1">
      <c r="A5" s="1347"/>
      <c r="B5" s="1347"/>
      <c r="C5" s="1347"/>
      <c r="D5" s="214" t="s">
        <v>970</v>
      </c>
      <c r="E5" s="262" t="s">
        <v>226</v>
      </c>
      <c r="F5" s="214" t="s">
        <v>970</v>
      </c>
      <c r="G5" s="262" t="s">
        <v>226</v>
      </c>
      <c r="H5" s="214" t="s">
        <v>970</v>
      </c>
      <c r="I5" s="262" t="s">
        <v>226</v>
      </c>
      <c r="J5" s="214" t="s">
        <v>970</v>
      </c>
      <c r="K5" s="262" t="s">
        <v>226</v>
      </c>
      <c r="L5" s="214" t="s">
        <v>970</v>
      </c>
      <c r="M5" s="262" t="s">
        <v>226</v>
      </c>
    </row>
    <row r="6" spans="1:14" ht="21" customHeight="1">
      <c r="A6" s="151" t="s">
        <v>1208</v>
      </c>
      <c r="B6" s="153" t="s">
        <v>1209</v>
      </c>
      <c r="C6" s="153" t="s">
        <v>1210</v>
      </c>
      <c r="D6" s="218" t="s">
        <v>1211</v>
      </c>
      <c r="E6" s="153" t="s">
        <v>1212</v>
      </c>
      <c r="F6" s="218" t="s">
        <v>1213</v>
      </c>
      <c r="G6" s="153" t="s">
        <v>1214</v>
      </c>
      <c r="H6" s="218" t="s">
        <v>1244</v>
      </c>
      <c r="I6" s="153" t="s">
        <v>1245</v>
      </c>
      <c r="J6" s="154" t="s">
        <v>1246</v>
      </c>
      <c r="K6" s="155" t="s">
        <v>1247</v>
      </c>
      <c r="L6" s="154" t="s">
        <v>1271</v>
      </c>
      <c r="M6" s="155" t="s">
        <v>1272</v>
      </c>
    </row>
    <row r="7" spans="1:14" ht="39" customHeight="1">
      <c r="A7" s="251" t="s">
        <v>972</v>
      </c>
      <c r="B7" s="599" t="s">
        <v>973</v>
      </c>
      <c r="C7" s="115">
        <v>205521</v>
      </c>
      <c r="D7" s="612">
        <v>359007</v>
      </c>
      <c r="E7" s="613">
        <v>264729</v>
      </c>
      <c r="F7" s="612">
        <v>313065</v>
      </c>
      <c r="G7" s="613">
        <v>279259</v>
      </c>
      <c r="H7" s="612">
        <v>390659</v>
      </c>
      <c r="I7" s="613">
        <v>303728</v>
      </c>
      <c r="J7" s="612">
        <v>558327</v>
      </c>
      <c r="K7" s="613">
        <v>502801</v>
      </c>
      <c r="L7" s="612">
        <v>429456</v>
      </c>
      <c r="M7" s="613">
        <v>421053</v>
      </c>
      <c r="N7" s="175"/>
    </row>
    <row r="8" spans="1:14" ht="39" customHeight="1">
      <c r="A8" s="252" t="s">
        <v>578</v>
      </c>
      <c r="B8" s="583" t="s">
        <v>973</v>
      </c>
      <c r="C8" s="117">
        <v>84012</v>
      </c>
      <c r="D8" s="614">
        <v>285604</v>
      </c>
      <c r="E8" s="615">
        <v>229710</v>
      </c>
      <c r="F8" s="614">
        <v>179569</v>
      </c>
      <c r="G8" s="615">
        <v>162431</v>
      </c>
      <c r="H8" s="614">
        <v>112242</v>
      </c>
      <c r="I8" s="615">
        <v>106572</v>
      </c>
      <c r="J8" s="614">
        <v>123406</v>
      </c>
      <c r="K8" s="615">
        <v>85818</v>
      </c>
      <c r="L8" s="614">
        <v>153755</v>
      </c>
      <c r="M8" s="615">
        <v>181443</v>
      </c>
    </row>
    <row r="9" spans="1:14" ht="12" customHeight="1">
      <c r="A9" s="7"/>
      <c r="B9" s="7"/>
      <c r="C9" s="7"/>
      <c r="D9" s="7"/>
      <c r="E9" s="7"/>
      <c r="F9" s="7"/>
      <c r="G9" s="7"/>
      <c r="H9" s="7"/>
      <c r="J9" s="148"/>
      <c r="M9" s="924" t="s">
        <v>1080</v>
      </c>
    </row>
    <row r="10" spans="1:14" ht="12" customHeight="1">
      <c r="A10" s="7"/>
      <c r="B10" s="7"/>
      <c r="C10" s="7"/>
      <c r="D10" s="7"/>
      <c r="E10" s="7"/>
      <c r="F10" s="7"/>
      <c r="G10" s="7"/>
      <c r="H10" s="7"/>
      <c r="I10" s="250" t="s">
        <v>933</v>
      </c>
      <c r="J10" s="250"/>
      <c r="K10" s="250"/>
      <c r="L10" s="250"/>
      <c r="M10" s="250"/>
    </row>
    <row r="11" spans="1:14" ht="12" customHeight="1">
      <c r="A11" s="7"/>
      <c r="B11" s="7"/>
      <c r="C11" s="7"/>
      <c r="D11" s="7"/>
      <c r="E11" s="7"/>
      <c r="F11" s="7"/>
      <c r="G11" s="7"/>
      <c r="H11" s="7"/>
      <c r="I11" s="250"/>
      <c r="J11" s="250"/>
      <c r="K11" s="250"/>
      <c r="L11" s="250"/>
      <c r="M11" s="250"/>
    </row>
    <row r="12" spans="1:14" ht="12" customHeight="1">
      <c r="A12" s="7"/>
      <c r="B12" s="7"/>
      <c r="C12" s="7"/>
      <c r="D12" s="7"/>
      <c r="E12" s="7"/>
      <c r="F12" s="7"/>
      <c r="G12" s="7"/>
      <c r="H12" s="7"/>
      <c r="I12" s="250"/>
      <c r="J12" s="250"/>
      <c r="K12" s="250"/>
      <c r="L12" s="250"/>
      <c r="M12" s="250"/>
    </row>
    <row r="13" spans="1:14" ht="12" customHeight="1">
      <c r="A13" s="7"/>
      <c r="B13" s="7"/>
      <c r="C13" s="7"/>
      <c r="D13" s="7"/>
      <c r="E13" s="7"/>
      <c r="F13" s="7"/>
      <c r="G13" s="7"/>
      <c r="H13" s="7"/>
      <c r="I13" s="250"/>
      <c r="J13" s="250"/>
      <c r="K13" s="250"/>
      <c r="L13" s="250"/>
      <c r="M13" s="250"/>
    </row>
    <row r="14" spans="1:14" ht="12" customHeight="1">
      <c r="A14" s="7"/>
      <c r="B14" s="7"/>
      <c r="C14" s="7"/>
      <c r="D14" s="7"/>
      <c r="E14" s="7"/>
      <c r="F14" s="7"/>
      <c r="G14" s="7"/>
      <c r="H14" s="7"/>
      <c r="I14" s="250"/>
      <c r="J14" s="250"/>
      <c r="K14" s="250"/>
      <c r="L14" s="250"/>
      <c r="M14" s="250"/>
    </row>
    <row r="15" spans="1:14" ht="17.25" customHeight="1">
      <c r="A15" s="1444" t="s">
        <v>1475</v>
      </c>
      <c r="B15" s="1444"/>
      <c r="C15" s="1444"/>
      <c r="D15" s="1444"/>
      <c r="E15" s="1444"/>
      <c r="F15" s="1444"/>
      <c r="G15" s="1444"/>
      <c r="H15" s="1444"/>
      <c r="I15" s="1444"/>
      <c r="J15" s="1444"/>
      <c r="K15" s="1444"/>
      <c r="L15" s="1444"/>
      <c r="M15" s="1444"/>
    </row>
    <row r="16" spans="1:14" ht="19.5" customHeight="1">
      <c r="A16" s="1374" t="str">
        <f>CONCATENATE("Receipt &amp; Expenditure of ",District!$A$1," Zilla Parishad")</f>
        <v>Receipt &amp; Expenditure of Malda Zilla Parishad</v>
      </c>
      <c r="B16" s="1374"/>
      <c r="C16" s="1374"/>
      <c r="D16" s="1374"/>
      <c r="E16" s="1374"/>
      <c r="F16" s="1374"/>
      <c r="G16" s="1374"/>
      <c r="H16" s="1374"/>
      <c r="I16" s="1374"/>
      <c r="J16" s="1374"/>
      <c r="K16" s="1374"/>
      <c r="L16" s="1374"/>
      <c r="M16" s="1374"/>
    </row>
    <row r="17" spans="1:16" ht="14.25" customHeight="1">
      <c r="B17" s="4"/>
      <c r="C17" s="4"/>
      <c r="D17" s="4"/>
      <c r="E17" s="4"/>
      <c r="F17" s="4"/>
      <c r="G17" s="4"/>
      <c r="H17" s="4"/>
      <c r="I17" s="4"/>
      <c r="J17" s="4"/>
      <c r="K17" s="4"/>
      <c r="M17" s="170" t="s">
        <v>1650</v>
      </c>
    </row>
    <row r="18" spans="1:16" ht="21" customHeight="1">
      <c r="A18" s="1346" t="s">
        <v>608</v>
      </c>
      <c r="B18" s="1433" t="s">
        <v>1570</v>
      </c>
      <c r="C18" s="1434"/>
      <c r="D18" s="1391" t="str">
        <f>District!A12</f>
        <v>2009-10</v>
      </c>
      <c r="E18" s="1392"/>
      <c r="F18" s="1391" t="str">
        <f>District!C12</f>
        <v>2010-11</v>
      </c>
      <c r="G18" s="1392"/>
      <c r="H18" s="1391" t="str">
        <f>District!E12</f>
        <v>2011-12</v>
      </c>
      <c r="I18" s="1392"/>
      <c r="J18" s="1391" t="str">
        <f>District!G12</f>
        <v>2012-13</v>
      </c>
      <c r="K18" s="1392"/>
      <c r="L18" s="1391" t="str">
        <f>District!I12</f>
        <v>2013-14</v>
      </c>
      <c r="M18" s="1392"/>
    </row>
    <row r="19" spans="1:16" ht="21" customHeight="1">
      <c r="A19" s="1347"/>
      <c r="B19" s="1407"/>
      <c r="C19" s="1460"/>
      <c r="D19" s="214" t="s">
        <v>970</v>
      </c>
      <c r="E19" s="216" t="s">
        <v>226</v>
      </c>
      <c r="F19" s="214" t="s">
        <v>970</v>
      </c>
      <c r="G19" s="298" t="s">
        <v>226</v>
      </c>
      <c r="H19" s="214" t="s">
        <v>970</v>
      </c>
      <c r="I19" s="298" t="s">
        <v>226</v>
      </c>
      <c r="J19" s="214" t="s">
        <v>970</v>
      </c>
      <c r="K19" s="216" t="s">
        <v>226</v>
      </c>
      <c r="L19" s="214" t="s">
        <v>970</v>
      </c>
      <c r="M19" s="216" t="s">
        <v>226</v>
      </c>
    </row>
    <row r="20" spans="1:16" ht="21" customHeight="1">
      <c r="A20" s="151" t="s">
        <v>1208</v>
      </c>
      <c r="B20" s="1353" t="s">
        <v>1209</v>
      </c>
      <c r="C20" s="1425"/>
      <c r="D20" s="246" t="s">
        <v>1210</v>
      </c>
      <c r="E20" s="100" t="s">
        <v>1211</v>
      </c>
      <c r="F20" s="152" t="s">
        <v>1212</v>
      </c>
      <c r="G20" s="153" t="s">
        <v>1213</v>
      </c>
      <c r="H20" s="152" t="s">
        <v>1214</v>
      </c>
      <c r="I20" s="153" t="s">
        <v>1244</v>
      </c>
      <c r="J20" s="152" t="s">
        <v>1245</v>
      </c>
      <c r="K20" s="152" t="s">
        <v>1246</v>
      </c>
      <c r="L20" s="218" t="s">
        <v>1247</v>
      </c>
      <c r="M20" s="155" t="s">
        <v>1271</v>
      </c>
    </row>
    <row r="21" spans="1:16" ht="63" customHeight="1">
      <c r="A21" s="670" t="s">
        <v>630</v>
      </c>
      <c r="B21" s="1741" t="s">
        <v>1486</v>
      </c>
      <c r="C21" s="1667"/>
      <c r="D21" s="127">
        <v>1749496</v>
      </c>
      <c r="E21" s="94">
        <v>1740364</v>
      </c>
      <c r="F21" s="45">
        <v>2478533</v>
      </c>
      <c r="G21" s="44">
        <v>2113750</v>
      </c>
      <c r="H21" s="127">
        <v>1697488</v>
      </c>
      <c r="I21" s="94">
        <v>1916859</v>
      </c>
      <c r="J21" s="45">
        <v>3008709</v>
      </c>
      <c r="K21" s="44">
        <v>2446383</v>
      </c>
      <c r="L21" s="45">
        <v>2092005</v>
      </c>
      <c r="M21" s="44">
        <v>2057264</v>
      </c>
    </row>
    <row r="22" spans="1:16">
      <c r="M22" s="924" t="str">
        <f>CONCATENATE("Source : Zilla Parishad, ",District!$A$1)</f>
        <v>Source : Zilla Parishad, Malda</v>
      </c>
    </row>
    <row r="24" spans="1:16">
      <c r="D24" s="509"/>
      <c r="E24" s="80"/>
      <c r="F24" s="80"/>
      <c r="G24" s="80"/>
      <c r="H24" s="80"/>
      <c r="I24" s="80"/>
      <c r="J24" s="80"/>
      <c r="K24" s="80"/>
      <c r="L24" s="80"/>
      <c r="M24" s="80"/>
      <c r="N24" s="41"/>
      <c r="O24" s="41"/>
      <c r="P24" s="41"/>
    </row>
  </sheetData>
  <mergeCells count="21">
    <mergeCell ref="F18:G18"/>
    <mergeCell ref="H4:I4"/>
    <mergeCell ref="B21:C21"/>
    <mergeCell ref="A16:M16"/>
    <mergeCell ref="A18:A19"/>
    <mergeCell ref="B18:C19"/>
    <mergeCell ref="J18:K18"/>
    <mergeCell ref="A15:M15"/>
    <mergeCell ref="B20:C20"/>
    <mergeCell ref="H18:I18"/>
    <mergeCell ref="L18:M18"/>
    <mergeCell ref="J4:K4"/>
    <mergeCell ref="D18:E18"/>
    <mergeCell ref="A1:M1"/>
    <mergeCell ref="A2:M2"/>
    <mergeCell ref="B4:B5"/>
    <mergeCell ref="C4:C5"/>
    <mergeCell ref="D4:E4"/>
    <mergeCell ref="F4:G4"/>
    <mergeCell ref="A4:A5"/>
    <mergeCell ref="L4:M4"/>
  </mergeCells>
  <phoneticPr fontId="0" type="noConversion"/>
  <printOptions horizontalCentered="1"/>
  <pageMargins left="0.1" right="0.1" top="0.75" bottom="0.1" header="0.51" footer="0.1"/>
  <pageSetup paperSize="9" orientation="landscape" blackAndWhite="1" horizontalDpi="4294967295" r:id="rId1"/>
  <headerFooter alignWithMargins="0"/>
</worksheet>
</file>

<file path=xl/worksheets/sheet72.xml><?xml version="1.0" encoding="utf-8"?>
<worksheet xmlns="http://schemas.openxmlformats.org/spreadsheetml/2006/main" xmlns:r="http://schemas.openxmlformats.org/officeDocument/2006/relationships">
  <sheetPr codeName="Sheet49"/>
  <dimension ref="A1:L14"/>
  <sheetViews>
    <sheetView workbookViewId="0">
      <selection activeCell="M5" sqref="M5"/>
    </sheetView>
  </sheetViews>
  <sheetFormatPr defaultRowHeight="12.75"/>
  <cols>
    <col min="1" max="1" width="13.140625" customWidth="1"/>
    <col min="2" max="2" width="11.7109375" customWidth="1"/>
    <col min="3" max="3" width="16.28515625" customWidth="1"/>
    <col min="4" max="5" width="10.5703125" customWidth="1"/>
    <col min="6" max="6" width="10.7109375" customWidth="1"/>
    <col min="7" max="7" width="11.140625" customWidth="1"/>
    <col min="8" max="8" width="10.7109375" customWidth="1"/>
    <col min="9" max="9" width="11.7109375" customWidth="1"/>
    <col min="10" max="10" width="10.7109375" customWidth="1"/>
    <col min="11" max="11" width="9.42578125" customWidth="1"/>
    <col min="12" max="12" width="10.7109375" customWidth="1"/>
  </cols>
  <sheetData>
    <row r="1" spans="1:12" ht="15.75" customHeight="1">
      <c r="A1" s="1363" t="s">
        <v>1476</v>
      </c>
      <c r="B1" s="1363"/>
      <c r="C1" s="1363"/>
      <c r="D1" s="1363"/>
      <c r="E1" s="1363"/>
      <c r="F1" s="1363"/>
      <c r="G1" s="1363"/>
      <c r="H1" s="1363"/>
      <c r="I1" s="1363"/>
      <c r="J1" s="1363"/>
      <c r="K1" s="1363"/>
      <c r="L1" s="1363"/>
    </row>
    <row r="2" spans="1:12" ht="16.5" customHeight="1">
      <c r="A2" s="1534" t="str">
        <f>CONCATENATE("Revenue collected from different sources in the district of ",District!$A$1)</f>
        <v>Revenue collected from different sources in the district of Malda</v>
      </c>
      <c r="B2" s="1534"/>
      <c r="C2" s="1534"/>
      <c r="D2" s="1534"/>
      <c r="E2" s="1534"/>
      <c r="F2" s="1534"/>
      <c r="G2" s="1534"/>
      <c r="H2" s="1534"/>
      <c r="I2" s="1534"/>
      <c r="J2" s="1534"/>
      <c r="K2" s="1534"/>
      <c r="L2" s="1534"/>
    </row>
    <row r="3" spans="1:12" ht="15.75" customHeight="1">
      <c r="B3" s="4"/>
      <c r="C3" s="4"/>
      <c r="D3" s="4"/>
      <c r="E3" s="4"/>
      <c r="F3" s="4"/>
      <c r="G3" s="4"/>
      <c r="H3" s="4"/>
      <c r="I3" s="4"/>
      <c r="J3" s="4"/>
      <c r="L3" s="159" t="s">
        <v>1650</v>
      </c>
    </row>
    <row r="4" spans="1:12" ht="39.75" customHeight="1">
      <c r="A4" s="258" t="s">
        <v>1089</v>
      </c>
      <c r="B4" s="772" t="s">
        <v>610</v>
      </c>
      <c r="C4" s="652" t="s">
        <v>1572</v>
      </c>
      <c r="D4" s="258" t="s">
        <v>611</v>
      </c>
      <c r="E4" s="772" t="s">
        <v>1571</v>
      </c>
      <c r="F4" s="258" t="s">
        <v>612</v>
      </c>
      <c r="G4" s="772" t="s">
        <v>726</v>
      </c>
      <c r="H4" s="258" t="s">
        <v>613</v>
      </c>
      <c r="I4" s="772" t="s">
        <v>1116</v>
      </c>
      <c r="J4" s="258" t="s">
        <v>727</v>
      </c>
      <c r="K4" s="773" t="s">
        <v>618</v>
      </c>
      <c r="L4" s="773" t="s">
        <v>1233</v>
      </c>
    </row>
    <row r="5" spans="1:12" ht="23.25" customHeight="1">
      <c r="A5" s="151" t="s">
        <v>1208</v>
      </c>
      <c r="B5" s="237" t="s">
        <v>1209</v>
      </c>
      <c r="C5" s="580" t="s">
        <v>1210</v>
      </c>
      <c r="D5" s="272" t="s">
        <v>1211</v>
      </c>
      <c r="E5" s="237" t="s">
        <v>1212</v>
      </c>
      <c r="F5" s="272" t="s">
        <v>1213</v>
      </c>
      <c r="G5" s="237" t="s">
        <v>1214</v>
      </c>
      <c r="H5" s="272" t="s">
        <v>1244</v>
      </c>
      <c r="I5" s="237" t="s">
        <v>1245</v>
      </c>
      <c r="J5" s="272" t="s">
        <v>1246</v>
      </c>
      <c r="K5" s="238" t="s">
        <v>1247</v>
      </c>
      <c r="L5" s="238" t="s">
        <v>1271</v>
      </c>
    </row>
    <row r="6" spans="1:12" ht="40.5" customHeight="1">
      <c r="A6" s="181" t="s">
        <v>1577</v>
      </c>
      <c r="B6" s="80">
        <v>18249</v>
      </c>
      <c r="C6" s="113">
        <v>335298</v>
      </c>
      <c r="D6" s="112">
        <v>276107</v>
      </c>
      <c r="E6" s="80">
        <v>274537</v>
      </c>
      <c r="F6" s="112">
        <v>136761</v>
      </c>
      <c r="G6" s="80">
        <v>4452</v>
      </c>
      <c r="H6" s="112">
        <v>12575</v>
      </c>
      <c r="I6" s="410" t="s">
        <v>1183</v>
      </c>
      <c r="J6" s="116">
        <v>27780</v>
      </c>
      <c r="K6" s="98">
        <v>4493</v>
      </c>
      <c r="L6" s="98">
        <f>SUM(B6:K6)</f>
        <v>1090252</v>
      </c>
    </row>
    <row r="7" spans="1:12" ht="40.5" customHeight="1">
      <c r="A7" s="181" t="s">
        <v>1576</v>
      </c>
      <c r="B7" s="80">
        <v>21032</v>
      </c>
      <c r="C7" s="113">
        <v>412047</v>
      </c>
      <c r="D7" s="112">
        <v>291121</v>
      </c>
      <c r="E7" s="80">
        <v>244543</v>
      </c>
      <c r="F7" s="112">
        <v>179302</v>
      </c>
      <c r="G7" s="80">
        <v>3648</v>
      </c>
      <c r="H7" s="112">
        <v>956</v>
      </c>
      <c r="I7" s="410" t="s">
        <v>1183</v>
      </c>
      <c r="J7" s="116">
        <v>28945</v>
      </c>
      <c r="K7" s="116">
        <v>22993</v>
      </c>
      <c r="L7" s="98">
        <f>SUM(B7:K7)</f>
        <v>1204587</v>
      </c>
    </row>
    <row r="8" spans="1:12" ht="40.5" customHeight="1">
      <c r="A8" s="181" t="s">
        <v>267</v>
      </c>
      <c r="B8" s="405">
        <v>28642</v>
      </c>
      <c r="C8" s="289">
        <v>506518</v>
      </c>
      <c r="D8" s="405">
        <v>71166</v>
      </c>
      <c r="E8" s="405">
        <v>215384</v>
      </c>
      <c r="F8" s="112">
        <v>211382</v>
      </c>
      <c r="G8" s="112">
        <v>5148</v>
      </c>
      <c r="H8" s="405">
        <v>287</v>
      </c>
      <c r="I8" s="405" t="s">
        <v>1183</v>
      </c>
      <c r="J8" s="132">
        <v>32961</v>
      </c>
      <c r="K8" s="132">
        <v>37080</v>
      </c>
      <c r="L8" s="98">
        <f>SUM(B8:K8)</f>
        <v>1108568</v>
      </c>
    </row>
    <row r="9" spans="1:12" ht="40.5" customHeight="1">
      <c r="A9" s="181" t="s">
        <v>1094</v>
      </c>
      <c r="B9" s="410">
        <v>28192</v>
      </c>
      <c r="C9" s="289">
        <v>710626</v>
      </c>
      <c r="D9" s="405">
        <v>11771</v>
      </c>
      <c r="E9" s="410">
        <v>274751</v>
      </c>
      <c r="F9" s="112">
        <v>295337</v>
      </c>
      <c r="G9" s="80">
        <v>4829</v>
      </c>
      <c r="H9" s="405">
        <v>529</v>
      </c>
      <c r="I9" s="410" t="s">
        <v>1183</v>
      </c>
      <c r="J9" s="132">
        <v>30111</v>
      </c>
      <c r="K9" s="362">
        <v>37214</v>
      </c>
      <c r="L9" s="98">
        <f>SUM(B9:K9)</f>
        <v>1393360</v>
      </c>
    </row>
    <row r="10" spans="1:12" ht="40.5" customHeight="1">
      <c r="A10" s="357" t="s">
        <v>1595</v>
      </c>
      <c r="B10" s="461">
        <v>28095</v>
      </c>
      <c r="C10" s="461">
        <v>731384</v>
      </c>
      <c r="D10" s="461">
        <v>119907</v>
      </c>
      <c r="E10" s="461">
        <v>348427</v>
      </c>
      <c r="F10" s="120">
        <v>351887</v>
      </c>
      <c r="G10" s="120">
        <v>2953</v>
      </c>
      <c r="H10" s="461">
        <v>2136</v>
      </c>
      <c r="I10" s="461" t="s">
        <v>1183</v>
      </c>
      <c r="J10" s="142">
        <v>34377</v>
      </c>
      <c r="K10" s="142">
        <v>31646</v>
      </c>
      <c r="L10" s="117">
        <f>SUM(B10:K10)</f>
        <v>1650812</v>
      </c>
    </row>
    <row r="11" spans="1:12">
      <c r="I11" s="900" t="s">
        <v>947</v>
      </c>
      <c r="J11" s="980" t="s">
        <v>332</v>
      </c>
      <c r="K11" s="257"/>
      <c r="L11" s="846"/>
    </row>
    <row r="12" spans="1:12">
      <c r="I12" s="924" t="s">
        <v>948</v>
      </c>
      <c r="J12" s="257" t="s">
        <v>331</v>
      </c>
      <c r="K12" s="257"/>
      <c r="L12" s="25"/>
    </row>
    <row r="13" spans="1:12" ht="23.25" customHeight="1">
      <c r="I13" s="981" t="s">
        <v>955</v>
      </c>
      <c r="J13" s="1877" t="s">
        <v>333</v>
      </c>
      <c r="K13" s="1877"/>
      <c r="L13" s="1539"/>
    </row>
    <row r="14" spans="1:12">
      <c r="I14" s="924" t="s">
        <v>951</v>
      </c>
      <c r="J14" s="257" t="s">
        <v>330</v>
      </c>
      <c r="K14" s="257"/>
      <c r="L14" s="25"/>
    </row>
  </sheetData>
  <mergeCells count="3">
    <mergeCell ref="A2:L2"/>
    <mergeCell ref="A1:L1"/>
    <mergeCell ref="J13:L13"/>
  </mergeCells>
  <phoneticPr fontId="0" type="noConversion"/>
  <conditionalFormatting sqref="A1:XFD1048576">
    <cfRule type="cellIs" dxfId="2" priority="1" stopIfTrue="1" operator="equal">
      <formula>".."</formula>
    </cfRule>
  </conditionalFormatting>
  <printOptions horizontalCentered="1"/>
  <pageMargins left="0.1" right="0.1" top="0.85" bottom="0.1" header="0.16" footer="0.16"/>
  <pageSetup paperSize="9" orientation="landscape" blackAndWhite="1" horizontalDpi="4294967295" r:id="rId1"/>
  <headerFooter alignWithMargins="0"/>
</worksheet>
</file>

<file path=xl/worksheets/sheet73.xml><?xml version="1.0" encoding="utf-8"?>
<worksheet xmlns="http://schemas.openxmlformats.org/spreadsheetml/2006/main" xmlns:r="http://schemas.openxmlformats.org/officeDocument/2006/relationships">
  <sheetPr codeName="Sheet41"/>
  <dimension ref="A1:E60"/>
  <sheetViews>
    <sheetView workbookViewId="0">
      <selection activeCell="M5" sqref="M5"/>
    </sheetView>
  </sheetViews>
  <sheetFormatPr defaultRowHeight="12.4" customHeight="1"/>
  <cols>
    <col min="1" max="1" width="39.85546875" customWidth="1"/>
    <col min="2" max="2" width="39.7109375" customWidth="1"/>
  </cols>
  <sheetData>
    <row r="1" spans="1:3" ht="15.75" customHeight="1">
      <c r="A1" s="1444" t="s">
        <v>1477</v>
      </c>
      <c r="B1" s="1444"/>
    </row>
    <row r="2" spans="1:3" ht="18.75" customHeight="1">
      <c r="A2" s="1638" t="str">
        <f>CONCATENATE("Net Collection from Small Savings in the district of ",District!$A$1)</f>
        <v>Net Collection from Small Savings in the district of Malda</v>
      </c>
      <c r="B2" s="1638"/>
      <c r="C2" s="28"/>
    </row>
    <row r="3" spans="1:3" ht="13.5" customHeight="1">
      <c r="A3" s="4"/>
      <c r="B3" s="662" t="s">
        <v>1650</v>
      </c>
    </row>
    <row r="4" spans="1:3" ht="22.5" customHeight="1">
      <c r="A4" s="653" t="s">
        <v>1089</v>
      </c>
      <c r="B4" s="298" t="s">
        <v>1240</v>
      </c>
    </row>
    <row r="5" spans="1:3" ht="20.25" customHeight="1">
      <c r="A5" s="151" t="s">
        <v>1208</v>
      </c>
      <c r="B5" s="153" t="s">
        <v>1209</v>
      </c>
    </row>
    <row r="6" spans="1:3" ht="22.5" customHeight="1">
      <c r="A6" s="282" t="s">
        <v>1577</v>
      </c>
      <c r="B6" s="450">
        <v>6915</v>
      </c>
    </row>
    <row r="7" spans="1:3" ht="22.5" customHeight="1">
      <c r="A7" s="282" t="s">
        <v>1576</v>
      </c>
      <c r="B7" s="673">
        <v>7960</v>
      </c>
    </row>
    <row r="8" spans="1:3" ht="22.5" customHeight="1">
      <c r="A8" s="282" t="s">
        <v>267</v>
      </c>
      <c r="B8" s="673">
        <v>-216538</v>
      </c>
    </row>
    <row r="9" spans="1:3" ht="22.5" customHeight="1">
      <c r="A9" s="282" t="s">
        <v>1094</v>
      </c>
      <c r="B9" s="673">
        <v>-148848</v>
      </c>
    </row>
    <row r="10" spans="1:3" ht="22.5" customHeight="1">
      <c r="A10" s="492" t="s">
        <v>1595</v>
      </c>
      <c r="B10" s="674">
        <f>SUM(B12,B19)</f>
        <v>194933</v>
      </c>
    </row>
    <row r="11" spans="1:3" ht="33" customHeight="1">
      <c r="A11" s="566" t="s">
        <v>446</v>
      </c>
      <c r="B11" s="458" t="str">
        <f>"Year : " &amp; A10</f>
        <v>Year : 2013-14</v>
      </c>
    </row>
    <row r="12" spans="1:3" ht="24" customHeight="1">
      <c r="A12" s="443" t="s">
        <v>1155</v>
      </c>
      <c r="B12" s="1137">
        <f>SUM(B13:B18)</f>
        <v>42815</v>
      </c>
    </row>
    <row r="13" spans="1:3" ht="24" customHeight="1">
      <c r="A13" s="444" t="s">
        <v>458</v>
      </c>
      <c r="B13" s="1925">
        <v>13270</v>
      </c>
    </row>
    <row r="14" spans="1:3" ht="24" customHeight="1">
      <c r="A14" s="444" t="s">
        <v>495</v>
      </c>
      <c r="B14" s="1925"/>
    </row>
    <row r="15" spans="1:3" ht="24" customHeight="1">
      <c r="A15" s="180" t="s">
        <v>531</v>
      </c>
      <c r="B15" s="1925">
        <v>19000</v>
      </c>
    </row>
    <row r="16" spans="1:3" ht="24" customHeight="1">
      <c r="A16" s="180" t="s">
        <v>532</v>
      </c>
      <c r="B16" s="1925"/>
    </row>
    <row r="17" spans="1:2" ht="24" customHeight="1">
      <c r="A17" s="180" t="s">
        <v>533</v>
      </c>
      <c r="B17" s="105">
        <v>6345</v>
      </c>
    </row>
    <row r="18" spans="1:2" ht="24" customHeight="1">
      <c r="A18" s="180" t="s">
        <v>573</v>
      </c>
      <c r="B18" s="105">
        <v>4200</v>
      </c>
    </row>
    <row r="19" spans="1:2" ht="24" customHeight="1">
      <c r="A19" s="372" t="s">
        <v>1154</v>
      </c>
      <c r="B19" s="1137">
        <f>SUM(B20:B30)</f>
        <v>152118</v>
      </c>
    </row>
    <row r="20" spans="1:2" ht="24" customHeight="1">
      <c r="A20" s="180" t="s">
        <v>576</v>
      </c>
      <c r="B20" s="105">
        <v>-11556</v>
      </c>
    </row>
    <row r="21" spans="1:2" ht="24" customHeight="1">
      <c r="A21" s="180" t="s">
        <v>1510</v>
      </c>
      <c r="B21" s="105">
        <v>1023</v>
      </c>
    </row>
    <row r="22" spans="1:2" ht="24" customHeight="1">
      <c r="A22" s="180" t="s">
        <v>577</v>
      </c>
      <c r="B22" s="105">
        <v>2200</v>
      </c>
    </row>
    <row r="23" spans="1:2" ht="24" customHeight="1">
      <c r="A23" s="180" t="s">
        <v>578</v>
      </c>
      <c r="B23" s="105">
        <v>-244</v>
      </c>
    </row>
    <row r="24" spans="1:2" ht="24" customHeight="1">
      <c r="A24" s="180" t="s">
        <v>490</v>
      </c>
      <c r="B24" s="105">
        <v>-9656</v>
      </c>
    </row>
    <row r="25" spans="1:2" ht="24" customHeight="1">
      <c r="A25" s="180" t="s">
        <v>580</v>
      </c>
      <c r="B25" s="105">
        <v>5288</v>
      </c>
    </row>
    <row r="26" spans="1:2" ht="24" customHeight="1">
      <c r="A26" s="180" t="s">
        <v>585</v>
      </c>
      <c r="B26" s="105">
        <v>7500</v>
      </c>
    </row>
    <row r="27" spans="1:2" ht="24" customHeight="1">
      <c r="A27" s="180" t="s">
        <v>586</v>
      </c>
      <c r="B27" s="105">
        <v>6200</v>
      </c>
    </row>
    <row r="28" spans="1:2" ht="24" customHeight="1">
      <c r="A28" s="180" t="s">
        <v>587</v>
      </c>
      <c r="B28" s="105">
        <v>13700</v>
      </c>
    </row>
    <row r="29" spans="1:2" ht="24" customHeight="1">
      <c r="A29" s="180" t="s">
        <v>1511</v>
      </c>
      <c r="B29" s="105">
        <v>16347</v>
      </c>
    </row>
    <row r="30" spans="1:2" ht="24" customHeight="1">
      <c r="A30" s="252" t="s">
        <v>579</v>
      </c>
      <c r="B30" s="1138">
        <v>121316</v>
      </c>
    </row>
    <row r="31" spans="1:2" ht="12.4" customHeight="1">
      <c r="A31" s="979" t="s">
        <v>947</v>
      </c>
      <c r="B31" s="951" t="s">
        <v>1117</v>
      </c>
    </row>
    <row r="32" spans="1:2" ht="12.75" customHeight="1">
      <c r="A32" s="924" t="s">
        <v>948</v>
      </c>
      <c r="B32" s="1125" t="s">
        <v>1118</v>
      </c>
    </row>
    <row r="33" spans="2:5" ht="12.4" customHeight="1">
      <c r="B33" s="2"/>
    </row>
    <row r="34" spans="2:5" ht="12.4" customHeight="1">
      <c r="C34" s="1"/>
      <c r="D34" s="1"/>
      <c r="E34" s="1"/>
    </row>
    <row r="54" spans="1:2" ht="12.4" customHeight="1">
      <c r="A54" s="7"/>
      <c r="B54" s="7"/>
    </row>
    <row r="55" spans="1:2" ht="12.4" customHeight="1">
      <c r="B55" s="86"/>
    </row>
    <row r="56" spans="1:2" ht="12.4" customHeight="1">
      <c r="A56" s="24"/>
      <c r="B56" s="24"/>
    </row>
    <row r="57" spans="1:2" ht="12.4" customHeight="1">
      <c r="A57" s="24"/>
      <c r="B57" s="24"/>
    </row>
    <row r="58" spans="1:2" ht="12.4" customHeight="1">
      <c r="A58" s="24"/>
      <c r="B58" s="24"/>
    </row>
    <row r="59" spans="1:2" ht="12.4" customHeight="1">
      <c r="A59" s="24"/>
      <c r="B59" s="24"/>
    </row>
    <row r="60" spans="1:2" ht="12.4" customHeight="1">
      <c r="A60" s="24"/>
      <c r="B60" s="24"/>
    </row>
  </sheetData>
  <mergeCells count="4">
    <mergeCell ref="B15:B16"/>
    <mergeCell ref="A1:B1"/>
    <mergeCell ref="A2:B2"/>
    <mergeCell ref="B13:B14"/>
  </mergeCells>
  <phoneticPr fontId="0" type="noConversion"/>
  <printOptions horizontalCentered="1"/>
  <pageMargins left="0.1" right="0.1" top="0.84" bottom="0.1" header="0.27" footer="0.1"/>
  <pageSetup paperSize="9" orientation="portrait" blackAndWhite="1" horizontalDpi="4294967295" r:id="rId1"/>
  <headerFooter alignWithMargins="0"/>
  <drawing r:id="rId2"/>
</worksheet>
</file>

<file path=xl/worksheets/sheet74.xml><?xml version="1.0" encoding="utf-8"?>
<worksheet xmlns="http://schemas.openxmlformats.org/spreadsheetml/2006/main" xmlns:r="http://schemas.openxmlformats.org/officeDocument/2006/relationships">
  <dimension ref="A1"/>
  <sheetViews>
    <sheetView topLeftCell="A14" workbookViewId="0">
      <selection activeCell="M5" sqref="M5"/>
    </sheetView>
  </sheetViews>
  <sheetFormatPr defaultRowHeight="12.75"/>
  <sheetData/>
  <phoneticPr fontId="131" type="noConversion"/>
  <pageMargins left="0.75" right="0.75" top="1" bottom="1" header="0.5" footer="0.5"/>
  <pageSetup paperSize="9" orientation="portrait" r:id="rId1"/>
  <headerFooter alignWithMargins="0"/>
  <drawing r:id="rId2"/>
</worksheet>
</file>

<file path=xl/worksheets/sheet75.xml><?xml version="1.0" encoding="utf-8"?>
<worksheet xmlns="http://schemas.openxmlformats.org/spreadsheetml/2006/main" xmlns:r="http://schemas.openxmlformats.org/officeDocument/2006/relationships">
  <sheetPr codeName="Sheet53"/>
  <dimension ref="A1"/>
  <sheetViews>
    <sheetView topLeftCell="A7" workbookViewId="0">
      <selection activeCell="A38" sqref="A38"/>
    </sheetView>
  </sheetViews>
  <sheetFormatPr defaultRowHeight="12.75"/>
  <cols>
    <col min="1" max="1" width="107.140625" customWidth="1"/>
  </cols>
  <sheetData>
    <row r="1" spans="1:1" ht="294" customHeight="1">
      <c r="A1" s="582" t="s">
        <v>113</v>
      </c>
    </row>
  </sheetData>
  <phoneticPr fontId="0" type="noConversion"/>
  <pageMargins left="0.75" right="0.75" top="1" bottom="1" header="0.5" footer="0.5"/>
  <pageSetup orientation="portrait" horizontalDpi="4294967295" r:id="rId1"/>
  <headerFooter alignWithMargins="0"/>
  <drawing r:id="rId2"/>
</worksheet>
</file>

<file path=xl/worksheets/sheet76.xml><?xml version="1.0" encoding="utf-8"?>
<worksheet xmlns="http://schemas.openxmlformats.org/spreadsheetml/2006/main" xmlns:r="http://schemas.openxmlformats.org/officeDocument/2006/relationships">
  <sheetPr codeName="Sheet94"/>
  <dimension ref="A1:G46"/>
  <sheetViews>
    <sheetView workbookViewId="0">
      <selection activeCell="M5" sqref="M5"/>
    </sheetView>
  </sheetViews>
  <sheetFormatPr defaultRowHeight="12.75"/>
  <cols>
    <col min="1" max="1" width="5.7109375" customWidth="1"/>
    <col min="2" max="2" width="23.28515625" customWidth="1"/>
    <col min="3" max="3" width="21.7109375" customWidth="1"/>
    <col min="4" max="4" width="15.85546875" customWidth="1"/>
    <col min="5" max="5" width="14.85546875" customWidth="1"/>
    <col min="6" max="6" width="14.140625" customWidth="1"/>
    <col min="7" max="7" width="28.140625" customWidth="1"/>
  </cols>
  <sheetData>
    <row r="1" spans="1:7" ht="12.75" customHeight="1">
      <c r="A1" s="1363" t="s">
        <v>911</v>
      </c>
      <c r="B1" s="1363"/>
      <c r="C1" s="1363"/>
      <c r="D1" s="1363"/>
      <c r="E1" s="1363"/>
      <c r="F1" s="1363"/>
      <c r="G1" s="1363"/>
    </row>
    <row r="2" spans="1:7" ht="17.25" customHeight="1">
      <c r="A2" s="1374" t="str">
        <f>CONCATENATE("Some Basic Statistics about the Blocks of ",District!$A$1, " for the year ", District!$B$3)</f>
        <v>Some Basic Statistics about the Blocks of Malda for the year 2013-14</v>
      </c>
      <c r="B2" s="1374"/>
      <c r="C2" s="1374"/>
      <c r="D2" s="1374"/>
      <c r="E2" s="1374"/>
      <c r="F2" s="1374"/>
      <c r="G2" s="1374"/>
    </row>
    <row r="3" spans="1:7" ht="12.75" customHeight="1">
      <c r="B3" s="4"/>
      <c r="C3" s="4"/>
      <c r="D3" s="4"/>
      <c r="E3" s="4"/>
      <c r="F3" s="4"/>
      <c r="G3" s="4"/>
    </row>
    <row r="4" spans="1:7" ht="20.100000000000001" customHeight="1">
      <c r="A4" s="1928" t="s">
        <v>263</v>
      </c>
      <c r="B4" s="1346" t="s">
        <v>852</v>
      </c>
      <c r="C4" s="1789" t="s">
        <v>1396</v>
      </c>
      <c r="D4" s="1928" t="s">
        <v>565</v>
      </c>
      <c r="E4" s="1930" t="s">
        <v>566</v>
      </c>
      <c r="F4" s="1928" t="s">
        <v>567</v>
      </c>
      <c r="G4" s="1790" t="s">
        <v>564</v>
      </c>
    </row>
    <row r="5" spans="1:7" ht="9.75" customHeight="1">
      <c r="A5" s="1932"/>
      <c r="B5" s="1349"/>
      <c r="C5" s="1927"/>
      <c r="D5" s="1929"/>
      <c r="E5" s="1931"/>
      <c r="F5" s="1929"/>
      <c r="G5" s="1926"/>
    </row>
    <row r="6" spans="1:7" ht="20.100000000000001" customHeight="1">
      <c r="A6" s="445" t="s">
        <v>1208</v>
      </c>
      <c r="B6" s="99" t="s">
        <v>1209</v>
      </c>
      <c r="C6" s="280" t="s">
        <v>1210</v>
      </c>
      <c r="D6" s="99" t="s">
        <v>1211</v>
      </c>
      <c r="E6" s="280" t="s">
        <v>1212</v>
      </c>
      <c r="F6" s="99" t="s">
        <v>1213</v>
      </c>
      <c r="G6" s="100" t="s">
        <v>1214</v>
      </c>
    </row>
    <row r="7" spans="1:7" ht="24" customHeight="1">
      <c r="A7" s="358">
        <v>1</v>
      </c>
      <c r="B7" s="247" t="s">
        <v>1051</v>
      </c>
      <c r="C7" s="41">
        <v>104</v>
      </c>
      <c r="D7" s="116">
        <v>93</v>
      </c>
      <c r="E7" s="41">
        <v>17</v>
      </c>
      <c r="F7" s="116">
        <v>35</v>
      </c>
      <c r="G7" s="98">
        <v>7</v>
      </c>
    </row>
    <row r="8" spans="1:7" ht="24" customHeight="1">
      <c r="A8" s="285">
        <v>2</v>
      </c>
      <c r="B8" s="247" t="s">
        <v>495</v>
      </c>
      <c r="C8" s="41">
        <v>72</v>
      </c>
      <c r="D8" s="116">
        <v>95</v>
      </c>
      <c r="E8" s="41">
        <v>16</v>
      </c>
      <c r="F8" s="116">
        <v>41</v>
      </c>
      <c r="G8" s="98">
        <v>9</v>
      </c>
    </row>
    <row r="9" spans="1:7" ht="24" customHeight="1">
      <c r="A9" s="285">
        <v>3</v>
      </c>
      <c r="B9" s="247" t="s">
        <v>531</v>
      </c>
      <c r="C9" s="41">
        <v>99</v>
      </c>
      <c r="D9" s="116">
        <v>89</v>
      </c>
      <c r="E9" s="41">
        <v>17</v>
      </c>
      <c r="F9" s="116">
        <v>43</v>
      </c>
      <c r="G9" s="98">
        <v>8</v>
      </c>
    </row>
    <row r="10" spans="1:7" ht="24" customHeight="1">
      <c r="A10" s="285">
        <v>4</v>
      </c>
      <c r="B10" s="247" t="s">
        <v>532</v>
      </c>
      <c r="C10" s="507">
        <v>89</v>
      </c>
      <c r="D10" s="116">
        <v>89</v>
      </c>
      <c r="E10" s="41">
        <v>2</v>
      </c>
      <c r="F10" s="116">
        <v>39</v>
      </c>
      <c r="G10" s="98">
        <v>7</v>
      </c>
    </row>
    <row r="11" spans="1:7" ht="24" customHeight="1">
      <c r="A11" s="285">
        <v>5</v>
      </c>
      <c r="B11" s="247" t="s">
        <v>533</v>
      </c>
      <c r="C11" s="507">
        <v>94</v>
      </c>
      <c r="D11" s="116">
        <v>104</v>
      </c>
      <c r="E11" s="41">
        <v>7</v>
      </c>
      <c r="F11" s="116">
        <v>47</v>
      </c>
      <c r="G11" s="98">
        <v>10</v>
      </c>
    </row>
    <row r="12" spans="1:7" ht="24" customHeight="1">
      <c r="A12" s="285">
        <v>6</v>
      </c>
      <c r="B12" s="247" t="s">
        <v>573</v>
      </c>
      <c r="C12" s="507">
        <v>48</v>
      </c>
      <c r="D12" s="116">
        <v>125</v>
      </c>
      <c r="E12" s="41">
        <v>12</v>
      </c>
      <c r="F12" s="116">
        <v>38</v>
      </c>
      <c r="G12" s="98">
        <v>8</v>
      </c>
    </row>
    <row r="13" spans="1:7" ht="24" customHeight="1">
      <c r="A13" s="285">
        <v>7</v>
      </c>
      <c r="B13" s="247" t="s">
        <v>974</v>
      </c>
      <c r="C13" s="507">
        <v>288</v>
      </c>
      <c r="D13" s="116">
        <v>194</v>
      </c>
      <c r="E13" s="41">
        <v>18</v>
      </c>
      <c r="F13" s="116">
        <v>70</v>
      </c>
      <c r="G13" s="98">
        <v>15</v>
      </c>
    </row>
    <row r="14" spans="1:7" ht="24" customHeight="1">
      <c r="A14" s="285">
        <v>8</v>
      </c>
      <c r="B14" s="247" t="s">
        <v>1510</v>
      </c>
      <c r="C14" s="507">
        <v>142</v>
      </c>
      <c r="D14" s="116">
        <v>110</v>
      </c>
      <c r="E14" s="41">
        <v>7</v>
      </c>
      <c r="F14" s="116">
        <v>32</v>
      </c>
      <c r="G14" s="98">
        <v>6</v>
      </c>
    </row>
    <row r="15" spans="1:7" ht="24" customHeight="1">
      <c r="A15" s="285">
        <v>9</v>
      </c>
      <c r="B15" s="247" t="s">
        <v>577</v>
      </c>
      <c r="C15" s="507">
        <v>239</v>
      </c>
      <c r="D15" s="116">
        <v>113</v>
      </c>
      <c r="E15" s="41">
        <v>13</v>
      </c>
      <c r="F15" s="116">
        <v>50</v>
      </c>
      <c r="G15" s="98">
        <v>11</v>
      </c>
    </row>
    <row r="16" spans="1:7" ht="24" customHeight="1">
      <c r="A16" s="285">
        <v>10</v>
      </c>
      <c r="B16" s="247" t="s">
        <v>578</v>
      </c>
      <c r="C16" s="507">
        <v>115</v>
      </c>
      <c r="D16" s="116">
        <v>71</v>
      </c>
      <c r="E16" s="41">
        <v>7</v>
      </c>
      <c r="F16" s="116">
        <v>26</v>
      </c>
      <c r="G16" s="98">
        <v>5</v>
      </c>
    </row>
    <row r="17" spans="1:7" ht="24" customHeight="1">
      <c r="A17" s="285">
        <v>11</v>
      </c>
      <c r="B17" s="247" t="s">
        <v>490</v>
      </c>
      <c r="C17" s="507">
        <v>116</v>
      </c>
      <c r="D17" s="116">
        <v>63</v>
      </c>
      <c r="E17" s="41">
        <v>11</v>
      </c>
      <c r="F17" s="116">
        <v>50</v>
      </c>
      <c r="G17" s="98">
        <v>11</v>
      </c>
    </row>
    <row r="18" spans="1:7" ht="24" customHeight="1">
      <c r="A18" s="285">
        <v>12</v>
      </c>
      <c r="B18" s="247" t="s">
        <v>580</v>
      </c>
      <c r="C18" s="507">
        <v>79</v>
      </c>
      <c r="D18" s="116">
        <v>76</v>
      </c>
      <c r="E18" s="41">
        <v>14</v>
      </c>
      <c r="F18" s="116">
        <v>51</v>
      </c>
      <c r="G18" s="98">
        <v>10</v>
      </c>
    </row>
    <row r="19" spans="1:7" ht="24" customHeight="1">
      <c r="A19" s="285">
        <v>13</v>
      </c>
      <c r="B19" s="247" t="s">
        <v>585</v>
      </c>
      <c r="C19" s="507">
        <v>62</v>
      </c>
      <c r="D19" s="116">
        <v>69</v>
      </c>
      <c r="E19" s="41">
        <v>7</v>
      </c>
      <c r="F19" s="116">
        <v>70</v>
      </c>
      <c r="G19" s="98">
        <v>14</v>
      </c>
    </row>
    <row r="20" spans="1:7" ht="24" customHeight="1">
      <c r="A20" s="285">
        <v>14</v>
      </c>
      <c r="B20" s="247" t="s">
        <v>586</v>
      </c>
      <c r="C20" s="41">
        <v>57</v>
      </c>
      <c r="D20" s="608">
        <v>69</v>
      </c>
      <c r="E20" s="41">
        <v>7</v>
      </c>
      <c r="F20" s="116">
        <v>51</v>
      </c>
      <c r="G20" s="98">
        <v>9</v>
      </c>
    </row>
    <row r="21" spans="1:7" ht="24" customHeight="1">
      <c r="A21" s="292">
        <v>15</v>
      </c>
      <c r="B21" s="249" t="s">
        <v>587</v>
      </c>
      <c r="C21" s="947">
        <v>68</v>
      </c>
      <c r="D21" s="117">
        <v>87</v>
      </c>
      <c r="E21" s="117">
        <v>6</v>
      </c>
      <c r="F21" s="117">
        <v>64</v>
      </c>
      <c r="G21" s="117">
        <v>14</v>
      </c>
    </row>
    <row r="22" spans="1:7">
      <c r="F22" s="924" t="s">
        <v>351</v>
      </c>
      <c r="G22" s="257" t="s">
        <v>1119</v>
      </c>
    </row>
    <row r="23" spans="1:7">
      <c r="F23" s="257"/>
      <c r="G23" s="257" t="s">
        <v>1120</v>
      </c>
    </row>
    <row r="24" spans="1:7">
      <c r="F24" s="25"/>
      <c r="G24" s="257" t="s">
        <v>1121</v>
      </c>
    </row>
    <row r="25" spans="1:7">
      <c r="F25" s="25"/>
      <c r="G25" s="257" t="s">
        <v>1122</v>
      </c>
    </row>
    <row r="26" spans="1:7" ht="12.75" customHeight="1">
      <c r="F26" s="25"/>
      <c r="G26" s="978" t="s">
        <v>1123</v>
      </c>
    </row>
    <row r="44" spans="1:7">
      <c r="A44" s="7"/>
      <c r="B44" s="7"/>
      <c r="C44" s="7"/>
      <c r="D44" s="7"/>
      <c r="E44" s="7"/>
      <c r="F44" s="7"/>
      <c r="G44" s="7"/>
    </row>
    <row r="45" spans="1:7">
      <c r="A45" s="16"/>
      <c r="B45" s="16"/>
      <c r="C45" s="16"/>
      <c r="D45" s="16"/>
      <c r="E45" s="16"/>
      <c r="F45" s="16"/>
      <c r="G45" s="16"/>
    </row>
    <row r="46" spans="1:7">
      <c r="A46" s="7"/>
      <c r="B46" s="7"/>
      <c r="C46" s="7"/>
      <c r="D46" s="7"/>
      <c r="E46" s="7"/>
      <c r="F46" s="7"/>
      <c r="G46" s="7"/>
    </row>
  </sheetData>
  <mergeCells count="9">
    <mergeCell ref="A1:G1"/>
    <mergeCell ref="G4:G5"/>
    <mergeCell ref="A2:G2"/>
    <mergeCell ref="C4:C5"/>
    <mergeCell ref="D4:D5"/>
    <mergeCell ref="E4:E5"/>
    <mergeCell ref="F4:F5"/>
    <mergeCell ref="B4:B5"/>
    <mergeCell ref="A4:A5"/>
  </mergeCells>
  <phoneticPr fontId="0" type="noConversion"/>
  <printOptions horizontalCentered="1"/>
  <pageMargins left="0.1" right="0.1" top="0.76" bottom="0.1" header="0.6" footer="0.1"/>
  <pageSetup paperSize="9" orientation="landscape" blackAndWhite="1" horizontalDpi="4294967295" r:id="rId1"/>
  <headerFooter alignWithMargins="0"/>
</worksheet>
</file>

<file path=xl/worksheets/sheet77.xml><?xml version="1.0" encoding="utf-8"?>
<worksheet xmlns="http://schemas.openxmlformats.org/spreadsheetml/2006/main" xmlns:r="http://schemas.openxmlformats.org/officeDocument/2006/relationships">
  <sheetPr codeName="Sheet95"/>
  <dimension ref="A1:S72"/>
  <sheetViews>
    <sheetView workbookViewId="0">
      <selection activeCell="L5" sqref="L5:M5"/>
    </sheetView>
  </sheetViews>
  <sheetFormatPr defaultRowHeight="12.75"/>
  <cols>
    <col min="1" max="1" width="4" style="11" customWidth="1"/>
    <col min="2" max="2" width="17.42578125" style="536" customWidth="1"/>
    <col min="3" max="3" width="9" style="11" customWidth="1"/>
    <col min="4" max="4" width="8" style="11" customWidth="1"/>
    <col min="5" max="5" width="6" style="11" customWidth="1"/>
    <col min="6" max="6" width="7.7109375" style="11" customWidth="1"/>
    <col min="7" max="8" width="6.42578125" style="11" customWidth="1"/>
    <col min="9" max="9" width="6.5703125" style="11" customWidth="1"/>
    <col min="10" max="10" width="6.42578125" style="11" customWidth="1"/>
    <col min="11" max="11" width="6" style="11" customWidth="1"/>
    <col min="12" max="12" width="6.42578125" style="11" customWidth="1"/>
    <col min="13" max="14" width="6.28515625" style="11" customWidth="1"/>
    <col min="15" max="15" width="6.140625" style="11" customWidth="1"/>
    <col min="16" max="16" width="6.42578125" style="11" customWidth="1"/>
    <col min="17" max="17" width="6.140625" style="11" customWidth="1"/>
    <col min="18" max="18" width="6.7109375" style="11" customWidth="1"/>
    <col min="19" max="19" width="7.28515625" style="11" customWidth="1"/>
    <col min="20" max="16384" width="9.140625" style="11"/>
  </cols>
  <sheetData>
    <row r="1" spans="1:19" ht="12.75" customHeight="1">
      <c r="A1" s="1363" t="s">
        <v>1478</v>
      </c>
      <c r="B1" s="1363"/>
      <c r="C1" s="1363"/>
      <c r="D1" s="1363"/>
      <c r="E1" s="1363"/>
      <c r="F1" s="1363"/>
      <c r="G1" s="1363"/>
      <c r="H1" s="1363"/>
      <c r="I1" s="1363"/>
      <c r="J1" s="1363"/>
      <c r="K1" s="1363"/>
      <c r="L1" s="1363"/>
      <c r="M1" s="1363"/>
      <c r="N1" s="1363"/>
      <c r="O1" s="1363"/>
      <c r="P1" s="1363"/>
      <c r="Q1" s="1363"/>
      <c r="R1" s="1363"/>
      <c r="S1" s="1363"/>
    </row>
    <row r="2" spans="1:19" ht="17.25" customHeight="1">
      <c r="A2" s="1374" t="s">
        <v>1652</v>
      </c>
      <c r="B2" s="1374"/>
      <c r="C2" s="1374"/>
      <c r="D2" s="1374"/>
      <c r="E2" s="1374"/>
      <c r="F2" s="1374"/>
      <c r="G2" s="1374"/>
      <c r="H2" s="1374"/>
      <c r="I2" s="1374"/>
      <c r="J2" s="1374"/>
      <c r="K2" s="1374"/>
      <c r="L2" s="1374"/>
      <c r="M2" s="1374"/>
      <c r="N2" s="1374"/>
      <c r="O2" s="1374"/>
      <c r="P2" s="1374"/>
      <c r="Q2" s="1374"/>
      <c r="R2" s="1374"/>
      <c r="S2" s="1374"/>
    </row>
    <row r="3" spans="1:19" ht="17.25" customHeight="1">
      <c r="A3" s="1936" t="s">
        <v>1552</v>
      </c>
      <c r="B3" s="1936"/>
      <c r="C3" s="1936"/>
      <c r="D3" s="1936"/>
      <c r="E3" s="1936"/>
      <c r="F3" s="1936"/>
      <c r="G3" s="1936"/>
      <c r="H3" s="1936"/>
      <c r="I3" s="1936"/>
      <c r="J3" s="1936"/>
      <c r="K3" s="1936"/>
      <c r="L3" s="1936"/>
      <c r="M3" s="1936"/>
      <c r="N3" s="1936"/>
      <c r="O3" s="1936"/>
      <c r="P3" s="1936"/>
      <c r="Q3" s="1936"/>
      <c r="R3" s="1936"/>
      <c r="S3" s="1936"/>
    </row>
    <row r="4" spans="1:19" ht="11.25" hidden="1" customHeight="1">
      <c r="B4" s="551"/>
      <c r="C4" s="13"/>
      <c r="D4" s="13"/>
      <c r="E4" s="13"/>
      <c r="F4" s="13"/>
      <c r="G4" s="13"/>
      <c r="H4" s="13"/>
      <c r="I4" s="13"/>
      <c r="J4" s="13"/>
      <c r="K4" s="13"/>
      <c r="L4" s="13"/>
      <c r="M4" s="13"/>
      <c r="N4" s="13"/>
      <c r="O4" s="13"/>
      <c r="P4" s="13"/>
      <c r="Q4" s="13"/>
      <c r="R4" s="13"/>
      <c r="S4" s="13"/>
    </row>
    <row r="5" spans="1:19" ht="15" customHeight="1">
      <c r="A5" s="1346" t="s">
        <v>263</v>
      </c>
      <c r="B5" s="1346" t="s">
        <v>852</v>
      </c>
      <c r="C5" s="1346" t="s">
        <v>1553</v>
      </c>
      <c r="D5" s="1935" t="s">
        <v>1372</v>
      </c>
      <c r="E5" s="1935"/>
      <c r="F5" s="1935" t="s">
        <v>1373</v>
      </c>
      <c r="G5" s="1935"/>
      <c r="H5" s="1935" t="s">
        <v>1374</v>
      </c>
      <c r="I5" s="1935"/>
      <c r="J5" s="1935" t="s">
        <v>1375</v>
      </c>
      <c r="K5" s="1935"/>
      <c r="L5" s="1935" t="s">
        <v>1376</v>
      </c>
      <c r="M5" s="1935"/>
      <c r="N5" s="1935" t="s">
        <v>1377</v>
      </c>
      <c r="O5" s="1935"/>
      <c r="P5" s="1941" t="s">
        <v>1526</v>
      </c>
      <c r="Q5" s="1940"/>
      <c r="R5" s="1939" t="s">
        <v>364</v>
      </c>
      <c r="S5" s="1940"/>
    </row>
    <row r="6" spans="1:19" ht="80.25" customHeight="1">
      <c r="A6" s="1347"/>
      <c r="B6" s="1349"/>
      <c r="C6" s="1347"/>
      <c r="D6" s="652" t="s">
        <v>529</v>
      </c>
      <c r="E6" s="587" t="s">
        <v>1651</v>
      </c>
      <c r="F6" s="652" t="s">
        <v>529</v>
      </c>
      <c r="G6" s="587" t="s">
        <v>1651</v>
      </c>
      <c r="H6" s="652" t="s">
        <v>529</v>
      </c>
      <c r="I6" s="587" t="s">
        <v>1651</v>
      </c>
      <c r="J6" s="652" t="s">
        <v>529</v>
      </c>
      <c r="K6" s="587" t="s">
        <v>1651</v>
      </c>
      <c r="L6" s="652" t="s">
        <v>529</v>
      </c>
      <c r="M6" s="587" t="s">
        <v>1651</v>
      </c>
      <c r="N6" s="652" t="s">
        <v>529</v>
      </c>
      <c r="O6" s="587" t="s">
        <v>1651</v>
      </c>
      <c r="P6" s="652" t="s">
        <v>529</v>
      </c>
      <c r="Q6" s="587" t="s">
        <v>1651</v>
      </c>
      <c r="R6" s="652" t="s">
        <v>529</v>
      </c>
      <c r="S6" s="587" t="s">
        <v>1651</v>
      </c>
    </row>
    <row r="7" spans="1:19" ht="14.25" customHeight="1">
      <c r="A7" s="421" t="s">
        <v>1208</v>
      </c>
      <c r="B7" s="421" t="s">
        <v>1209</v>
      </c>
      <c r="C7" s="421" t="s">
        <v>1210</v>
      </c>
      <c r="D7" s="482" t="s">
        <v>1211</v>
      </c>
      <c r="E7" s="529" t="s">
        <v>1212</v>
      </c>
      <c r="F7" s="423" t="s">
        <v>1213</v>
      </c>
      <c r="G7" s="421" t="s">
        <v>1214</v>
      </c>
      <c r="H7" s="423" t="s">
        <v>1244</v>
      </c>
      <c r="I7" s="421" t="s">
        <v>1245</v>
      </c>
      <c r="J7" s="423" t="s">
        <v>1246</v>
      </c>
      <c r="K7" s="421" t="s">
        <v>1247</v>
      </c>
      <c r="L7" s="423" t="s">
        <v>1271</v>
      </c>
      <c r="M7" s="421" t="s">
        <v>1272</v>
      </c>
      <c r="N7" s="423" t="s">
        <v>1273</v>
      </c>
      <c r="O7" s="421" t="s">
        <v>1274</v>
      </c>
      <c r="P7" s="423" t="s">
        <v>1275</v>
      </c>
      <c r="Q7" s="421" t="s">
        <v>1276</v>
      </c>
      <c r="R7" s="422" t="s">
        <v>1278</v>
      </c>
      <c r="S7" s="421" t="s">
        <v>1277</v>
      </c>
    </row>
    <row r="8" spans="1:19" ht="18" customHeight="1">
      <c r="A8" s="358">
        <v>1</v>
      </c>
      <c r="B8" s="1937" t="s">
        <v>1053</v>
      </c>
      <c r="C8" s="642">
        <v>2001</v>
      </c>
      <c r="D8" s="904">
        <v>122326</v>
      </c>
      <c r="E8" s="948">
        <f>IF(D8="-","-",ROUND(D8/$R8*100,2))</f>
        <v>33.94</v>
      </c>
      <c r="F8" s="904">
        <v>237688</v>
      </c>
      <c r="G8" s="948">
        <f t="shared" ref="G8:G27" si="0">IF(F8="-","-",ROUND(F8/$R8*100,2))</f>
        <v>65.94</v>
      </c>
      <c r="H8" s="904">
        <v>178</v>
      </c>
      <c r="I8" s="948">
        <f t="shared" ref="I8:I27" si="1">IF(H8="-","-",ROUND(H8/$R8*100,2))</f>
        <v>0.05</v>
      </c>
      <c r="J8" s="949" t="s">
        <v>1509</v>
      </c>
      <c r="K8" s="948" t="str">
        <f t="shared" ref="K8:K27" si="2">IF(J8="-","-",ROUND(J8/$R8*100,2))</f>
        <v>-</v>
      </c>
      <c r="L8" s="904">
        <v>12</v>
      </c>
      <c r="M8" s="948">
        <f t="shared" ref="M8:M27" si="3">IF(L8="-","-",ROUND(L8/$R8*100,2))</f>
        <v>0</v>
      </c>
      <c r="N8" s="904">
        <v>11</v>
      </c>
      <c r="O8" s="948">
        <f t="shared" ref="O8:O27" si="4">IF(N8="-","-",ROUND(N8/$R8*100,2))</f>
        <v>0</v>
      </c>
      <c r="P8" s="904">
        <v>230</v>
      </c>
      <c r="Q8" s="948">
        <f>IF(P8="-","-",ROUND(P8/$R8*100,2))+0.01</f>
        <v>6.9999999999999993E-2</v>
      </c>
      <c r="R8" s="950">
        <f>SUM(D8,F8,H8,J8,L8,N8,P8)</f>
        <v>360445</v>
      </c>
      <c r="S8" s="948">
        <f t="shared" ref="S8:S27" si="5">SUM(E8,G8,I8,K8,M8,O8,Q8)</f>
        <v>99.999999999999986</v>
      </c>
    </row>
    <row r="9" spans="1:19" ht="18" customHeight="1">
      <c r="A9" s="292">
        <v>2</v>
      </c>
      <c r="B9" s="1938"/>
      <c r="C9" s="133">
        <v>1991</v>
      </c>
      <c r="D9" s="293">
        <v>103458</v>
      </c>
      <c r="E9" s="710">
        <f>IF(D9="-","-",ROUND(D9/$R9*100,2))</f>
        <v>36.06</v>
      </c>
      <c r="F9" s="293">
        <v>183119</v>
      </c>
      <c r="G9" s="710">
        <f t="shared" si="0"/>
        <v>63.83</v>
      </c>
      <c r="H9" s="293">
        <v>326</v>
      </c>
      <c r="I9" s="710">
        <f t="shared" si="1"/>
        <v>0.11</v>
      </c>
      <c r="J9" s="293" t="s">
        <v>1509</v>
      </c>
      <c r="K9" s="710" t="str">
        <f t="shared" si="2"/>
        <v>-</v>
      </c>
      <c r="L9" s="293">
        <v>3</v>
      </c>
      <c r="M9" s="710">
        <f t="shared" si="3"/>
        <v>0</v>
      </c>
      <c r="N9" s="293" t="s">
        <v>1509</v>
      </c>
      <c r="O9" s="710" t="str">
        <f t="shared" si="4"/>
        <v>-</v>
      </c>
      <c r="P9" s="293" t="s">
        <v>1509</v>
      </c>
      <c r="Q9" s="710" t="str">
        <f t="shared" ref="Q9:Q27" si="6">IF(P9="-","-",ROUND(P9/$R9*100,2))</f>
        <v>-</v>
      </c>
      <c r="R9" s="141">
        <f t="shared" ref="R9:R27" si="7">SUM(D9,F9,H9,J9,L9,N9,P9)</f>
        <v>286906</v>
      </c>
      <c r="S9" s="710">
        <f t="shared" si="5"/>
        <v>100</v>
      </c>
    </row>
    <row r="10" spans="1:19" ht="15.75" customHeight="1">
      <c r="A10" s="358">
        <v>3</v>
      </c>
      <c r="B10" s="1937" t="s">
        <v>1055</v>
      </c>
      <c r="C10" s="642">
        <v>2001</v>
      </c>
      <c r="D10" s="904">
        <v>100457</v>
      </c>
      <c r="E10" s="948">
        <f t="shared" ref="E10:E27" si="8">IF(D10="-","-",ROUND(D10/$R10*100,2))</f>
        <v>29.6</v>
      </c>
      <c r="F10" s="904">
        <v>236837</v>
      </c>
      <c r="G10" s="948">
        <f t="shared" si="0"/>
        <v>69.78</v>
      </c>
      <c r="H10" s="904">
        <v>118</v>
      </c>
      <c r="I10" s="948">
        <f>IF(H10="-","-",ROUND(H10/$R10*100,2))+0.01</f>
        <v>0.04</v>
      </c>
      <c r="J10" s="904">
        <v>1</v>
      </c>
      <c r="K10" s="948">
        <f t="shared" si="2"/>
        <v>0</v>
      </c>
      <c r="L10" s="904">
        <v>6</v>
      </c>
      <c r="M10" s="948">
        <f t="shared" si="3"/>
        <v>0</v>
      </c>
      <c r="N10" s="904">
        <v>32</v>
      </c>
      <c r="O10" s="948">
        <f t="shared" si="4"/>
        <v>0.01</v>
      </c>
      <c r="P10" s="904">
        <v>1945</v>
      </c>
      <c r="Q10" s="948">
        <f t="shared" si="6"/>
        <v>0.56999999999999995</v>
      </c>
      <c r="R10" s="950">
        <f t="shared" si="7"/>
        <v>339396</v>
      </c>
      <c r="S10" s="948">
        <f t="shared" si="5"/>
        <v>100</v>
      </c>
    </row>
    <row r="11" spans="1:19" ht="15.75" customHeight="1">
      <c r="A11" s="292">
        <v>4</v>
      </c>
      <c r="B11" s="1942"/>
      <c r="C11" s="133">
        <v>1991</v>
      </c>
      <c r="D11" s="293">
        <v>89544</v>
      </c>
      <c r="E11" s="710">
        <f>IF(D11="-","-",ROUND(D11/$R11*100,2))-0.01</f>
        <v>32.440000000000005</v>
      </c>
      <c r="F11" s="293">
        <v>186279</v>
      </c>
      <c r="G11" s="710">
        <f t="shared" si="0"/>
        <v>67.5</v>
      </c>
      <c r="H11" s="293">
        <v>49</v>
      </c>
      <c r="I11" s="710">
        <f t="shared" si="1"/>
        <v>0.02</v>
      </c>
      <c r="J11" s="293" t="s">
        <v>1509</v>
      </c>
      <c r="K11" s="710" t="str">
        <f t="shared" si="2"/>
        <v>-</v>
      </c>
      <c r="L11" s="293" t="s">
        <v>1509</v>
      </c>
      <c r="M11" s="710" t="str">
        <f t="shared" si="3"/>
        <v>-</v>
      </c>
      <c r="N11" s="293">
        <v>110</v>
      </c>
      <c r="O11" s="710">
        <f t="shared" si="4"/>
        <v>0.04</v>
      </c>
      <c r="P11" s="293">
        <v>3</v>
      </c>
      <c r="Q11" s="710">
        <f t="shared" si="6"/>
        <v>0</v>
      </c>
      <c r="R11" s="141">
        <f t="shared" si="7"/>
        <v>275985</v>
      </c>
      <c r="S11" s="710">
        <f t="shared" si="5"/>
        <v>100</v>
      </c>
    </row>
    <row r="12" spans="1:19" ht="15.75" customHeight="1">
      <c r="A12" s="358">
        <v>5</v>
      </c>
      <c r="B12" s="1937" t="s">
        <v>1054</v>
      </c>
      <c r="C12" s="642">
        <v>2001</v>
      </c>
      <c r="D12" s="904">
        <v>112354</v>
      </c>
      <c r="E12" s="948">
        <f>IF(D12="-","-",ROUND(D12/$R12*100,2))</f>
        <v>29.7</v>
      </c>
      <c r="F12" s="904">
        <v>265237</v>
      </c>
      <c r="G12" s="948">
        <f t="shared" si="0"/>
        <v>70.12</v>
      </c>
      <c r="H12" s="904">
        <v>23</v>
      </c>
      <c r="I12" s="948">
        <f t="shared" si="1"/>
        <v>0.01</v>
      </c>
      <c r="J12" s="904">
        <v>3</v>
      </c>
      <c r="K12" s="948">
        <f t="shared" si="2"/>
        <v>0</v>
      </c>
      <c r="L12" s="904">
        <v>8</v>
      </c>
      <c r="M12" s="948">
        <f t="shared" si="3"/>
        <v>0</v>
      </c>
      <c r="N12" s="904">
        <v>4</v>
      </c>
      <c r="O12" s="948">
        <f t="shared" si="4"/>
        <v>0</v>
      </c>
      <c r="P12" s="904">
        <v>631</v>
      </c>
      <c r="Q12" s="948">
        <f t="shared" si="6"/>
        <v>0.17</v>
      </c>
      <c r="R12" s="950">
        <f t="shared" si="7"/>
        <v>378260</v>
      </c>
      <c r="S12" s="948">
        <f t="shared" si="5"/>
        <v>100.00000000000001</v>
      </c>
    </row>
    <row r="13" spans="1:19" ht="15.75" customHeight="1">
      <c r="A13" s="292">
        <v>6</v>
      </c>
      <c r="B13" s="1943"/>
      <c r="C13" s="133">
        <v>1991</v>
      </c>
      <c r="D13" s="293">
        <v>98014</v>
      </c>
      <c r="E13" s="710">
        <f t="shared" si="8"/>
        <v>32.729999999999997</v>
      </c>
      <c r="F13" s="293">
        <v>201376</v>
      </c>
      <c r="G13" s="710">
        <f t="shared" si="0"/>
        <v>67.260000000000005</v>
      </c>
      <c r="H13" s="293">
        <v>18</v>
      </c>
      <c r="I13" s="710">
        <f t="shared" si="1"/>
        <v>0.01</v>
      </c>
      <c r="J13" s="293" t="s">
        <v>1509</v>
      </c>
      <c r="K13" s="710" t="str">
        <f t="shared" si="2"/>
        <v>-</v>
      </c>
      <c r="L13" s="293">
        <v>1</v>
      </c>
      <c r="M13" s="710">
        <f t="shared" si="3"/>
        <v>0</v>
      </c>
      <c r="N13" s="293" t="s">
        <v>1509</v>
      </c>
      <c r="O13" s="710" t="str">
        <f t="shared" si="4"/>
        <v>-</v>
      </c>
      <c r="P13" s="293">
        <v>8</v>
      </c>
      <c r="Q13" s="710">
        <f t="shared" si="6"/>
        <v>0</v>
      </c>
      <c r="R13" s="141">
        <f t="shared" si="7"/>
        <v>299417</v>
      </c>
      <c r="S13" s="710">
        <f t="shared" si="5"/>
        <v>100.00000000000001</v>
      </c>
    </row>
    <row r="14" spans="1:19" ht="15.75" customHeight="1">
      <c r="A14" s="1933">
        <v>7</v>
      </c>
      <c r="B14" s="1937" t="s">
        <v>974</v>
      </c>
      <c r="C14" s="642">
        <v>2001</v>
      </c>
      <c r="D14" s="904">
        <v>222610</v>
      </c>
      <c r="E14" s="948">
        <f>IF(D14="-","-",ROUND(D14/$R14*100,2))</f>
        <v>75.53</v>
      </c>
      <c r="F14" s="904">
        <v>65650</v>
      </c>
      <c r="G14" s="948">
        <f>IF(F14="-","-",ROUND(F14/$R14*100,2))</f>
        <v>22.28</v>
      </c>
      <c r="H14" s="904">
        <v>2883</v>
      </c>
      <c r="I14" s="948">
        <f>IF(H14="-","-",ROUND(H14/$R14*100,2))</f>
        <v>0.98</v>
      </c>
      <c r="J14" s="904">
        <v>36</v>
      </c>
      <c r="K14" s="948">
        <f>IF(J14="-","-",ROUND(J14/$R14*100,2))</f>
        <v>0.01</v>
      </c>
      <c r="L14" s="904">
        <v>13</v>
      </c>
      <c r="M14" s="948">
        <f>IF(L14="-","-",ROUND(L14/$R14*100,2))</f>
        <v>0</v>
      </c>
      <c r="N14" s="904">
        <v>2</v>
      </c>
      <c r="O14" s="948">
        <f t="shared" si="4"/>
        <v>0</v>
      </c>
      <c r="P14" s="904">
        <v>3521</v>
      </c>
      <c r="Q14" s="948">
        <f>IF(P14="-","-",ROUND(P14/$R14*100,2))+0.01</f>
        <v>1.2</v>
      </c>
      <c r="R14" s="950">
        <f t="shared" si="7"/>
        <v>294715</v>
      </c>
      <c r="S14" s="948">
        <f t="shared" si="5"/>
        <v>100.00000000000001</v>
      </c>
    </row>
    <row r="15" spans="1:19" ht="15.75" customHeight="1">
      <c r="A15" s="1934"/>
      <c r="B15" s="1938"/>
      <c r="C15" s="133">
        <v>1991</v>
      </c>
      <c r="D15" s="293">
        <v>180919</v>
      </c>
      <c r="E15" s="710">
        <f t="shared" si="8"/>
        <v>77.599999999999994</v>
      </c>
      <c r="F15" s="293">
        <v>50067</v>
      </c>
      <c r="G15" s="710">
        <f t="shared" si="0"/>
        <v>21.48</v>
      </c>
      <c r="H15" s="293">
        <v>1787</v>
      </c>
      <c r="I15" s="710">
        <f>IF(H15="-","-",ROUND(H15/$R15*100,2))-0.01</f>
        <v>0.76</v>
      </c>
      <c r="J15" s="293" t="s">
        <v>1509</v>
      </c>
      <c r="K15" s="710" t="str">
        <f t="shared" si="2"/>
        <v>-</v>
      </c>
      <c r="L15" s="293" t="s">
        <v>1509</v>
      </c>
      <c r="M15" s="710" t="str">
        <f t="shared" si="3"/>
        <v>-</v>
      </c>
      <c r="N15" s="293" t="s">
        <v>1509</v>
      </c>
      <c r="O15" s="710" t="str">
        <f t="shared" si="4"/>
        <v>-</v>
      </c>
      <c r="P15" s="293">
        <v>366</v>
      </c>
      <c r="Q15" s="710">
        <f t="shared" si="6"/>
        <v>0.16</v>
      </c>
      <c r="R15" s="141">
        <f t="shared" si="7"/>
        <v>233139</v>
      </c>
      <c r="S15" s="710">
        <f t="shared" si="5"/>
        <v>100</v>
      </c>
    </row>
    <row r="16" spans="1:19" ht="15.75" customHeight="1">
      <c r="A16" s="1933">
        <v>8</v>
      </c>
      <c r="B16" s="1937" t="s">
        <v>1510</v>
      </c>
      <c r="C16" s="642">
        <v>2001</v>
      </c>
      <c r="D16" s="904">
        <v>112083</v>
      </c>
      <c r="E16" s="948">
        <f t="shared" si="8"/>
        <v>88.08</v>
      </c>
      <c r="F16" s="904">
        <v>11287</v>
      </c>
      <c r="G16" s="948">
        <f t="shared" si="0"/>
        <v>8.8699999999999992</v>
      </c>
      <c r="H16" s="904">
        <v>967</v>
      </c>
      <c r="I16" s="948">
        <f t="shared" si="1"/>
        <v>0.76</v>
      </c>
      <c r="J16" s="904" t="s">
        <v>1509</v>
      </c>
      <c r="K16" s="948" t="str">
        <f t="shared" si="2"/>
        <v>-</v>
      </c>
      <c r="L16" s="904">
        <v>2</v>
      </c>
      <c r="M16" s="948">
        <f t="shared" si="3"/>
        <v>0</v>
      </c>
      <c r="N16" s="904" t="s">
        <v>1509</v>
      </c>
      <c r="O16" s="948" t="str">
        <f t="shared" si="4"/>
        <v>-</v>
      </c>
      <c r="P16" s="904">
        <v>2913</v>
      </c>
      <c r="Q16" s="948">
        <f t="shared" si="6"/>
        <v>2.29</v>
      </c>
      <c r="R16" s="950">
        <f t="shared" si="7"/>
        <v>127252</v>
      </c>
      <c r="S16" s="948">
        <f t="shared" si="5"/>
        <v>100.00000000000001</v>
      </c>
    </row>
    <row r="17" spans="1:19" ht="15.75" customHeight="1">
      <c r="A17" s="1934"/>
      <c r="B17" s="1938"/>
      <c r="C17" s="133">
        <v>1991</v>
      </c>
      <c r="D17" s="293">
        <v>97395</v>
      </c>
      <c r="E17" s="710">
        <f t="shared" si="8"/>
        <v>90.53</v>
      </c>
      <c r="F17" s="293">
        <v>9503</v>
      </c>
      <c r="G17" s="710">
        <f>IF(F17="-","-",ROUND(F17/$R17*100,2))+0.01</f>
        <v>8.84</v>
      </c>
      <c r="H17" s="293">
        <v>305</v>
      </c>
      <c r="I17" s="710">
        <f t="shared" si="1"/>
        <v>0.28000000000000003</v>
      </c>
      <c r="J17" s="293" t="s">
        <v>1509</v>
      </c>
      <c r="K17" s="710" t="str">
        <f t="shared" si="2"/>
        <v>-</v>
      </c>
      <c r="L17" s="293">
        <v>2</v>
      </c>
      <c r="M17" s="710">
        <f t="shared" si="3"/>
        <v>0</v>
      </c>
      <c r="N17" s="293">
        <v>18</v>
      </c>
      <c r="O17" s="710">
        <f t="shared" si="4"/>
        <v>0.02</v>
      </c>
      <c r="P17" s="293">
        <v>356</v>
      </c>
      <c r="Q17" s="710">
        <f t="shared" si="6"/>
        <v>0.33</v>
      </c>
      <c r="R17" s="141">
        <f t="shared" si="7"/>
        <v>107579</v>
      </c>
      <c r="S17" s="710">
        <f t="shared" si="5"/>
        <v>100</v>
      </c>
    </row>
    <row r="18" spans="1:19" ht="15.75" customHeight="1">
      <c r="A18" s="1933">
        <v>9</v>
      </c>
      <c r="B18" s="1937" t="s">
        <v>577</v>
      </c>
      <c r="C18" s="642">
        <v>2001</v>
      </c>
      <c r="D18" s="904">
        <v>170880</v>
      </c>
      <c r="E18" s="948">
        <f t="shared" si="8"/>
        <v>91.06</v>
      </c>
      <c r="F18" s="904">
        <v>2305</v>
      </c>
      <c r="G18" s="948">
        <f t="shared" si="0"/>
        <v>1.23</v>
      </c>
      <c r="H18" s="904">
        <v>2730</v>
      </c>
      <c r="I18" s="948">
        <f t="shared" si="1"/>
        <v>1.45</v>
      </c>
      <c r="J18" s="904">
        <v>37</v>
      </c>
      <c r="K18" s="948">
        <f t="shared" si="2"/>
        <v>0.02</v>
      </c>
      <c r="L18" s="904">
        <v>13</v>
      </c>
      <c r="M18" s="948">
        <f t="shared" si="3"/>
        <v>0.01</v>
      </c>
      <c r="N18" s="904">
        <v>4</v>
      </c>
      <c r="O18" s="948">
        <f t="shared" si="4"/>
        <v>0</v>
      </c>
      <c r="P18" s="904">
        <v>11681</v>
      </c>
      <c r="Q18" s="948">
        <f>IF(P18="-","-",ROUND(P18/$R18*100,2))+0.01</f>
        <v>6.2299999999999995</v>
      </c>
      <c r="R18" s="950">
        <f t="shared" si="7"/>
        <v>187650</v>
      </c>
      <c r="S18" s="948">
        <f t="shared" si="5"/>
        <v>100.00000000000001</v>
      </c>
    </row>
    <row r="19" spans="1:19" ht="15.75" customHeight="1">
      <c r="A19" s="1934"/>
      <c r="B19" s="1938"/>
      <c r="C19" s="133">
        <v>1991</v>
      </c>
      <c r="D19" s="293">
        <v>164031</v>
      </c>
      <c r="E19" s="710">
        <f t="shared" si="8"/>
        <v>97.41</v>
      </c>
      <c r="F19" s="293">
        <v>1924</v>
      </c>
      <c r="G19" s="710">
        <f t="shared" si="0"/>
        <v>1.1399999999999999</v>
      </c>
      <c r="H19" s="293">
        <v>2026</v>
      </c>
      <c r="I19" s="710">
        <f t="shared" si="1"/>
        <v>1.2</v>
      </c>
      <c r="J19" s="293" t="s">
        <v>1509</v>
      </c>
      <c r="K19" s="710" t="str">
        <f t="shared" si="2"/>
        <v>-</v>
      </c>
      <c r="L19" s="293" t="s">
        <v>1509</v>
      </c>
      <c r="M19" s="710" t="str">
        <f t="shared" si="3"/>
        <v>-</v>
      </c>
      <c r="N19" s="293" t="s">
        <v>1509</v>
      </c>
      <c r="O19" s="710" t="str">
        <f t="shared" si="4"/>
        <v>-</v>
      </c>
      <c r="P19" s="293">
        <v>416</v>
      </c>
      <c r="Q19" s="710">
        <f t="shared" si="6"/>
        <v>0.25</v>
      </c>
      <c r="R19" s="141">
        <f t="shared" si="7"/>
        <v>168397</v>
      </c>
      <c r="S19" s="710">
        <f t="shared" si="5"/>
        <v>100</v>
      </c>
    </row>
    <row r="20" spans="1:19" ht="15.75" customHeight="1">
      <c r="A20" s="1933">
        <v>10</v>
      </c>
      <c r="B20" s="1937" t="s">
        <v>578</v>
      </c>
      <c r="C20" s="642">
        <v>2001</v>
      </c>
      <c r="D20" s="904">
        <v>93521</v>
      </c>
      <c r="E20" s="948">
        <f>IF(D20="-","-",ROUND(D20/$R20*100,2))</f>
        <v>71.25</v>
      </c>
      <c r="F20" s="904">
        <v>34605</v>
      </c>
      <c r="G20" s="948">
        <f>IF(F20="-","-",ROUND(F20/$R20*100,2))</f>
        <v>26.36</v>
      </c>
      <c r="H20" s="904">
        <v>801</v>
      </c>
      <c r="I20" s="948">
        <f>IF(H20="-","-",ROUND(H20/$R20*100,2))</f>
        <v>0.61</v>
      </c>
      <c r="J20" s="904">
        <v>85</v>
      </c>
      <c r="K20" s="948">
        <f>IF(J20="-","-",ROUND(J20/$R20*100,2))+0.01</f>
        <v>6.9999999999999993E-2</v>
      </c>
      <c r="L20" s="904">
        <v>6</v>
      </c>
      <c r="M20" s="948">
        <f>IF(L20="-","-",ROUND(L20/$R20*100,2))+0.01</f>
        <v>0.01</v>
      </c>
      <c r="N20" s="904">
        <v>1</v>
      </c>
      <c r="O20" s="948">
        <f t="shared" si="4"/>
        <v>0</v>
      </c>
      <c r="P20" s="904">
        <v>2236</v>
      </c>
      <c r="Q20" s="948">
        <f t="shared" si="6"/>
        <v>1.7</v>
      </c>
      <c r="R20" s="950">
        <f t="shared" si="7"/>
        <v>131255</v>
      </c>
      <c r="S20" s="948">
        <f t="shared" si="5"/>
        <v>100</v>
      </c>
    </row>
    <row r="21" spans="1:19" ht="15.75" customHeight="1">
      <c r="A21" s="1934"/>
      <c r="B21" s="1938"/>
      <c r="C21" s="133">
        <v>1991</v>
      </c>
      <c r="D21" s="293">
        <v>102844</v>
      </c>
      <c r="E21" s="710">
        <f t="shared" si="8"/>
        <v>77.33</v>
      </c>
      <c r="F21" s="293">
        <v>29653</v>
      </c>
      <c r="G21" s="710">
        <f>IF(F21="-","-",ROUND(F21/$R21*100,2))-0.01</f>
        <v>22.29</v>
      </c>
      <c r="H21" s="293">
        <v>342</v>
      </c>
      <c r="I21" s="710">
        <f t="shared" si="1"/>
        <v>0.26</v>
      </c>
      <c r="J21" s="293">
        <v>149</v>
      </c>
      <c r="K21" s="710">
        <f t="shared" si="2"/>
        <v>0.11</v>
      </c>
      <c r="L21" s="293">
        <v>10</v>
      </c>
      <c r="M21" s="710">
        <f t="shared" si="3"/>
        <v>0.01</v>
      </c>
      <c r="N21" s="293" t="s">
        <v>1509</v>
      </c>
      <c r="O21" s="710" t="str">
        <f t="shared" si="4"/>
        <v>-</v>
      </c>
      <c r="P21" s="293">
        <v>1</v>
      </c>
      <c r="Q21" s="710">
        <f t="shared" si="6"/>
        <v>0</v>
      </c>
      <c r="R21" s="141">
        <f t="shared" si="7"/>
        <v>132999</v>
      </c>
      <c r="S21" s="710">
        <f t="shared" si="5"/>
        <v>100.00000000000001</v>
      </c>
    </row>
    <row r="22" spans="1:19" ht="15.75" customHeight="1">
      <c r="A22" s="1933">
        <v>11</v>
      </c>
      <c r="B22" s="1937" t="s">
        <v>490</v>
      </c>
      <c r="C22" s="642">
        <v>2001</v>
      </c>
      <c r="D22" s="904">
        <v>114107</v>
      </c>
      <c r="E22" s="948">
        <f t="shared" si="8"/>
        <v>50.44</v>
      </c>
      <c r="F22" s="904">
        <v>112029</v>
      </c>
      <c r="G22" s="948">
        <f t="shared" si="0"/>
        <v>49.52</v>
      </c>
      <c r="H22" s="904">
        <v>52</v>
      </c>
      <c r="I22" s="948">
        <f t="shared" si="1"/>
        <v>0.02</v>
      </c>
      <c r="J22" s="904">
        <v>1</v>
      </c>
      <c r="K22" s="948">
        <f t="shared" si="2"/>
        <v>0</v>
      </c>
      <c r="L22" s="904">
        <v>11</v>
      </c>
      <c r="M22" s="948">
        <f>IF(L22="-","-",ROUND(L22/$R22*100,2))+0.01</f>
        <v>0.01</v>
      </c>
      <c r="N22" s="904">
        <v>4</v>
      </c>
      <c r="O22" s="948">
        <f t="shared" si="4"/>
        <v>0</v>
      </c>
      <c r="P22" s="904">
        <v>32</v>
      </c>
      <c r="Q22" s="948">
        <f t="shared" si="6"/>
        <v>0.01</v>
      </c>
      <c r="R22" s="950">
        <f t="shared" si="7"/>
        <v>226236</v>
      </c>
      <c r="S22" s="948">
        <f t="shared" si="5"/>
        <v>100.00000000000001</v>
      </c>
    </row>
    <row r="23" spans="1:19" ht="15.75" customHeight="1">
      <c r="A23" s="1934"/>
      <c r="B23" s="1938"/>
      <c r="C23" s="133">
        <v>1991</v>
      </c>
      <c r="D23" s="293">
        <v>94318</v>
      </c>
      <c r="E23" s="710">
        <f>IF(D23="-","-",ROUND(D23/$R23*100,2))+0.01</f>
        <v>52.28</v>
      </c>
      <c r="F23" s="293">
        <v>86065</v>
      </c>
      <c r="G23" s="710">
        <f t="shared" si="0"/>
        <v>47.7</v>
      </c>
      <c r="H23" s="293">
        <v>25</v>
      </c>
      <c r="I23" s="710">
        <f t="shared" si="1"/>
        <v>0.01</v>
      </c>
      <c r="J23" s="293">
        <v>8</v>
      </c>
      <c r="K23" s="710">
        <f t="shared" si="2"/>
        <v>0</v>
      </c>
      <c r="L23" s="293">
        <v>3</v>
      </c>
      <c r="M23" s="710">
        <f t="shared" si="3"/>
        <v>0</v>
      </c>
      <c r="N23" s="293">
        <v>1</v>
      </c>
      <c r="O23" s="710">
        <f t="shared" si="4"/>
        <v>0</v>
      </c>
      <c r="P23" s="293">
        <v>14</v>
      </c>
      <c r="Q23" s="710">
        <f t="shared" si="6"/>
        <v>0.01</v>
      </c>
      <c r="R23" s="141">
        <f t="shared" si="7"/>
        <v>180434</v>
      </c>
      <c r="S23" s="710">
        <f t="shared" si="5"/>
        <v>100.00000000000001</v>
      </c>
    </row>
    <row r="24" spans="1:19" ht="15.75" customHeight="1">
      <c r="A24" s="1933">
        <v>12</v>
      </c>
      <c r="B24" s="1937" t="s">
        <v>580</v>
      </c>
      <c r="C24" s="642">
        <v>2001</v>
      </c>
      <c r="D24" s="904">
        <v>122657</v>
      </c>
      <c r="E24" s="948">
        <f t="shared" si="8"/>
        <v>57.28</v>
      </c>
      <c r="F24" s="904">
        <v>91384</v>
      </c>
      <c r="G24" s="948">
        <f t="shared" si="0"/>
        <v>42.68</v>
      </c>
      <c r="H24" s="904">
        <v>5</v>
      </c>
      <c r="I24" s="948">
        <f t="shared" si="1"/>
        <v>0</v>
      </c>
      <c r="J24" s="904">
        <v>8</v>
      </c>
      <c r="K24" s="948">
        <f>IF(J24="-","-",ROUND(J24/$R24*100,2))+0.01</f>
        <v>0.01</v>
      </c>
      <c r="L24" s="904">
        <v>1</v>
      </c>
      <c r="M24" s="948">
        <f t="shared" si="3"/>
        <v>0</v>
      </c>
      <c r="N24" s="904">
        <v>6</v>
      </c>
      <c r="O24" s="948">
        <f t="shared" si="4"/>
        <v>0</v>
      </c>
      <c r="P24" s="904">
        <v>66</v>
      </c>
      <c r="Q24" s="948">
        <f t="shared" si="6"/>
        <v>0.03</v>
      </c>
      <c r="R24" s="950">
        <f t="shared" si="7"/>
        <v>214127</v>
      </c>
      <c r="S24" s="948">
        <f t="shared" si="5"/>
        <v>100.00000000000001</v>
      </c>
    </row>
    <row r="25" spans="1:19" ht="15.75" customHeight="1">
      <c r="A25" s="1934"/>
      <c r="B25" s="1938"/>
      <c r="C25" s="133">
        <v>1991</v>
      </c>
      <c r="D25" s="293">
        <v>106638</v>
      </c>
      <c r="E25" s="710">
        <f t="shared" si="8"/>
        <v>60.05</v>
      </c>
      <c r="F25" s="293">
        <v>70896</v>
      </c>
      <c r="G25" s="710">
        <f t="shared" si="0"/>
        <v>39.93</v>
      </c>
      <c r="H25" s="293">
        <v>1</v>
      </c>
      <c r="I25" s="710">
        <f t="shared" si="1"/>
        <v>0</v>
      </c>
      <c r="J25" s="293" t="s">
        <v>1509</v>
      </c>
      <c r="K25" s="710" t="str">
        <f t="shared" si="2"/>
        <v>-</v>
      </c>
      <c r="L25" s="293" t="s">
        <v>1509</v>
      </c>
      <c r="M25" s="710" t="str">
        <f t="shared" si="3"/>
        <v>-</v>
      </c>
      <c r="N25" s="293" t="s">
        <v>1509</v>
      </c>
      <c r="O25" s="710" t="str">
        <f t="shared" si="4"/>
        <v>-</v>
      </c>
      <c r="P25" s="293">
        <v>37</v>
      </c>
      <c r="Q25" s="710">
        <f t="shared" si="6"/>
        <v>0.02</v>
      </c>
      <c r="R25" s="141">
        <f t="shared" si="7"/>
        <v>177572</v>
      </c>
      <c r="S25" s="710">
        <f t="shared" si="5"/>
        <v>99.999999999999986</v>
      </c>
    </row>
    <row r="26" spans="1:19" ht="23.25" customHeight="1">
      <c r="A26" s="1933" t="s">
        <v>971</v>
      </c>
      <c r="B26" s="1944" t="s">
        <v>1056</v>
      </c>
      <c r="C26" s="642">
        <v>2001</v>
      </c>
      <c r="D26" s="289">
        <v>252802</v>
      </c>
      <c r="E26" s="469">
        <f t="shared" si="8"/>
        <v>31.34</v>
      </c>
      <c r="F26" s="289">
        <v>553251</v>
      </c>
      <c r="G26" s="469">
        <f t="shared" si="0"/>
        <v>68.58</v>
      </c>
      <c r="H26" s="289">
        <v>205</v>
      </c>
      <c r="I26" s="469">
        <f>IF(H26="-","-",ROUND(H26/$R26*100,2))-0.01</f>
        <v>1.9999999999999997E-2</v>
      </c>
      <c r="J26" s="289">
        <v>45</v>
      </c>
      <c r="K26" s="469">
        <f t="shared" si="2"/>
        <v>0.01</v>
      </c>
      <c r="L26" s="289">
        <v>25</v>
      </c>
      <c r="M26" s="469">
        <f>IF(L26="-","-",ROUND(L26/$R26*100,2))</f>
        <v>0</v>
      </c>
      <c r="N26" s="289">
        <v>96</v>
      </c>
      <c r="O26" s="469">
        <f t="shared" si="4"/>
        <v>0.01</v>
      </c>
      <c r="P26" s="289">
        <v>293</v>
      </c>
      <c r="Q26" s="469">
        <f t="shared" si="6"/>
        <v>0.04</v>
      </c>
      <c r="R26" s="290">
        <f t="shared" si="7"/>
        <v>806717</v>
      </c>
      <c r="S26" s="469">
        <f t="shared" si="5"/>
        <v>100.00000000000001</v>
      </c>
    </row>
    <row r="27" spans="1:19" ht="22.5" customHeight="1">
      <c r="A27" s="1934"/>
      <c r="B27" s="1942"/>
      <c r="C27" s="133">
        <v>1991</v>
      </c>
      <c r="D27" s="293">
        <v>206836</v>
      </c>
      <c r="E27" s="710">
        <f t="shared" si="8"/>
        <v>33.229999999999997</v>
      </c>
      <c r="F27" s="293">
        <v>415383</v>
      </c>
      <c r="G27" s="710">
        <f t="shared" si="0"/>
        <v>66.739999999999995</v>
      </c>
      <c r="H27" s="293">
        <v>58</v>
      </c>
      <c r="I27" s="710">
        <f t="shared" si="1"/>
        <v>0.01</v>
      </c>
      <c r="J27" s="293">
        <v>2</v>
      </c>
      <c r="K27" s="710">
        <f t="shared" si="2"/>
        <v>0</v>
      </c>
      <c r="L27" s="293">
        <v>2</v>
      </c>
      <c r="M27" s="710">
        <f t="shared" si="3"/>
        <v>0</v>
      </c>
      <c r="N27" s="293">
        <v>57</v>
      </c>
      <c r="O27" s="710">
        <f t="shared" si="4"/>
        <v>0.01</v>
      </c>
      <c r="P27" s="293">
        <v>41</v>
      </c>
      <c r="Q27" s="710">
        <f t="shared" si="6"/>
        <v>0.01</v>
      </c>
      <c r="R27" s="141">
        <f t="shared" si="7"/>
        <v>622379</v>
      </c>
      <c r="S27" s="710">
        <f t="shared" si="5"/>
        <v>100.00000000000001</v>
      </c>
    </row>
    <row r="28" spans="1:19" ht="13.5">
      <c r="A28" s="679"/>
      <c r="B28" s="552"/>
      <c r="C28" s="88"/>
      <c r="D28" s="89"/>
      <c r="E28" s="90"/>
      <c r="F28" s="89"/>
      <c r="G28" s="90"/>
      <c r="H28" s="89"/>
      <c r="I28" s="90"/>
      <c r="J28" s="89"/>
      <c r="K28" s="90"/>
      <c r="L28" s="89"/>
      <c r="M28" s="90"/>
      <c r="O28" s="288"/>
      <c r="P28" s="287"/>
      <c r="Q28" s="288"/>
      <c r="R28" s="46"/>
      <c r="S28" s="930" t="s">
        <v>1022</v>
      </c>
    </row>
    <row r="29" spans="1:19" ht="13.5">
      <c r="A29" s="87"/>
      <c r="B29" s="552"/>
      <c r="C29" s="88"/>
      <c r="D29" s="89"/>
      <c r="E29" s="90"/>
      <c r="F29" s="89"/>
      <c r="G29" s="90"/>
      <c r="H29" s="89"/>
      <c r="I29" s="90"/>
      <c r="J29" s="89"/>
      <c r="K29" s="90"/>
      <c r="L29" s="89"/>
      <c r="M29" s="90"/>
      <c r="N29" s="89"/>
      <c r="O29" s="90"/>
      <c r="P29" s="89"/>
      <c r="Q29" s="90"/>
      <c r="R29" s="46"/>
      <c r="S29" s="90"/>
    </row>
    <row r="30" spans="1:19" ht="13.5">
      <c r="A30" s="87"/>
      <c r="B30" s="552"/>
      <c r="C30" s="88"/>
      <c r="D30" s="89"/>
      <c r="E30" s="90"/>
      <c r="F30" s="89"/>
      <c r="G30" s="90"/>
      <c r="H30" s="89"/>
      <c r="I30" s="90"/>
      <c r="J30" s="89"/>
      <c r="K30" s="90"/>
      <c r="L30" s="89"/>
      <c r="M30" s="90"/>
      <c r="N30" s="89"/>
      <c r="O30" s="90"/>
      <c r="P30" s="89"/>
      <c r="Q30" s="90"/>
      <c r="R30" s="46"/>
      <c r="S30" s="90"/>
    </row>
    <row r="31" spans="1:19" ht="13.5">
      <c r="A31" s="87"/>
      <c r="B31" s="552"/>
      <c r="C31" s="88"/>
      <c r="D31" s="89"/>
      <c r="E31" s="90"/>
      <c r="F31" s="89"/>
      <c r="G31" s="90"/>
      <c r="H31" s="89"/>
      <c r="I31" s="90"/>
      <c r="J31" s="89"/>
      <c r="K31" s="90"/>
      <c r="L31" s="89"/>
      <c r="M31" s="90"/>
      <c r="N31" s="89"/>
      <c r="O31" s="90"/>
      <c r="P31" s="89"/>
      <c r="Q31" s="90"/>
      <c r="R31" s="46"/>
      <c r="S31" s="90"/>
    </row>
    <row r="32" spans="1:19" ht="13.5">
      <c r="A32" s="87"/>
      <c r="B32" s="552"/>
      <c r="C32" s="88"/>
      <c r="D32" s="89"/>
      <c r="E32" s="90"/>
      <c r="F32" s="89"/>
      <c r="G32" s="90"/>
      <c r="H32" s="89"/>
      <c r="I32" s="90"/>
      <c r="J32" s="89"/>
      <c r="K32" s="90"/>
      <c r="L32" s="89"/>
      <c r="M32" s="90"/>
      <c r="N32" s="89"/>
      <c r="O32" s="90"/>
      <c r="P32" s="89"/>
      <c r="Q32" s="90"/>
      <c r="R32" s="46"/>
      <c r="S32" s="90"/>
    </row>
    <row r="33" spans="1:19" ht="13.5">
      <c r="A33" s="87"/>
      <c r="B33" s="552"/>
      <c r="C33" s="88"/>
      <c r="D33" s="89"/>
      <c r="E33" s="90"/>
      <c r="F33" s="89"/>
      <c r="G33" s="90"/>
      <c r="H33" s="89"/>
      <c r="I33" s="90"/>
      <c r="J33" s="89"/>
      <c r="K33" s="90"/>
      <c r="L33" s="89"/>
      <c r="M33" s="90"/>
      <c r="N33" s="89"/>
      <c r="O33" s="90"/>
      <c r="P33" s="89"/>
      <c r="Q33" s="90"/>
      <c r="R33" s="46"/>
      <c r="S33" s="90"/>
    </row>
    <row r="34" spans="1:19" ht="13.5">
      <c r="A34" s="87"/>
      <c r="B34" s="552"/>
      <c r="C34" s="88"/>
      <c r="D34" s="89"/>
      <c r="E34" s="90"/>
      <c r="F34" s="89"/>
      <c r="G34" s="90"/>
      <c r="H34" s="89"/>
      <c r="I34" s="90"/>
      <c r="J34" s="89"/>
      <c r="K34" s="90"/>
      <c r="L34" s="89"/>
      <c r="M34" s="90"/>
      <c r="N34" s="89"/>
      <c r="O34" s="90"/>
      <c r="P34" s="89"/>
      <c r="Q34" s="90"/>
      <c r="R34" s="46"/>
      <c r="S34" s="90"/>
    </row>
    <row r="35" spans="1:19" ht="13.5">
      <c r="A35" s="87"/>
      <c r="B35" s="552"/>
      <c r="C35" s="88"/>
      <c r="D35" s="89"/>
      <c r="E35" s="90"/>
      <c r="F35" s="89"/>
      <c r="G35" s="90"/>
      <c r="H35" s="89"/>
      <c r="I35" s="90"/>
      <c r="J35" s="89"/>
      <c r="K35" s="90"/>
      <c r="L35" s="89"/>
      <c r="M35" s="90"/>
      <c r="N35" s="89"/>
      <c r="O35" s="90"/>
      <c r="P35" s="89"/>
      <c r="Q35" s="90"/>
      <c r="R35" s="46"/>
      <c r="S35" s="90"/>
    </row>
    <row r="36" spans="1:19" ht="13.5">
      <c r="A36" s="87"/>
      <c r="B36" s="552"/>
      <c r="C36" s="88"/>
      <c r="D36" s="89"/>
      <c r="E36" s="90"/>
      <c r="F36" s="89"/>
      <c r="G36" s="90"/>
      <c r="H36" s="89"/>
      <c r="I36" s="90"/>
      <c r="J36" s="89"/>
      <c r="K36" s="90"/>
      <c r="L36" s="89"/>
      <c r="M36" s="90"/>
      <c r="N36" s="89"/>
      <c r="O36" s="90"/>
      <c r="P36" s="89"/>
      <c r="Q36" s="90"/>
      <c r="R36" s="46"/>
      <c r="S36" s="90"/>
    </row>
    <row r="37" spans="1:19" ht="13.5">
      <c r="A37" s="87"/>
      <c r="B37" s="552"/>
      <c r="C37" s="88"/>
      <c r="D37" s="89"/>
      <c r="E37" s="90"/>
      <c r="F37" s="89"/>
      <c r="G37" s="90"/>
      <c r="H37" s="89"/>
      <c r="I37" s="90"/>
      <c r="J37" s="89"/>
      <c r="K37" s="90"/>
      <c r="L37" s="89"/>
      <c r="M37" s="90"/>
      <c r="N37" s="89"/>
      <c r="O37" s="90"/>
      <c r="P37" s="89"/>
      <c r="Q37" s="90"/>
      <c r="R37" s="46"/>
      <c r="S37" s="90"/>
    </row>
    <row r="38" spans="1:19" ht="13.5">
      <c r="A38" s="87"/>
      <c r="B38" s="552"/>
      <c r="C38" s="88"/>
      <c r="D38" s="89"/>
      <c r="E38" s="90"/>
      <c r="F38" s="89"/>
      <c r="G38" s="90"/>
      <c r="H38" s="89"/>
      <c r="I38" s="90"/>
      <c r="J38" s="89"/>
      <c r="K38" s="90"/>
      <c r="L38" s="89"/>
      <c r="M38" s="90"/>
      <c r="N38" s="89"/>
      <c r="O38" s="90"/>
      <c r="P38" s="89"/>
      <c r="Q38" s="90"/>
      <c r="R38" s="46"/>
      <c r="S38" s="90"/>
    </row>
    <row r="39" spans="1:19" ht="13.5">
      <c r="A39" s="87"/>
      <c r="B39" s="552"/>
      <c r="C39" s="88"/>
      <c r="D39" s="89"/>
      <c r="E39" s="90"/>
      <c r="F39" s="89"/>
      <c r="G39" s="90"/>
      <c r="H39" s="89"/>
      <c r="I39" s="90"/>
      <c r="J39" s="89"/>
      <c r="K39" s="90"/>
      <c r="L39" s="89"/>
      <c r="M39" s="90"/>
      <c r="N39" s="89"/>
      <c r="O39" s="90"/>
      <c r="P39" s="89"/>
      <c r="Q39" s="90"/>
      <c r="R39" s="46"/>
      <c r="S39" s="90"/>
    </row>
    <row r="40" spans="1:19" ht="13.5">
      <c r="A40" s="87"/>
      <c r="B40" s="552"/>
      <c r="C40" s="88"/>
      <c r="D40" s="89"/>
      <c r="E40" s="90"/>
      <c r="F40" s="89"/>
      <c r="G40" s="90"/>
      <c r="H40" s="89"/>
      <c r="I40" s="90"/>
      <c r="J40" s="89"/>
      <c r="K40" s="90"/>
      <c r="L40" s="89"/>
      <c r="M40" s="90"/>
      <c r="N40" s="89"/>
      <c r="O40" s="90"/>
      <c r="P40" s="89"/>
      <c r="Q40" s="90"/>
      <c r="R40" s="46"/>
      <c r="S40" s="90"/>
    </row>
    <row r="41" spans="1:19" ht="13.5">
      <c r="A41" s="87"/>
      <c r="B41" s="552"/>
      <c r="C41" s="88"/>
      <c r="D41" s="89"/>
      <c r="E41" s="90"/>
      <c r="F41" s="89"/>
      <c r="G41" s="90"/>
      <c r="H41" s="89"/>
      <c r="I41" s="90"/>
      <c r="J41" s="89"/>
      <c r="K41" s="90"/>
      <c r="L41" s="89"/>
      <c r="M41" s="90"/>
      <c r="N41" s="89"/>
      <c r="O41" s="90"/>
      <c r="P41" s="89"/>
      <c r="Q41" s="90"/>
      <c r="R41" s="46"/>
      <c r="S41" s="90"/>
    </row>
    <row r="42" spans="1:19" ht="13.5">
      <c r="A42" s="87"/>
      <c r="B42" s="552"/>
      <c r="C42" s="88"/>
      <c r="D42" s="89"/>
      <c r="E42" s="90"/>
      <c r="F42" s="89"/>
      <c r="G42" s="90"/>
      <c r="H42" s="89"/>
      <c r="I42" s="90"/>
      <c r="J42" s="89"/>
      <c r="K42" s="90"/>
      <c r="L42" s="89"/>
      <c r="M42" s="90"/>
      <c r="N42" s="89"/>
      <c r="O42" s="90"/>
      <c r="P42" s="89"/>
      <c r="Q42" s="90"/>
      <c r="R42" s="46"/>
      <c r="S42" s="90"/>
    </row>
    <row r="43" spans="1:19" ht="13.5">
      <c r="A43" s="87"/>
      <c r="B43" s="552"/>
      <c r="C43" s="88"/>
      <c r="D43" s="89"/>
      <c r="E43" s="90"/>
      <c r="F43" s="89"/>
      <c r="G43" s="90"/>
      <c r="H43" s="89"/>
      <c r="I43" s="90"/>
      <c r="J43" s="89"/>
      <c r="K43" s="90"/>
      <c r="L43" s="89"/>
      <c r="M43" s="90"/>
      <c r="N43" s="89"/>
      <c r="O43" s="90"/>
      <c r="P43" s="89"/>
      <c r="Q43" s="90"/>
      <c r="R43" s="46"/>
      <c r="S43" s="90"/>
    </row>
    <row r="44" spans="1:19" ht="13.5">
      <c r="A44" s="87"/>
      <c r="B44" s="552"/>
      <c r="C44" s="88"/>
      <c r="D44" s="89"/>
      <c r="E44" s="90"/>
      <c r="F44" s="89"/>
      <c r="G44" s="90"/>
      <c r="H44" s="89"/>
      <c r="I44" s="90"/>
      <c r="J44" s="89"/>
      <c r="K44" s="90"/>
      <c r="L44" s="89"/>
      <c r="M44" s="90"/>
      <c r="N44" s="89"/>
      <c r="O44" s="90"/>
      <c r="P44" s="89"/>
      <c r="Q44" s="90"/>
      <c r="R44" s="46"/>
      <c r="S44" s="90"/>
    </row>
    <row r="45" spans="1:19" ht="13.5">
      <c r="A45" s="87"/>
      <c r="B45" s="552"/>
      <c r="C45" s="88"/>
      <c r="D45" s="89"/>
      <c r="E45" s="90"/>
      <c r="F45" s="89"/>
      <c r="G45" s="90"/>
      <c r="H45" s="89"/>
      <c r="I45" s="90"/>
      <c r="J45" s="89"/>
      <c r="K45" s="90"/>
      <c r="L45" s="89"/>
      <c r="M45" s="90"/>
      <c r="N45" s="89"/>
      <c r="O45" s="90"/>
      <c r="P45" s="89"/>
      <c r="Q45" s="90"/>
      <c r="R45" s="46"/>
      <c r="S45" s="90"/>
    </row>
    <row r="46" spans="1:19" ht="13.5">
      <c r="A46" s="87"/>
      <c r="B46" s="552"/>
      <c r="C46" s="88"/>
      <c r="D46" s="89"/>
      <c r="E46" s="90"/>
      <c r="F46" s="89"/>
      <c r="G46" s="90"/>
      <c r="H46" s="89"/>
      <c r="I46" s="90"/>
      <c r="J46" s="89"/>
      <c r="K46" s="90"/>
      <c r="L46" s="89"/>
      <c r="M46" s="90"/>
      <c r="N46" s="89"/>
      <c r="O46" s="90"/>
      <c r="P46" s="89"/>
      <c r="Q46" s="90"/>
      <c r="R46" s="46"/>
      <c r="S46" s="90"/>
    </row>
    <row r="47" spans="1:19" ht="13.5">
      <c r="A47" s="87"/>
      <c r="B47" s="552"/>
      <c r="C47" s="88"/>
      <c r="D47" s="89"/>
      <c r="E47" s="90"/>
      <c r="F47" s="89"/>
      <c r="G47" s="90"/>
      <c r="H47" s="89"/>
      <c r="I47" s="90"/>
      <c r="J47" s="89"/>
      <c r="K47" s="90"/>
      <c r="L47" s="89"/>
      <c r="M47" s="90"/>
      <c r="N47" s="89"/>
      <c r="O47" s="90"/>
      <c r="P47" s="89"/>
      <c r="Q47" s="90"/>
      <c r="R47" s="46"/>
      <c r="S47" s="90"/>
    </row>
    <row r="48" spans="1:19" ht="13.5">
      <c r="A48" s="87"/>
      <c r="B48" s="552"/>
      <c r="C48" s="88"/>
      <c r="D48" s="89"/>
      <c r="E48" s="90"/>
      <c r="F48" s="89"/>
      <c r="G48" s="90"/>
      <c r="H48" s="89"/>
      <c r="I48" s="90"/>
      <c r="J48" s="89"/>
      <c r="K48" s="90"/>
      <c r="L48" s="89"/>
      <c r="M48" s="90"/>
      <c r="N48" s="89"/>
      <c r="O48" s="90"/>
      <c r="P48" s="89"/>
      <c r="Q48" s="90"/>
      <c r="R48" s="46"/>
      <c r="S48" s="90"/>
    </row>
    <row r="49" spans="1:19" ht="13.5">
      <c r="A49" s="87"/>
      <c r="B49" s="552"/>
      <c r="C49" s="88"/>
      <c r="D49" s="89"/>
      <c r="E49" s="90"/>
      <c r="F49" s="89"/>
      <c r="G49" s="90"/>
      <c r="H49" s="89"/>
      <c r="I49" s="90"/>
      <c r="J49" s="89"/>
      <c r="K49" s="90"/>
      <c r="L49" s="89"/>
      <c r="M49" s="90"/>
      <c r="N49" s="89"/>
      <c r="O49" s="90"/>
      <c r="P49" s="89"/>
      <c r="Q49" s="90"/>
      <c r="R49" s="46"/>
      <c r="S49" s="90"/>
    </row>
    <row r="50" spans="1:19" ht="13.5">
      <c r="A50" s="87"/>
      <c r="B50" s="552"/>
      <c r="C50" s="88"/>
      <c r="D50" s="89"/>
      <c r="E50" s="90"/>
      <c r="F50" s="89"/>
      <c r="G50" s="90"/>
      <c r="H50" s="89"/>
      <c r="I50" s="90"/>
      <c r="J50" s="89"/>
      <c r="K50" s="90"/>
      <c r="L50" s="89"/>
      <c r="M50" s="90"/>
      <c r="N50" s="89"/>
      <c r="O50" s="90"/>
      <c r="P50" s="89"/>
      <c r="Q50" s="90"/>
      <c r="R50" s="46"/>
      <c r="S50" s="90"/>
    </row>
    <row r="51" spans="1:19" ht="13.5">
      <c r="A51" s="87"/>
      <c r="B51" s="552"/>
      <c r="C51" s="88"/>
      <c r="D51" s="89"/>
      <c r="E51" s="90"/>
      <c r="F51" s="89"/>
      <c r="G51" s="90"/>
      <c r="H51" s="89"/>
      <c r="I51" s="90"/>
      <c r="J51" s="89"/>
      <c r="K51" s="90"/>
      <c r="L51" s="89"/>
      <c r="M51" s="90"/>
      <c r="N51" s="89"/>
      <c r="O51" s="90"/>
      <c r="P51" s="89"/>
      <c r="Q51" s="90"/>
      <c r="R51" s="46"/>
      <c r="S51" s="90"/>
    </row>
    <row r="52" spans="1:19" ht="13.5">
      <c r="A52" s="87"/>
      <c r="B52" s="552"/>
      <c r="C52" s="88"/>
      <c r="D52" s="89"/>
      <c r="E52" s="90"/>
      <c r="F52" s="89"/>
      <c r="G52" s="90"/>
      <c r="H52" s="89"/>
      <c r="I52" s="90"/>
      <c r="J52" s="89"/>
      <c r="K52" s="90"/>
      <c r="L52" s="89"/>
      <c r="M52" s="90"/>
      <c r="N52" s="89"/>
      <c r="O52" s="90"/>
      <c r="P52" s="89"/>
      <c r="Q52" s="90"/>
      <c r="R52" s="46"/>
      <c r="S52" s="90"/>
    </row>
    <row r="53" spans="1:19" ht="13.5">
      <c r="A53" s="87"/>
      <c r="B53" s="552"/>
      <c r="C53" s="88"/>
      <c r="D53" s="89"/>
      <c r="E53" s="90"/>
      <c r="F53" s="89"/>
      <c r="G53" s="90"/>
      <c r="H53" s="89"/>
      <c r="I53" s="90"/>
      <c r="J53" s="89"/>
      <c r="K53" s="90"/>
      <c r="L53" s="89"/>
      <c r="M53" s="90"/>
      <c r="N53" s="89"/>
      <c r="O53" s="90"/>
      <c r="P53" s="89"/>
      <c r="Q53" s="90"/>
      <c r="R53" s="46"/>
      <c r="S53" s="90"/>
    </row>
    <row r="54" spans="1:19" ht="13.5">
      <c r="A54" s="87"/>
      <c r="B54" s="552"/>
      <c r="C54" s="88"/>
      <c r="D54" s="89"/>
      <c r="E54" s="90"/>
      <c r="F54" s="89"/>
      <c r="G54" s="90"/>
      <c r="H54" s="89"/>
      <c r="I54" s="90"/>
      <c r="J54" s="89"/>
      <c r="K54" s="90"/>
      <c r="L54" s="89"/>
      <c r="M54" s="90"/>
      <c r="N54" s="89"/>
      <c r="O54" s="90"/>
      <c r="P54" s="89"/>
      <c r="Q54" s="90"/>
      <c r="R54" s="46"/>
      <c r="S54" s="90"/>
    </row>
    <row r="55" spans="1:19" ht="13.5">
      <c r="A55" s="87"/>
      <c r="B55" s="552"/>
      <c r="C55" s="88"/>
      <c r="D55" s="89"/>
      <c r="E55" s="90"/>
      <c r="F55" s="89"/>
      <c r="G55" s="90"/>
      <c r="H55" s="89"/>
      <c r="I55" s="90"/>
      <c r="J55" s="89"/>
      <c r="K55" s="90"/>
      <c r="L55" s="89"/>
      <c r="M55" s="90"/>
      <c r="N55" s="89"/>
      <c r="O55" s="90"/>
      <c r="P55" s="89"/>
      <c r="Q55" s="90"/>
      <c r="R55" s="46"/>
      <c r="S55" s="90"/>
    </row>
    <row r="56" spans="1:19" ht="13.5">
      <c r="A56" s="87"/>
      <c r="B56" s="552"/>
      <c r="C56" s="88"/>
      <c r="D56" s="89"/>
      <c r="E56" s="90"/>
      <c r="F56" s="89"/>
      <c r="G56" s="90"/>
      <c r="H56" s="89"/>
      <c r="I56" s="90"/>
      <c r="J56" s="89"/>
      <c r="K56" s="90"/>
      <c r="L56" s="89"/>
      <c r="M56" s="90"/>
      <c r="N56" s="89"/>
      <c r="O56" s="90"/>
      <c r="P56" s="89"/>
      <c r="Q56" s="90"/>
      <c r="R56" s="46"/>
      <c r="S56" s="90"/>
    </row>
    <row r="57" spans="1:19" ht="13.5">
      <c r="A57" s="87"/>
      <c r="B57" s="552"/>
      <c r="C57" s="88"/>
      <c r="D57" s="89"/>
      <c r="E57" s="90"/>
      <c r="F57" s="89"/>
      <c r="G57" s="90"/>
      <c r="H57" s="89"/>
      <c r="I57" s="90"/>
      <c r="J57" s="89"/>
      <c r="K57" s="90"/>
      <c r="L57" s="89"/>
      <c r="M57" s="90"/>
      <c r="N57" s="89"/>
      <c r="O57" s="90"/>
      <c r="P57" s="89"/>
      <c r="Q57" s="90"/>
      <c r="R57" s="46"/>
      <c r="S57" s="90"/>
    </row>
    <row r="58" spans="1:19" ht="13.5">
      <c r="A58" s="87"/>
      <c r="B58" s="552"/>
      <c r="C58" s="88"/>
      <c r="D58" s="89"/>
      <c r="E58" s="90"/>
      <c r="F58" s="89"/>
      <c r="G58" s="90"/>
      <c r="H58" s="89"/>
      <c r="I58" s="90"/>
      <c r="J58" s="89"/>
      <c r="K58" s="90"/>
      <c r="L58" s="89"/>
      <c r="M58" s="90"/>
      <c r="N58" s="89"/>
      <c r="O58" s="90"/>
      <c r="P58" s="89"/>
      <c r="Q58" s="90"/>
      <c r="R58" s="46"/>
      <c r="S58" s="90"/>
    </row>
    <row r="59" spans="1:19" ht="13.5">
      <c r="A59" s="87"/>
      <c r="B59" s="552"/>
      <c r="C59" s="88"/>
      <c r="D59" s="89"/>
      <c r="E59" s="90"/>
      <c r="F59" s="89"/>
      <c r="G59" s="90"/>
      <c r="H59" s="89"/>
      <c r="I59" s="90"/>
      <c r="J59" s="89"/>
      <c r="K59" s="90"/>
      <c r="L59" s="89"/>
      <c r="M59" s="90"/>
      <c r="N59" s="89"/>
      <c r="O59" s="90"/>
      <c r="P59" s="89"/>
      <c r="Q59" s="90"/>
      <c r="R59" s="46"/>
      <c r="S59" s="90"/>
    </row>
    <row r="60" spans="1:19" ht="13.5">
      <c r="A60" s="87"/>
      <c r="B60" s="552"/>
      <c r="C60" s="88"/>
      <c r="D60" s="89"/>
      <c r="E60" s="90"/>
      <c r="F60" s="89"/>
      <c r="G60" s="90"/>
      <c r="H60" s="89"/>
      <c r="I60" s="90"/>
      <c r="J60" s="89"/>
      <c r="K60" s="90"/>
      <c r="L60" s="89"/>
      <c r="M60" s="90"/>
      <c r="N60" s="89"/>
      <c r="O60" s="90"/>
      <c r="P60" s="89"/>
      <c r="Q60" s="90"/>
      <c r="R60" s="46"/>
      <c r="S60" s="90"/>
    </row>
    <row r="61" spans="1:19" ht="13.5">
      <c r="A61" s="87"/>
      <c r="B61" s="552"/>
      <c r="C61" s="88"/>
      <c r="D61" s="89"/>
      <c r="E61" s="90"/>
      <c r="F61" s="89"/>
      <c r="G61" s="90"/>
      <c r="H61" s="89"/>
      <c r="I61" s="90"/>
      <c r="J61" s="89"/>
      <c r="K61" s="90"/>
      <c r="L61" s="89"/>
      <c r="M61" s="90"/>
      <c r="N61" s="89"/>
      <c r="O61" s="90"/>
      <c r="P61" s="89"/>
      <c r="Q61" s="90"/>
      <c r="R61" s="46"/>
      <c r="S61" s="90"/>
    </row>
    <row r="62" spans="1:19" ht="13.5">
      <c r="A62" s="87"/>
      <c r="B62" s="552"/>
      <c r="C62" s="88"/>
      <c r="D62" s="89"/>
      <c r="E62" s="90"/>
      <c r="F62" s="89"/>
      <c r="G62" s="90"/>
      <c r="H62" s="89"/>
      <c r="I62" s="90"/>
      <c r="J62" s="89"/>
      <c r="K62" s="90"/>
      <c r="L62" s="89"/>
      <c r="M62" s="90"/>
      <c r="N62" s="89"/>
      <c r="O62" s="90"/>
      <c r="P62" s="89"/>
      <c r="Q62" s="90"/>
      <c r="R62" s="46"/>
      <c r="S62" s="90"/>
    </row>
    <row r="63" spans="1:19" ht="13.5">
      <c r="A63" s="87"/>
      <c r="B63" s="552"/>
      <c r="C63" s="88"/>
      <c r="D63" s="89"/>
      <c r="E63" s="90"/>
      <c r="F63" s="89"/>
      <c r="G63" s="90"/>
      <c r="H63" s="89"/>
      <c r="I63" s="90"/>
      <c r="J63" s="89"/>
      <c r="K63" s="90"/>
      <c r="L63" s="89"/>
      <c r="M63" s="90"/>
      <c r="N63" s="89"/>
      <c r="O63" s="90"/>
      <c r="P63" s="89"/>
      <c r="Q63" s="90"/>
      <c r="R63" s="46"/>
      <c r="S63" s="90"/>
    </row>
    <row r="64" spans="1:19" ht="13.5">
      <c r="A64" s="87"/>
      <c r="B64" s="552"/>
      <c r="C64" s="88"/>
      <c r="D64" s="89"/>
      <c r="E64" s="90"/>
      <c r="F64" s="89"/>
      <c r="G64" s="90"/>
      <c r="H64" s="89"/>
      <c r="I64" s="90"/>
      <c r="J64" s="89"/>
      <c r="K64" s="90"/>
      <c r="L64" s="89"/>
      <c r="M64" s="90"/>
      <c r="N64" s="89"/>
      <c r="O64" s="90"/>
      <c r="P64" s="89"/>
      <c r="Q64" s="90"/>
      <c r="R64" s="46"/>
      <c r="S64" s="90"/>
    </row>
    <row r="65" spans="1:19" ht="13.5">
      <c r="A65" s="87"/>
      <c r="B65" s="552"/>
      <c r="C65" s="88"/>
      <c r="D65" s="89"/>
      <c r="E65" s="90"/>
      <c r="F65" s="89"/>
      <c r="G65" s="90"/>
      <c r="H65" s="89"/>
      <c r="I65" s="90"/>
      <c r="J65" s="89"/>
      <c r="K65" s="90"/>
      <c r="L65" s="89"/>
      <c r="M65" s="90"/>
      <c r="N65" s="89"/>
      <c r="O65" s="90"/>
      <c r="P65" s="89"/>
      <c r="Q65" s="90"/>
      <c r="R65" s="46"/>
      <c r="S65" s="90"/>
    </row>
    <row r="66" spans="1:19" ht="13.5">
      <c r="A66" s="87"/>
      <c r="B66" s="552"/>
      <c r="C66" s="88"/>
      <c r="D66" s="89"/>
      <c r="E66" s="90"/>
      <c r="F66" s="89"/>
      <c r="G66" s="90"/>
      <c r="H66" s="89"/>
      <c r="I66" s="90"/>
      <c r="J66" s="89"/>
      <c r="K66" s="90"/>
      <c r="L66" s="89"/>
      <c r="M66" s="90"/>
      <c r="N66" s="89"/>
      <c r="O66" s="90"/>
      <c r="P66" s="89"/>
      <c r="Q66" s="90"/>
      <c r="R66" s="46"/>
      <c r="S66" s="90"/>
    </row>
    <row r="67" spans="1:19" ht="13.5">
      <c r="A67" s="87"/>
      <c r="B67" s="552"/>
      <c r="C67" s="88"/>
      <c r="D67" s="89"/>
      <c r="E67" s="90"/>
      <c r="F67" s="89"/>
      <c r="G67" s="90"/>
      <c r="H67" s="89"/>
      <c r="I67" s="90"/>
      <c r="J67" s="89"/>
      <c r="K67" s="90"/>
      <c r="L67" s="89"/>
      <c r="M67" s="90"/>
      <c r="N67" s="89"/>
      <c r="O67" s="90"/>
      <c r="P67" s="89"/>
      <c r="Q67" s="90"/>
      <c r="R67" s="46"/>
      <c r="S67" s="90"/>
    </row>
    <row r="68" spans="1:19" ht="13.5">
      <c r="A68" s="87"/>
      <c r="B68" s="552"/>
      <c r="C68" s="88"/>
      <c r="D68" s="89"/>
      <c r="E68" s="90"/>
      <c r="F68" s="89"/>
      <c r="G68" s="90"/>
      <c r="H68" s="89"/>
      <c r="I68" s="90"/>
      <c r="J68" s="89"/>
      <c r="K68" s="90"/>
      <c r="L68" s="89"/>
      <c r="M68" s="90"/>
      <c r="N68" s="89"/>
      <c r="O68" s="90"/>
      <c r="P68" s="89"/>
      <c r="Q68" s="90"/>
      <c r="R68" s="46"/>
      <c r="S68" s="90"/>
    </row>
    <row r="69" spans="1:19" ht="13.5">
      <c r="A69" s="87"/>
      <c r="B69" s="553"/>
      <c r="C69" s="88"/>
      <c r="D69" s="46"/>
      <c r="E69" s="90"/>
      <c r="F69" s="46"/>
      <c r="G69" s="90"/>
      <c r="H69" s="46"/>
      <c r="I69" s="90"/>
      <c r="J69" s="46"/>
      <c r="K69" s="90"/>
      <c r="L69" s="46"/>
      <c r="M69" s="90"/>
      <c r="N69" s="46"/>
      <c r="O69" s="90"/>
      <c r="P69" s="46"/>
      <c r="Q69" s="90"/>
      <c r="R69" s="46"/>
      <c r="S69" s="90"/>
    </row>
    <row r="70" spans="1:19">
      <c r="A70" s="13"/>
      <c r="B70" s="551"/>
      <c r="C70" s="13"/>
      <c r="D70" s="13"/>
      <c r="E70" s="13"/>
      <c r="F70" s="13"/>
      <c r="G70" s="13"/>
      <c r="H70" s="13"/>
      <c r="I70" s="13"/>
      <c r="J70" s="13"/>
      <c r="K70" s="13"/>
      <c r="L70" s="13"/>
      <c r="M70" s="13"/>
      <c r="N70" s="13"/>
      <c r="O70" s="13"/>
      <c r="Q70" s="46"/>
      <c r="R70" s="46"/>
      <c r="S70" s="72"/>
    </row>
    <row r="72" spans="1:19">
      <c r="P72" s="26"/>
    </row>
  </sheetData>
  <mergeCells count="31">
    <mergeCell ref="A26:A27"/>
    <mergeCell ref="A20:A21"/>
    <mergeCell ref="A14:A15"/>
    <mergeCell ref="B26:B27"/>
    <mergeCell ref="B22:B23"/>
    <mergeCell ref="A22:A23"/>
    <mergeCell ref="B14:B15"/>
    <mergeCell ref="B20:B21"/>
    <mergeCell ref="A16:A17"/>
    <mergeCell ref="A24:A25"/>
    <mergeCell ref="B24:B25"/>
    <mergeCell ref="B8:B9"/>
    <mergeCell ref="J5:K5"/>
    <mergeCell ref="F5:G5"/>
    <mergeCell ref="B5:B6"/>
    <mergeCell ref="B10:B11"/>
    <mergeCell ref="B16:B17"/>
    <mergeCell ref="B12:B13"/>
    <mergeCell ref="A1:S1"/>
    <mergeCell ref="H5:I5"/>
    <mergeCell ref="R5:S5"/>
    <mergeCell ref="A2:S2"/>
    <mergeCell ref="P5:Q5"/>
    <mergeCell ref="L5:M5"/>
    <mergeCell ref="A18:A19"/>
    <mergeCell ref="D5:E5"/>
    <mergeCell ref="A3:S3"/>
    <mergeCell ref="C5:C6"/>
    <mergeCell ref="N5:O5"/>
    <mergeCell ref="A5:A6"/>
    <mergeCell ref="B18:B19"/>
  </mergeCells>
  <phoneticPr fontId="0" type="noConversion"/>
  <printOptions horizontalCentered="1"/>
  <pageMargins left="0.1" right="0.1" top="0.66" bottom="0.1" header="0.16" footer="0.1"/>
  <pageSetup paperSize="9" orientation="landscape" blackAndWhite="1" horizontalDpi="4294967295" r:id="rId1"/>
  <headerFooter alignWithMargins="0"/>
  <drawing r:id="rId2"/>
</worksheet>
</file>

<file path=xl/worksheets/sheet78.xml><?xml version="1.0" encoding="utf-8"?>
<worksheet xmlns="http://schemas.openxmlformats.org/spreadsheetml/2006/main" xmlns:r="http://schemas.openxmlformats.org/officeDocument/2006/relationships">
  <sheetPr codeName="Sheet96"/>
  <dimension ref="A1:H28"/>
  <sheetViews>
    <sheetView workbookViewId="0">
      <selection activeCell="M5" sqref="M5"/>
    </sheetView>
  </sheetViews>
  <sheetFormatPr defaultRowHeight="12.75"/>
  <cols>
    <col min="1" max="1" width="5.140625" customWidth="1"/>
    <col min="2" max="2" width="18.28515625" customWidth="1"/>
    <col min="3" max="4" width="10.5703125" customWidth="1"/>
    <col min="5" max="5" width="12.5703125" customWidth="1"/>
    <col min="6" max="6" width="13.28515625" customWidth="1"/>
    <col min="7" max="7" width="18.28515625" customWidth="1"/>
  </cols>
  <sheetData>
    <row r="1" spans="1:8" ht="15" customHeight="1">
      <c r="A1" s="1363" t="s">
        <v>1479</v>
      </c>
      <c r="B1" s="1363"/>
      <c r="C1" s="1363"/>
      <c r="D1" s="1363"/>
      <c r="E1" s="1363"/>
      <c r="F1" s="1363"/>
      <c r="G1" s="1363"/>
    </row>
    <row r="2" spans="1:8" ht="34.5" customHeight="1">
      <c r="A2" s="1373" t="str">
        <f>CONCATENATE(" Persons Engaged in Agriculture in the Blocks of 
", District!$A$1, " for the year ", District!$B$3)</f>
        <v xml:space="preserve"> Persons Engaged in Agriculture in the Blocks of 
Malda for the year 2013-14</v>
      </c>
      <c r="B2" s="1373"/>
      <c r="C2" s="1373"/>
      <c r="D2" s="1373"/>
      <c r="E2" s="1373"/>
      <c r="F2" s="1373"/>
      <c r="G2" s="1373"/>
    </row>
    <row r="3" spans="1:8" ht="13.5" customHeight="1">
      <c r="B3" s="4"/>
      <c r="C3" s="4"/>
      <c r="D3" s="4"/>
      <c r="E3" s="4"/>
      <c r="F3" s="4"/>
      <c r="G3" s="159" t="s">
        <v>1253</v>
      </c>
    </row>
    <row r="4" spans="1:8" ht="38.25" customHeight="1">
      <c r="A4" s="1185" t="s">
        <v>263</v>
      </c>
      <c r="B4" s="1185" t="s">
        <v>852</v>
      </c>
      <c r="C4" s="1185" t="s">
        <v>853</v>
      </c>
      <c r="D4" s="1185" t="s">
        <v>1447</v>
      </c>
      <c r="E4" s="1185" t="s">
        <v>1448</v>
      </c>
      <c r="F4" s="1185" t="s">
        <v>1449</v>
      </c>
      <c r="G4" s="1185" t="s">
        <v>1638</v>
      </c>
    </row>
    <row r="5" spans="1:8" ht="18.75" customHeight="1">
      <c r="A5" s="1183" t="s">
        <v>1208</v>
      </c>
      <c r="B5" s="1184" t="s">
        <v>1209</v>
      </c>
      <c r="C5" s="1183" t="s">
        <v>1210</v>
      </c>
      <c r="D5" s="1184" t="s">
        <v>1211</v>
      </c>
      <c r="E5" s="1183" t="s">
        <v>1212</v>
      </c>
      <c r="F5" s="1184" t="s">
        <v>1213</v>
      </c>
      <c r="G5" s="1183" t="s">
        <v>1214</v>
      </c>
    </row>
    <row r="6" spans="1:8" ht="35.25" customHeight="1">
      <c r="A6" s="285">
        <v>1</v>
      </c>
      <c r="B6" s="446" t="s">
        <v>1051</v>
      </c>
      <c r="C6" s="116">
        <v>2390</v>
      </c>
      <c r="D6" s="304">
        <v>10229</v>
      </c>
      <c r="E6" s="116">
        <v>2358</v>
      </c>
      <c r="F6" s="304">
        <v>18380</v>
      </c>
      <c r="G6" s="115">
        <v>38171</v>
      </c>
      <c r="H6" s="456"/>
    </row>
    <row r="7" spans="1:8" ht="35.25" customHeight="1">
      <c r="A7" s="285">
        <v>2</v>
      </c>
      <c r="B7" s="446" t="s">
        <v>495</v>
      </c>
      <c r="C7" s="116">
        <v>1846</v>
      </c>
      <c r="D7" s="304">
        <v>8150</v>
      </c>
      <c r="E7" s="116">
        <v>3083</v>
      </c>
      <c r="F7" s="304">
        <v>22060</v>
      </c>
      <c r="G7" s="116">
        <v>41898</v>
      </c>
      <c r="H7" s="711"/>
    </row>
    <row r="8" spans="1:8" ht="35.25" customHeight="1">
      <c r="A8" s="285">
        <v>3</v>
      </c>
      <c r="B8" s="446" t="s">
        <v>531</v>
      </c>
      <c r="C8" s="116">
        <v>4750</v>
      </c>
      <c r="D8" s="304">
        <v>5622</v>
      </c>
      <c r="E8" s="116">
        <v>2722</v>
      </c>
      <c r="F8" s="304">
        <v>22029</v>
      </c>
      <c r="G8" s="116">
        <v>41532</v>
      </c>
      <c r="H8" s="711"/>
    </row>
    <row r="9" spans="1:8" ht="35.25" customHeight="1">
      <c r="A9" s="285">
        <v>4</v>
      </c>
      <c r="B9" s="446" t="s">
        <v>532</v>
      </c>
      <c r="C9" s="116">
        <v>4690</v>
      </c>
      <c r="D9" s="304">
        <v>5123</v>
      </c>
      <c r="E9" s="116">
        <v>3989</v>
      </c>
      <c r="F9" s="304">
        <v>23715</v>
      </c>
      <c r="G9" s="116">
        <v>38816</v>
      </c>
      <c r="H9" s="711"/>
    </row>
    <row r="10" spans="1:8" ht="35.25" customHeight="1">
      <c r="A10" s="285">
        <v>5</v>
      </c>
      <c r="B10" s="446" t="s">
        <v>533</v>
      </c>
      <c r="C10" s="116">
        <v>4030</v>
      </c>
      <c r="D10" s="304">
        <v>8965</v>
      </c>
      <c r="E10" s="116">
        <v>3790</v>
      </c>
      <c r="F10" s="304">
        <v>26915</v>
      </c>
      <c r="G10" s="116">
        <v>38870</v>
      </c>
      <c r="H10" s="711"/>
    </row>
    <row r="11" spans="1:8" ht="35.25" customHeight="1">
      <c r="A11" s="285">
        <v>6</v>
      </c>
      <c r="B11" s="446" t="s">
        <v>573</v>
      </c>
      <c r="C11" s="116">
        <v>2568</v>
      </c>
      <c r="D11" s="304">
        <v>5542</v>
      </c>
      <c r="E11" s="116">
        <v>2613</v>
      </c>
      <c r="F11" s="304">
        <v>18400</v>
      </c>
      <c r="G11" s="116">
        <v>28954</v>
      </c>
      <c r="H11" s="711"/>
    </row>
    <row r="12" spans="1:8" ht="35.25" customHeight="1">
      <c r="A12" s="285">
        <v>7</v>
      </c>
      <c r="B12" s="446" t="s">
        <v>576</v>
      </c>
      <c r="C12" s="116">
        <v>15883</v>
      </c>
      <c r="D12" s="304">
        <v>40036</v>
      </c>
      <c r="E12" s="116">
        <v>5860</v>
      </c>
      <c r="F12" s="304">
        <v>35166</v>
      </c>
      <c r="G12" s="116">
        <v>57954</v>
      </c>
      <c r="H12" s="711"/>
    </row>
    <row r="13" spans="1:8" ht="35.25" customHeight="1">
      <c r="A13" s="285">
        <v>8</v>
      </c>
      <c r="B13" s="446" t="s">
        <v>1510</v>
      </c>
      <c r="C13" s="116">
        <v>8288</v>
      </c>
      <c r="D13" s="304">
        <v>13769</v>
      </c>
      <c r="E13" s="116">
        <v>3601</v>
      </c>
      <c r="F13" s="304">
        <v>20574</v>
      </c>
      <c r="G13" s="116">
        <v>30283</v>
      </c>
      <c r="H13" s="456"/>
    </row>
    <row r="14" spans="1:8" ht="35.25" customHeight="1">
      <c r="A14" s="285">
        <v>9</v>
      </c>
      <c r="B14" s="446" t="s">
        <v>577</v>
      </c>
      <c r="C14" s="116">
        <v>17250</v>
      </c>
      <c r="D14" s="304">
        <v>12188</v>
      </c>
      <c r="E14" s="116">
        <v>6309</v>
      </c>
      <c r="F14" s="304">
        <v>30323</v>
      </c>
      <c r="G14" s="116">
        <v>49750</v>
      </c>
      <c r="H14" s="711"/>
    </row>
    <row r="15" spans="1:8" ht="35.25" customHeight="1">
      <c r="A15" s="285">
        <v>10</v>
      </c>
      <c r="B15" s="446" t="s">
        <v>578</v>
      </c>
      <c r="C15" s="116">
        <v>8320</v>
      </c>
      <c r="D15" s="304">
        <v>12082</v>
      </c>
      <c r="E15" s="116">
        <v>1772</v>
      </c>
      <c r="F15" s="304">
        <v>10782</v>
      </c>
      <c r="G15" s="116">
        <v>23991</v>
      </c>
      <c r="H15" s="711"/>
    </row>
    <row r="16" spans="1:8" ht="35.25" customHeight="1">
      <c r="A16" s="285">
        <v>11</v>
      </c>
      <c r="B16" s="446" t="s">
        <v>490</v>
      </c>
      <c r="C16" s="116">
        <v>4289</v>
      </c>
      <c r="D16" s="304">
        <v>9026</v>
      </c>
      <c r="E16" s="116">
        <v>4239</v>
      </c>
      <c r="F16" s="304">
        <v>22685</v>
      </c>
      <c r="G16" s="116">
        <v>23502</v>
      </c>
      <c r="H16" s="711"/>
    </row>
    <row r="17" spans="1:8" ht="35.25" customHeight="1">
      <c r="A17" s="285">
        <v>12</v>
      </c>
      <c r="B17" s="446" t="s">
        <v>580</v>
      </c>
      <c r="C17" s="116">
        <v>4381</v>
      </c>
      <c r="D17" s="304">
        <v>15831</v>
      </c>
      <c r="E17" s="116">
        <v>3783</v>
      </c>
      <c r="F17" s="304">
        <v>21381</v>
      </c>
      <c r="G17" s="116">
        <v>46068</v>
      </c>
      <c r="H17" s="455"/>
    </row>
    <row r="18" spans="1:8" ht="35.25" customHeight="1">
      <c r="A18" s="285">
        <v>13</v>
      </c>
      <c r="B18" s="446" t="s">
        <v>585</v>
      </c>
      <c r="C18" s="116">
        <v>769</v>
      </c>
      <c r="D18" s="304">
        <v>2578</v>
      </c>
      <c r="E18" s="116">
        <v>2099</v>
      </c>
      <c r="F18" s="304">
        <v>24222</v>
      </c>
      <c r="G18" s="116">
        <v>21494</v>
      </c>
      <c r="H18" s="711"/>
    </row>
    <row r="19" spans="1:8" ht="35.25" customHeight="1">
      <c r="A19" s="285">
        <v>14</v>
      </c>
      <c r="B19" s="446" t="s">
        <v>586</v>
      </c>
      <c r="C19" s="116">
        <v>1623</v>
      </c>
      <c r="D19" s="304">
        <v>3478</v>
      </c>
      <c r="E19" s="116">
        <v>2220</v>
      </c>
      <c r="F19" s="304">
        <v>19170</v>
      </c>
      <c r="G19" s="116">
        <v>23537</v>
      </c>
      <c r="H19" s="455"/>
    </row>
    <row r="20" spans="1:8" ht="35.25" customHeight="1">
      <c r="A20" s="292">
        <v>15</v>
      </c>
      <c r="B20" s="447" t="s">
        <v>587</v>
      </c>
      <c r="C20" s="117">
        <v>2763</v>
      </c>
      <c r="D20" s="141">
        <v>12142</v>
      </c>
      <c r="E20" s="117">
        <v>1220</v>
      </c>
      <c r="F20" s="29">
        <v>11653</v>
      </c>
      <c r="G20" s="117">
        <v>40520</v>
      </c>
      <c r="H20" s="455"/>
    </row>
    <row r="21" spans="1:8" ht="15" customHeight="1">
      <c r="A21" s="1179" t="s">
        <v>352</v>
      </c>
      <c r="B21" s="1787" t="s">
        <v>1300</v>
      </c>
      <c r="C21" s="1787"/>
      <c r="D21" s="1787"/>
      <c r="E21" s="1186" t="s">
        <v>1546</v>
      </c>
      <c r="F21" s="1187" t="s">
        <v>518</v>
      </c>
      <c r="G21" s="1188"/>
      <c r="H21" s="455"/>
    </row>
    <row r="22" spans="1:8" ht="12" customHeight="1">
      <c r="A22" s="1179"/>
      <c r="B22" s="1787"/>
      <c r="C22" s="1787"/>
      <c r="D22" s="1787"/>
      <c r="E22" s="1189"/>
      <c r="F22" s="1179" t="s">
        <v>1107</v>
      </c>
      <c r="G22" s="1177"/>
      <c r="H22" s="455"/>
    </row>
    <row r="23" spans="1:8" ht="15.75" customHeight="1">
      <c r="A23" s="1179"/>
      <c r="B23" s="1787" t="s">
        <v>1301</v>
      </c>
      <c r="C23" s="1787"/>
      <c r="D23" s="1787"/>
      <c r="E23" s="1190"/>
      <c r="F23" s="1191" t="s">
        <v>1126</v>
      </c>
      <c r="G23" s="1188"/>
      <c r="H23" s="711"/>
    </row>
    <row r="24" spans="1:8" ht="12" customHeight="1">
      <c r="A24" s="1192"/>
      <c r="B24" s="1787"/>
      <c r="C24" s="1787"/>
      <c r="D24" s="1787"/>
      <c r="E24" s="1177"/>
      <c r="F24" s="1177"/>
      <c r="G24" s="1177"/>
      <c r="H24" s="455"/>
    </row>
    <row r="25" spans="1:8" ht="12" customHeight="1">
      <c r="A25" s="1193"/>
      <c r="B25" s="1787"/>
      <c r="C25" s="1787"/>
      <c r="D25" s="1787"/>
      <c r="E25" s="1177"/>
      <c r="F25" s="1177"/>
      <c r="G25" s="1177"/>
      <c r="H25" s="712"/>
    </row>
    <row r="26" spans="1:8">
      <c r="A26" s="1194" t="s">
        <v>1125</v>
      </c>
      <c r="B26" s="1179"/>
      <c r="C26" s="1179"/>
      <c r="D26" s="1179"/>
      <c r="E26" s="1177"/>
      <c r="F26" s="1177"/>
      <c r="G26" s="1177"/>
    </row>
    <row r="27" spans="1:8">
      <c r="A27" s="1177"/>
      <c r="B27" s="1177"/>
      <c r="C27" s="1177"/>
      <c r="D27" s="1177"/>
      <c r="E27" s="1177"/>
      <c r="F27" s="1177"/>
      <c r="G27" s="1177"/>
    </row>
    <row r="28" spans="1:8">
      <c r="E28" s="34"/>
    </row>
  </sheetData>
  <mergeCells count="4">
    <mergeCell ref="A1:G1"/>
    <mergeCell ref="A2:G2"/>
    <mergeCell ref="B21:D22"/>
    <mergeCell ref="B23:D25"/>
  </mergeCells>
  <phoneticPr fontId="0" type="noConversion"/>
  <printOptions horizontalCentered="1"/>
  <pageMargins left="0.2" right="0.2" top="1.1299999999999999" bottom="0.2" header="0.8" footer="0.2"/>
  <pageSetup paperSize="9" orientation="portrait" blackAndWhite="1" horizontalDpi="4294967295" r:id="rId1"/>
  <headerFooter alignWithMargins="0"/>
</worksheet>
</file>

<file path=xl/worksheets/sheet79.xml><?xml version="1.0" encoding="utf-8"?>
<worksheet xmlns="http://schemas.openxmlformats.org/spreadsheetml/2006/main" xmlns:r="http://schemas.openxmlformats.org/officeDocument/2006/relationships">
  <sheetPr codeName="Sheet97"/>
  <dimension ref="A1:AZ38"/>
  <sheetViews>
    <sheetView workbookViewId="0">
      <selection activeCell="M5" sqref="M5"/>
    </sheetView>
  </sheetViews>
  <sheetFormatPr defaultRowHeight="12.75"/>
  <cols>
    <col min="1" max="1" width="3.85546875" style="11" customWidth="1"/>
    <col min="2" max="2" width="12.140625" style="11" customWidth="1"/>
    <col min="3" max="3" width="5.42578125" style="11" customWidth="1"/>
    <col min="4" max="4" width="5.7109375" style="11" customWidth="1"/>
    <col min="5" max="5" width="5.5703125" style="11" customWidth="1"/>
    <col min="6" max="6" width="6.85546875" style="11" customWidth="1"/>
    <col min="7" max="7" width="8" style="11" customWidth="1"/>
    <col min="8" max="8" width="5.85546875" style="11" customWidth="1"/>
    <col min="9" max="9" width="6.28515625" style="11" customWidth="1"/>
    <col min="10" max="10" width="8.140625" style="11" customWidth="1"/>
    <col min="11" max="11" width="6.7109375" style="11" customWidth="1"/>
    <col min="12" max="12" width="5.85546875" style="11" customWidth="1"/>
    <col min="13" max="13" width="6.42578125" style="11" customWidth="1"/>
    <col min="14" max="14" width="7.140625" style="11" customWidth="1"/>
    <col min="15" max="15" width="5.5703125" style="11" customWidth="1"/>
    <col min="16" max="16" width="5.28515625" style="11" customWidth="1"/>
    <col min="17" max="17" width="7.7109375" style="11" customWidth="1"/>
    <col min="18" max="18" width="5.28515625" style="11" customWidth="1"/>
    <col min="19" max="19" width="6.28515625" style="11" customWidth="1"/>
    <col min="20" max="20" width="5.85546875" style="11" customWidth="1"/>
    <col min="21" max="21" width="4.7109375" style="11" customWidth="1"/>
    <col min="22" max="22" width="6.28515625" style="11" customWidth="1"/>
    <col min="23" max="23" width="7.28515625" style="11" customWidth="1"/>
    <col min="24" max="24" width="0.85546875" style="11" customWidth="1"/>
    <col min="25" max="25" width="3.7109375" style="11" customWidth="1"/>
    <col min="26" max="26" width="12.140625" style="11" customWidth="1"/>
    <col min="27" max="27" width="5.42578125" style="11" customWidth="1"/>
    <col min="28" max="28" width="7.28515625" style="11" customWidth="1"/>
    <col min="29" max="29" width="6.42578125" style="11" customWidth="1"/>
    <col min="30" max="30" width="6" style="11" customWidth="1"/>
    <col min="31" max="31" width="5.42578125" style="11" customWidth="1"/>
    <col min="32" max="32" width="6.42578125" style="11" customWidth="1"/>
    <col min="33" max="33" width="5.140625" style="11" customWidth="1"/>
    <col min="34" max="34" width="6.42578125" style="11" customWidth="1"/>
    <col min="35" max="35" width="5.28515625" style="11" customWidth="1"/>
    <col min="36" max="36" width="5.42578125" style="11" customWidth="1"/>
    <col min="37" max="37" width="6.28515625" style="11" customWidth="1"/>
    <col min="38" max="38" width="5.7109375" style="11" customWidth="1"/>
    <col min="39" max="39" width="6.42578125" style="11" customWidth="1"/>
    <col min="40" max="40" width="5.5703125" style="11" customWidth="1"/>
    <col min="41" max="41" width="5.42578125" style="11" customWidth="1"/>
    <col min="42" max="42" width="4.7109375" style="11" customWidth="1"/>
    <col min="43" max="43" width="7.140625" style="11" customWidth="1"/>
    <col min="44" max="44" width="6.5703125" style="11" customWidth="1"/>
    <col min="45" max="45" width="6.7109375" style="11" customWidth="1"/>
    <col min="46" max="47" width="7.5703125" style="11" customWidth="1"/>
    <col min="48" max="16384" width="9.140625" style="11"/>
  </cols>
  <sheetData>
    <row r="1" spans="1:52" ht="12.75" customHeight="1">
      <c r="A1" s="1430" t="s">
        <v>1480</v>
      </c>
      <c r="B1" s="1430"/>
      <c r="C1" s="1430"/>
      <c r="D1" s="1430"/>
      <c r="E1" s="1430"/>
      <c r="F1" s="1430"/>
      <c r="G1" s="1430"/>
      <c r="H1" s="1430"/>
      <c r="I1" s="1430"/>
      <c r="J1" s="1430"/>
      <c r="K1" s="1430"/>
      <c r="L1" s="1430"/>
      <c r="M1" s="1430"/>
      <c r="N1" s="1430"/>
      <c r="O1" s="1430"/>
      <c r="P1" s="1430"/>
      <c r="Q1" s="1430"/>
      <c r="R1" s="1430"/>
      <c r="S1" s="1430"/>
      <c r="T1" s="1430"/>
      <c r="U1" s="1430"/>
      <c r="V1" s="1430"/>
      <c r="W1" s="1430"/>
      <c r="X1" s="550"/>
      <c r="AL1" s="296"/>
      <c r="AM1" s="296"/>
      <c r="AP1" s="550"/>
      <c r="AQ1" s="550"/>
      <c r="AR1" s="550"/>
      <c r="AS1" s="550"/>
      <c r="AT1" s="550"/>
      <c r="AU1" s="550"/>
      <c r="AV1" s="539"/>
      <c r="AW1" s="539"/>
      <c r="AX1" s="539"/>
      <c r="AY1" s="539"/>
      <c r="AZ1" s="539"/>
    </row>
    <row r="2" spans="1:52" ht="16.5">
      <c r="A2" s="1374" t="str">
        <f>CONCATENATE("Area, Production and Yield of Major Crops in the Blocks of ", District!$A$1," for the year ", District!$B$3)</f>
        <v>Area, Production and Yield of Major Crops in the Blocks of Malda for the year 2013-14</v>
      </c>
      <c r="B2" s="1374"/>
      <c r="C2" s="1374"/>
      <c r="D2" s="1374"/>
      <c r="E2" s="1374"/>
      <c r="F2" s="1374"/>
      <c r="G2" s="1374"/>
      <c r="H2" s="1374"/>
      <c r="I2" s="1374"/>
      <c r="J2" s="1374"/>
      <c r="K2" s="1374"/>
      <c r="L2" s="1374"/>
      <c r="M2" s="1374"/>
      <c r="N2" s="1374"/>
      <c r="O2" s="1374"/>
      <c r="P2" s="1374"/>
      <c r="Q2" s="1374"/>
      <c r="R2" s="1374"/>
      <c r="S2" s="1374"/>
      <c r="T2" s="1374"/>
      <c r="U2" s="1374"/>
      <c r="V2" s="1374"/>
      <c r="W2" s="1374"/>
      <c r="X2" s="549"/>
      <c r="Y2" s="1430" t="s">
        <v>1481</v>
      </c>
      <c r="Z2" s="1430"/>
      <c r="AA2" s="1430"/>
      <c r="AB2" s="1430"/>
      <c r="AC2" s="1430"/>
      <c r="AD2" s="1430"/>
      <c r="AE2" s="1430"/>
      <c r="AF2" s="1430"/>
      <c r="AG2" s="1430"/>
      <c r="AH2" s="1430"/>
      <c r="AI2" s="1430"/>
      <c r="AJ2" s="1430"/>
      <c r="AK2" s="1430"/>
      <c r="AL2" s="1430"/>
      <c r="AM2" s="1430"/>
      <c r="AN2" s="1430"/>
      <c r="AO2" s="1430"/>
      <c r="AP2" s="1430"/>
      <c r="AQ2" s="1430"/>
      <c r="AR2" s="1430"/>
      <c r="AS2" s="1430"/>
      <c r="AT2" s="1430"/>
      <c r="AU2" s="1430"/>
    </row>
    <row r="3" spans="1:52" ht="8.25" customHeight="1">
      <c r="A3" s="1003"/>
      <c r="B3" s="1004"/>
      <c r="C3" s="1004"/>
      <c r="D3" s="1004"/>
      <c r="E3" s="1004"/>
      <c r="F3" s="1004"/>
      <c r="G3" s="1004"/>
      <c r="H3" s="1004"/>
      <c r="I3" s="1004"/>
      <c r="J3" s="1004"/>
      <c r="K3" s="1004"/>
      <c r="L3" s="1004"/>
      <c r="M3" s="1004"/>
      <c r="N3" s="1004"/>
      <c r="O3" s="1004"/>
      <c r="P3" s="1004"/>
      <c r="Q3" s="1004"/>
      <c r="R3" s="1004"/>
      <c r="S3" s="1004"/>
      <c r="T3" s="1004"/>
      <c r="U3" s="1004"/>
      <c r="V3" s="1004"/>
      <c r="W3" s="1004"/>
      <c r="X3" s="6"/>
      <c r="Y3" s="1004"/>
      <c r="Z3" s="1004"/>
      <c r="AA3" s="1004"/>
      <c r="AB3" s="1004"/>
      <c r="AC3" s="1004"/>
      <c r="AD3" s="1004"/>
      <c r="AE3" s="1004"/>
      <c r="AF3" s="1004"/>
      <c r="AG3" s="1004"/>
      <c r="AH3" s="1004"/>
      <c r="AI3" s="1004"/>
      <c r="AJ3" s="1004"/>
      <c r="AK3" s="1004"/>
      <c r="AL3" s="1004"/>
      <c r="AM3" s="1004"/>
      <c r="AN3" s="1004"/>
      <c r="AO3" s="1004"/>
      <c r="AP3" s="1004"/>
      <c r="AQ3" s="1004"/>
      <c r="AR3" s="1004"/>
      <c r="AS3" s="1004"/>
      <c r="AT3" s="1004"/>
      <c r="AU3" s="1004"/>
    </row>
    <row r="4" spans="1:52" ht="16.5" customHeight="1">
      <c r="A4" s="1449" t="s">
        <v>748</v>
      </c>
      <c r="B4" s="1449" t="s">
        <v>530</v>
      </c>
      <c r="C4" s="1945" t="s">
        <v>68</v>
      </c>
      <c r="D4" s="1946"/>
      <c r="E4" s="1947"/>
      <c r="F4" s="1945" t="s">
        <v>69</v>
      </c>
      <c r="G4" s="1946"/>
      <c r="H4" s="1947"/>
      <c r="I4" s="1945" t="s">
        <v>70</v>
      </c>
      <c r="J4" s="1946"/>
      <c r="K4" s="1947"/>
      <c r="L4" s="1945" t="s">
        <v>71</v>
      </c>
      <c r="M4" s="1946"/>
      <c r="N4" s="1947"/>
      <c r="O4" s="1945" t="s">
        <v>341</v>
      </c>
      <c r="P4" s="1946"/>
      <c r="Q4" s="1947"/>
      <c r="R4" s="1945" t="s">
        <v>87</v>
      </c>
      <c r="S4" s="1946"/>
      <c r="T4" s="1947"/>
      <c r="U4" s="1391" t="s">
        <v>747</v>
      </c>
      <c r="V4" s="1639"/>
      <c r="W4" s="1392"/>
      <c r="X4" s="555"/>
      <c r="Y4" s="1449" t="s">
        <v>748</v>
      </c>
      <c r="Z4" s="1346" t="s">
        <v>530</v>
      </c>
      <c r="AA4" s="1391" t="s">
        <v>922</v>
      </c>
      <c r="AB4" s="1639"/>
      <c r="AC4" s="1392"/>
      <c r="AD4" s="1391" t="s">
        <v>967</v>
      </c>
      <c r="AE4" s="1639"/>
      <c r="AF4" s="1392"/>
      <c r="AG4" s="1391" t="s">
        <v>1252</v>
      </c>
      <c r="AH4" s="1639"/>
      <c r="AI4" s="1392"/>
      <c r="AJ4" s="1391" t="s">
        <v>923</v>
      </c>
      <c r="AK4" s="1639"/>
      <c r="AL4" s="1392"/>
      <c r="AM4" s="1391" t="s">
        <v>114</v>
      </c>
      <c r="AN4" s="1639"/>
      <c r="AO4" s="1392"/>
      <c r="AP4" s="1391" t="s">
        <v>102</v>
      </c>
      <c r="AQ4" s="1639"/>
      <c r="AR4" s="1392"/>
      <c r="AS4" s="1391" t="s">
        <v>89</v>
      </c>
      <c r="AT4" s="1639"/>
      <c r="AU4" s="1392"/>
    </row>
    <row r="5" spans="1:52" ht="16.5" customHeight="1">
      <c r="A5" s="1451"/>
      <c r="B5" s="1451"/>
      <c r="C5" s="259" t="s">
        <v>930</v>
      </c>
      <c r="D5" s="214" t="s">
        <v>925</v>
      </c>
      <c r="E5" s="262" t="s">
        <v>926</v>
      </c>
      <c r="F5" s="259" t="s">
        <v>930</v>
      </c>
      <c r="G5" s="214" t="s">
        <v>925</v>
      </c>
      <c r="H5" s="262" t="s">
        <v>926</v>
      </c>
      <c r="I5" s="259" t="s">
        <v>930</v>
      </c>
      <c r="J5" s="214" t="s">
        <v>925</v>
      </c>
      <c r="K5" s="262" t="s">
        <v>926</v>
      </c>
      <c r="L5" s="259" t="s">
        <v>930</v>
      </c>
      <c r="M5" s="214" t="s">
        <v>925</v>
      </c>
      <c r="N5" s="262" t="s">
        <v>926</v>
      </c>
      <c r="O5" s="259" t="s">
        <v>930</v>
      </c>
      <c r="P5" s="214" t="s">
        <v>925</v>
      </c>
      <c r="Q5" s="262" t="s">
        <v>926</v>
      </c>
      <c r="R5" s="1005" t="s">
        <v>930</v>
      </c>
      <c r="S5" s="1006" t="s">
        <v>927</v>
      </c>
      <c r="T5" s="1007" t="s">
        <v>928</v>
      </c>
      <c r="U5" s="259" t="s">
        <v>930</v>
      </c>
      <c r="V5" s="214" t="s">
        <v>925</v>
      </c>
      <c r="W5" s="262" t="s">
        <v>926</v>
      </c>
      <c r="X5" s="555"/>
      <c r="Y5" s="1451"/>
      <c r="Z5" s="1347"/>
      <c r="AA5" s="259" t="s">
        <v>930</v>
      </c>
      <c r="AB5" s="214" t="s">
        <v>925</v>
      </c>
      <c r="AC5" s="262" t="s">
        <v>926</v>
      </c>
      <c r="AD5" s="259" t="s">
        <v>930</v>
      </c>
      <c r="AE5" s="214" t="s">
        <v>925</v>
      </c>
      <c r="AF5" s="262" t="s">
        <v>926</v>
      </c>
      <c r="AG5" s="259" t="s">
        <v>930</v>
      </c>
      <c r="AH5" s="214" t="s">
        <v>925</v>
      </c>
      <c r="AI5" s="262" t="s">
        <v>926</v>
      </c>
      <c r="AJ5" s="259" t="s">
        <v>930</v>
      </c>
      <c r="AK5" s="214" t="s">
        <v>925</v>
      </c>
      <c r="AL5" s="262" t="s">
        <v>926</v>
      </c>
      <c r="AM5" s="259" t="s">
        <v>930</v>
      </c>
      <c r="AN5" s="214" t="s">
        <v>925</v>
      </c>
      <c r="AO5" s="262" t="s">
        <v>926</v>
      </c>
      <c r="AP5" s="259" t="s">
        <v>930</v>
      </c>
      <c r="AQ5" s="214" t="s">
        <v>925</v>
      </c>
      <c r="AR5" s="262" t="s">
        <v>926</v>
      </c>
      <c r="AS5" s="259" t="s">
        <v>930</v>
      </c>
      <c r="AT5" s="214" t="s">
        <v>925</v>
      </c>
      <c r="AU5" s="262" t="s">
        <v>926</v>
      </c>
    </row>
    <row r="6" spans="1:52" ht="16.5" customHeight="1">
      <c r="A6" s="272" t="s">
        <v>1208</v>
      </c>
      <c r="B6" s="151" t="s">
        <v>1209</v>
      </c>
      <c r="C6" s="218" t="s">
        <v>1210</v>
      </c>
      <c r="D6" s="152" t="s">
        <v>1211</v>
      </c>
      <c r="E6" s="153" t="s">
        <v>1212</v>
      </c>
      <c r="F6" s="218" t="s">
        <v>1213</v>
      </c>
      <c r="G6" s="152" t="s">
        <v>1214</v>
      </c>
      <c r="H6" s="153" t="s">
        <v>1244</v>
      </c>
      <c r="I6" s="218" t="s">
        <v>1245</v>
      </c>
      <c r="J6" s="152" t="s">
        <v>1246</v>
      </c>
      <c r="K6" s="153" t="s">
        <v>1247</v>
      </c>
      <c r="L6" s="218" t="s">
        <v>1271</v>
      </c>
      <c r="M6" s="152" t="s">
        <v>1272</v>
      </c>
      <c r="N6" s="153" t="s">
        <v>1273</v>
      </c>
      <c r="O6" s="218" t="s">
        <v>1274</v>
      </c>
      <c r="P6" s="152" t="s">
        <v>1275</v>
      </c>
      <c r="Q6" s="153" t="s">
        <v>1276</v>
      </c>
      <c r="R6" s="218" t="s">
        <v>1278</v>
      </c>
      <c r="S6" s="152" t="s">
        <v>1277</v>
      </c>
      <c r="T6" s="153" t="s">
        <v>1666</v>
      </c>
      <c r="U6" s="218" t="s">
        <v>1667</v>
      </c>
      <c r="V6" s="152" t="s">
        <v>1668</v>
      </c>
      <c r="W6" s="153" t="s">
        <v>814</v>
      </c>
      <c r="X6" s="556"/>
      <c r="Y6" s="151" t="s">
        <v>1208</v>
      </c>
      <c r="Z6" s="151" t="s">
        <v>1209</v>
      </c>
      <c r="AA6" s="218" t="s">
        <v>815</v>
      </c>
      <c r="AB6" s="152" t="s">
        <v>816</v>
      </c>
      <c r="AC6" s="153" t="s">
        <v>817</v>
      </c>
      <c r="AD6" s="218" t="s">
        <v>818</v>
      </c>
      <c r="AE6" s="152" t="s">
        <v>819</v>
      </c>
      <c r="AF6" s="153" t="s">
        <v>820</v>
      </c>
      <c r="AG6" s="218" t="s">
        <v>821</v>
      </c>
      <c r="AH6" s="152" t="s">
        <v>822</v>
      </c>
      <c r="AI6" s="153" t="s">
        <v>823</v>
      </c>
      <c r="AJ6" s="218" t="s">
        <v>824</v>
      </c>
      <c r="AK6" s="152" t="s">
        <v>825</v>
      </c>
      <c r="AL6" s="153" t="s">
        <v>826</v>
      </c>
      <c r="AM6" s="218" t="s">
        <v>827</v>
      </c>
      <c r="AN6" s="152" t="s">
        <v>829</v>
      </c>
      <c r="AO6" s="153" t="s">
        <v>828</v>
      </c>
      <c r="AP6" s="218" t="s">
        <v>830</v>
      </c>
      <c r="AQ6" s="152" t="s">
        <v>831</v>
      </c>
      <c r="AR6" s="153" t="s">
        <v>832</v>
      </c>
      <c r="AS6" s="218" t="s">
        <v>833</v>
      </c>
      <c r="AT6" s="152" t="s">
        <v>834</v>
      </c>
      <c r="AU6" s="153" t="s">
        <v>835</v>
      </c>
    </row>
    <row r="7" spans="1:52" ht="27" customHeight="1">
      <c r="A7" s="285">
        <v>1</v>
      </c>
      <c r="B7" s="953" t="s">
        <v>459</v>
      </c>
      <c r="C7" s="453">
        <v>93</v>
      </c>
      <c r="D7" s="1008">
        <v>0.18099999999999999</v>
      </c>
      <c r="E7" s="484">
        <v>1943</v>
      </c>
      <c r="F7" s="453">
        <v>9848</v>
      </c>
      <c r="G7" s="1008">
        <v>29.635999999999999</v>
      </c>
      <c r="H7" s="484">
        <v>3009</v>
      </c>
      <c r="I7" s="453">
        <v>4843</v>
      </c>
      <c r="J7" s="1008">
        <v>22.405999999999999</v>
      </c>
      <c r="K7" s="484">
        <v>4626</v>
      </c>
      <c r="L7" s="453">
        <v>2080</v>
      </c>
      <c r="M7" s="1008">
        <v>5.1970000000000001</v>
      </c>
      <c r="N7" s="484">
        <v>2498</v>
      </c>
      <c r="O7" s="453">
        <v>303</v>
      </c>
      <c r="P7" s="1008">
        <v>1.155</v>
      </c>
      <c r="Q7" s="73">
        <v>3813</v>
      </c>
      <c r="R7" s="453">
        <v>3727</v>
      </c>
      <c r="S7" s="1008">
        <v>55.606999999999999</v>
      </c>
      <c r="T7" s="291">
        <v>14.92</v>
      </c>
      <c r="U7" s="453">
        <v>42</v>
      </c>
      <c r="V7" s="1008">
        <v>0.03</v>
      </c>
      <c r="W7" s="484">
        <v>709</v>
      </c>
      <c r="X7" s="554"/>
      <c r="Y7" s="285">
        <v>1</v>
      </c>
      <c r="Z7" s="953" t="s">
        <v>459</v>
      </c>
      <c r="AA7" s="453">
        <v>514</v>
      </c>
      <c r="AB7" s="1008">
        <v>0.55300000000000005</v>
      </c>
      <c r="AC7" s="484">
        <v>1076</v>
      </c>
      <c r="AD7" s="453">
        <v>98</v>
      </c>
      <c r="AE7" s="1008">
        <v>0.114</v>
      </c>
      <c r="AF7" s="484">
        <v>1165</v>
      </c>
      <c r="AG7" s="453">
        <v>46</v>
      </c>
      <c r="AH7" s="1008">
        <v>5.1999999999999998E-2</v>
      </c>
      <c r="AI7" s="484">
        <v>1140</v>
      </c>
      <c r="AJ7" s="453">
        <v>478</v>
      </c>
      <c r="AK7" s="1008">
        <v>0.40699999999999997</v>
      </c>
      <c r="AL7" s="484">
        <v>851</v>
      </c>
      <c r="AM7" s="791">
        <v>2</v>
      </c>
      <c r="AN7" s="1008">
        <v>2E-3</v>
      </c>
      <c r="AO7" s="791">
        <v>758</v>
      </c>
      <c r="AP7" s="453">
        <v>245</v>
      </c>
      <c r="AQ7" s="1008">
        <v>7.899</v>
      </c>
      <c r="AR7" s="484">
        <v>32242</v>
      </c>
      <c r="AS7" s="453">
        <v>15</v>
      </c>
      <c r="AT7" s="1008">
        <v>1.5349999999999999</v>
      </c>
      <c r="AU7" s="484">
        <v>102366</v>
      </c>
    </row>
    <row r="8" spans="1:52" ht="27" customHeight="1">
      <c r="A8" s="285">
        <v>2</v>
      </c>
      <c r="B8" s="953" t="s">
        <v>460</v>
      </c>
      <c r="C8" s="453">
        <v>21</v>
      </c>
      <c r="D8" s="1008">
        <v>4.1000000000000002E-2</v>
      </c>
      <c r="E8" s="484">
        <v>1943</v>
      </c>
      <c r="F8" s="453">
        <v>35048</v>
      </c>
      <c r="G8" s="1008">
        <v>117.431</v>
      </c>
      <c r="H8" s="484">
        <v>3351</v>
      </c>
      <c r="I8" s="453">
        <v>6428</v>
      </c>
      <c r="J8" s="1008">
        <v>27.524999999999999</v>
      </c>
      <c r="K8" s="484">
        <v>4282</v>
      </c>
      <c r="L8" s="453">
        <v>1788</v>
      </c>
      <c r="M8" s="1008">
        <v>5.6849999999999996</v>
      </c>
      <c r="N8" s="484">
        <v>3179</v>
      </c>
      <c r="O8" s="453">
        <v>617</v>
      </c>
      <c r="P8" s="1008">
        <v>2.3530000000000002</v>
      </c>
      <c r="Q8" s="484">
        <v>3813</v>
      </c>
      <c r="R8" s="453">
        <v>1719</v>
      </c>
      <c r="S8" s="1008">
        <v>27.934000000000001</v>
      </c>
      <c r="T8" s="291">
        <v>16.25</v>
      </c>
      <c r="U8" s="453">
        <v>33</v>
      </c>
      <c r="V8" s="1008">
        <v>0.02</v>
      </c>
      <c r="W8" s="484">
        <v>602</v>
      </c>
      <c r="X8" s="554"/>
      <c r="Y8" s="285">
        <v>2</v>
      </c>
      <c r="Z8" s="953" t="s">
        <v>460</v>
      </c>
      <c r="AA8" s="453">
        <v>674</v>
      </c>
      <c r="AB8" s="1008">
        <v>0.72199999999999998</v>
      </c>
      <c r="AC8" s="484">
        <v>1072</v>
      </c>
      <c r="AD8" s="453">
        <v>210</v>
      </c>
      <c r="AE8" s="1008">
        <v>0.245</v>
      </c>
      <c r="AF8" s="484">
        <v>1165</v>
      </c>
      <c r="AG8" s="453">
        <v>113</v>
      </c>
      <c r="AH8" s="1008">
        <v>0.129</v>
      </c>
      <c r="AI8" s="484">
        <v>1140</v>
      </c>
      <c r="AJ8" s="453">
        <v>3431</v>
      </c>
      <c r="AK8" s="1008">
        <v>3.3730000000000002</v>
      </c>
      <c r="AL8" s="484">
        <v>983</v>
      </c>
      <c r="AM8" s="453" t="s">
        <v>1509</v>
      </c>
      <c r="AN8" s="791" t="s">
        <v>1509</v>
      </c>
      <c r="AO8" s="791" t="s">
        <v>1509</v>
      </c>
      <c r="AP8" s="453">
        <v>66</v>
      </c>
      <c r="AQ8" s="1008">
        <v>2.1120000000000001</v>
      </c>
      <c r="AR8" s="484">
        <v>32000</v>
      </c>
      <c r="AS8" s="791">
        <v>124</v>
      </c>
      <c r="AT8" s="1008">
        <v>12.693</v>
      </c>
      <c r="AU8" s="484">
        <v>102366</v>
      </c>
    </row>
    <row r="9" spans="1:52" ht="24" customHeight="1">
      <c r="A9" s="285">
        <v>3</v>
      </c>
      <c r="B9" s="247" t="s">
        <v>531</v>
      </c>
      <c r="C9" s="453">
        <v>21</v>
      </c>
      <c r="D9" s="1008">
        <v>4.1000000000000002E-2</v>
      </c>
      <c r="E9" s="484">
        <v>1943</v>
      </c>
      <c r="F9" s="453">
        <v>11358</v>
      </c>
      <c r="G9" s="1008">
        <v>35.329000000000001</v>
      </c>
      <c r="H9" s="484">
        <v>3111</v>
      </c>
      <c r="I9" s="453">
        <v>6952</v>
      </c>
      <c r="J9" s="1008">
        <v>26.742999999999999</v>
      </c>
      <c r="K9" s="484">
        <v>3847</v>
      </c>
      <c r="L9" s="453">
        <v>2064</v>
      </c>
      <c r="M9" s="1008">
        <v>6.5709999999999997</v>
      </c>
      <c r="N9" s="484">
        <v>3184</v>
      </c>
      <c r="O9" s="453">
        <v>36</v>
      </c>
      <c r="P9" s="1008">
        <v>0.13700000000000001</v>
      </c>
      <c r="Q9" s="484">
        <v>3813</v>
      </c>
      <c r="R9" s="453">
        <v>4387</v>
      </c>
      <c r="S9" s="1008">
        <v>73.263000000000005</v>
      </c>
      <c r="T9" s="291">
        <v>16.7</v>
      </c>
      <c r="U9" s="453">
        <v>293</v>
      </c>
      <c r="V9" s="1008">
        <v>0.247</v>
      </c>
      <c r="W9" s="484">
        <v>841</v>
      </c>
      <c r="X9" s="554"/>
      <c r="Y9" s="285">
        <v>3</v>
      </c>
      <c r="Z9" s="247" t="s">
        <v>531</v>
      </c>
      <c r="AA9" s="453">
        <v>141</v>
      </c>
      <c r="AB9" s="1008">
        <v>0.13200000000000001</v>
      </c>
      <c r="AC9" s="484">
        <v>933</v>
      </c>
      <c r="AD9" s="453">
        <v>85</v>
      </c>
      <c r="AE9" s="1008">
        <v>9.9000000000000005E-2</v>
      </c>
      <c r="AF9" s="484">
        <v>1165</v>
      </c>
      <c r="AG9" s="453">
        <v>64</v>
      </c>
      <c r="AH9" s="1008">
        <v>7.2999999999999995E-2</v>
      </c>
      <c r="AI9" s="484">
        <v>1140</v>
      </c>
      <c r="AJ9" s="453">
        <v>2523</v>
      </c>
      <c r="AK9" s="1008">
        <v>2.5819999999999999</v>
      </c>
      <c r="AL9" s="484">
        <v>1023</v>
      </c>
      <c r="AM9" s="453">
        <v>8</v>
      </c>
      <c r="AN9" s="1008">
        <v>6.0000000000000001E-3</v>
      </c>
      <c r="AO9" s="791">
        <v>758</v>
      </c>
      <c r="AP9" s="453">
        <v>174</v>
      </c>
      <c r="AQ9" s="1008">
        <v>3.21</v>
      </c>
      <c r="AR9" s="484">
        <v>18449</v>
      </c>
      <c r="AS9" s="453">
        <v>19</v>
      </c>
      <c r="AT9" s="1008">
        <v>1.9450000000000001</v>
      </c>
      <c r="AU9" s="484">
        <v>102366</v>
      </c>
    </row>
    <row r="10" spans="1:52" ht="24" customHeight="1">
      <c r="A10" s="285">
        <v>4</v>
      </c>
      <c r="B10" s="247" t="s">
        <v>532</v>
      </c>
      <c r="C10" s="453">
        <v>13</v>
      </c>
      <c r="D10" s="1008">
        <v>2.5000000000000001E-2</v>
      </c>
      <c r="E10" s="484">
        <v>1943</v>
      </c>
      <c r="F10" s="453">
        <v>1643</v>
      </c>
      <c r="G10" s="1008">
        <v>4.3689999999999998</v>
      </c>
      <c r="H10" s="484">
        <v>2659</v>
      </c>
      <c r="I10" s="453">
        <v>6910</v>
      </c>
      <c r="J10" s="1008">
        <v>26.222000000000001</v>
      </c>
      <c r="K10" s="484">
        <v>3795</v>
      </c>
      <c r="L10" s="453">
        <v>3533</v>
      </c>
      <c r="M10" s="1008">
        <v>12.212</v>
      </c>
      <c r="N10" s="484">
        <v>3456</v>
      </c>
      <c r="O10" s="453">
        <v>25</v>
      </c>
      <c r="P10" s="1008">
        <v>9.5000000000000001E-2</v>
      </c>
      <c r="Q10" s="484">
        <v>3813</v>
      </c>
      <c r="R10" s="453">
        <v>2390</v>
      </c>
      <c r="S10" s="1008">
        <v>44.43</v>
      </c>
      <c r="T10" s="291">
        <v>18.59</v>
      </c>
      <c r="U10" s="453">
        <v>341</v>
      </c>
      <c r="V10" s="1008">
        <v>0.28699999999999998</v>
      </c>
      <c r="W10" s="484">
        <v>842</v>
      </c>
      <c r="X10" s="554"/>
      <c r="Y10" s="285">
        <v>4</v>
      </c>
      <c r="Z10" s="247" t="s">
        <v>532</v>
      </c>
      <c r="AA10" s="453">
        <v>165</v>
      </c>
      <c r="AB10" s="1008">
        <v>0.13600000000000001</v>
      </c>
      <c r="AC10" s="484">
        <v>824</v>
      </c>
      <c r="AD10" s="453">
        <v>60</v>
      </c>
      <c r="AE10" s="1008">
        <v>7.0000000000000007E-2</v>
      </c>
      <c r="AF10" s="484">
        <v>1165</v>
      </c>
      <c r="AG10" s="453">
        <v>107</v>
      </c>
      <c r="AH10" s="1008">
        <v>0.122</v>
      </c>
      <c r="AI10" s="484">
        <v>1140</v>
      </c>
      <c r="AJ10" s="453">
        <v>940</v>
      </c>
      <c r="AK10" s="1008">
        <v>0.75800000000000001</v>
      </c>
      <c r="AL10" s="484">
        <v>807</v>
      </c>
      <c r="AM10" s="453">
        <v>7</v>
      </c>
      <c r="AN10" s="1008">
        <v>5.0000000000000001E-3</v>
      </c>
      <c r="AO10" s="791">
        <v>758</v>
      </c>
      <c r="AP10" s="453">
        <v>278</v>
      </c>
      <c r="AQ10" s="1008">
        <v>8.5359999999999996</v>
      </c>
      <c r="AR10" s="484">
        <v>30706</v>
      </c>
      <c r="AS10" s="453">
        <v>4</v>
      </c>
      <c r="AT10" s="1008">
        <v>0.40899999999999997</v>
      </c>
      <c r="AU10" s="484">
        <v>102366</v>
      </c>
    </row>
    <row r="11" spans="1:52" ht="24" customHeight="1">
      <c r="A11" s="285">
        <v>5</v>
      </c>
      <c r="B11" s="247" t="s">
        <v>533</v>
      </c>
      <c r="C11" s="453">
        <v>127</v>
      </c>
      <c r="D11" s="1008">
        <v>0.247</v>
      </c>
      <c r="E11" s="484">
        <v>1943</v>
      </c>
      <c r="F11" s="453">
        <v>1132</v>
      </c>
      <c r="G11" s="1008">
        <v>3.3460000000000001</v>
      </c>
      <c r="H11" s="484">
        <v>2956</v>
      </c>
      <c r="I11" s="453">
        <v>4504</v>
      </c>
      <c r="J11" s="1008">
        <v>18.663</v>
      </c>
      <c r="K11" s="484">
        <v>4144</v>
      </c>
      <c r="L11" s="453">
        <v>4643</v>
      </c>
      <c r="M11" s="1008">
        <v>14.653</v>
      </c>
      <c r="N11" s="484">
        <v>3156</v>
      </c>
      <c r="O11" s="453">
        <v>649</v>
      </c>
      <c r="P11" s="1008">
        <v>2.3109999999999999</v>
      </c>
      <c r="Q11" s="484">
        <v>3561</v>
      </c>
      <c r="R11" s="453">
        <v>3270</v>
      </c>
      <c r="S11" s="1008">
        <v>50.128999999999998</v>
      </c>
      <c r="T11" s="291">
        <v>15.33</v>
      </c>
      <c r="U11" s="453">
        <v>71</v>
      </c>
      <c r="V11" s="1008">
        <v>6.2E-2</v>
      </c>
      <c r="W11" s="484">
        <v>867</v>
      </c>
      <c r="X11" s="554"/>
      <c r="Y11" s="285">
        <v>5</v>
      </c>
      <c r="Z11" s="247" t="s">
        <v>533</v>
      </c>
      <c r="AA11" s="453">
        <v>924</v>
      </c>
      <c r="AB11" s="1008">
        <v>0.81399999999999995</v>
      </c>
      <c r="AC11" s="484">
        <v>881</v>
      </c>
      <c r="AD11" s="453">
        <v>42</v>
      </c>
      <c r="AE11" s="1008">
        <v>4.9000000000000002E-2</v>
      </c>
      <c r="AF11" s="484">
        <v>1165</v>
      </c>
      <c r="AG11" s="453">
        <v>343</v>
      </c>
      <c r="AH11" s="1008">
        <v>0.26300000000000001</v>
      </c>
      <c r="AI11" s="484">
        <v>767</v>
      </c>
      <c r="AJ11" s="453">
        <v>1302</v>
      </c>
      <c r="AK11" s="1008">
        <v>1.4</v>
      </c>
      <c r="AL11" s="484">
        <v>1075</v>
      </c>
      <c r="AM11" s="453" t="s">
        <v>1509</v>
      </c>
      <c r="AN11" s="1008" t="s">
        <v>1509</v>
      </c>
      <c r="AO11" s="484" t="s">
        <v>1509</v>
      </c>
      <c r="AP11" s="453">
        <v>203</v>
      </c>
      <c r="AQ11" s="1008">
        <v>6.9660000000000002</v>
      </c>
      <c r="AR11" s="484">
        <v>34313</v>
      </c>
      <c r="AS11" s="453">
        <v>101</v>
      </c>
      <c r="AT11" s="1008">
        <v>10.339</v>
      </c>
      <c r="AU11" s="484">
        <v>102366</v>
      </c>
    </row>
    <row r="12" spans="1:52" ht="24" customHeight="1">
      <c r="A12" s="285">
        <v>6</v>
      </c>
      <c r="B12" s="247" t="s">
        <v>573</v>
      </c>
      <c r="C12" s="453">
        <v>27</v>
      </c>
      <c r="D12" s="1008">
        <v>5.1999999999999998E-2</v>
      </c>
      <c r="E12" s="484">
        <v>1943</v>
      </c>
      <c r="F12" s="453">
        <v>5960</v>
      </c>
      <c r="G12" s="1008">
        <v>19.321999999999999</v>
      </c>
      <c r="H12" s="484">
        <v>3242</v>
      </c>
      <c r="I12" s="453">
        <v>5593</v>
      </c>
      <c r="J12" s="1008">
        <v>18.138999999999999</v>
      </c>
      <c r="K12" s="484">
        <v>3243</v>
      </c>
      <c r="L12" s="453">
        <v>2530</v>
      </c>
      <c r="M12" s="1008">
        <v>7.3860000000000001</v>
      </c>
      <c r="N12" s="484">
        <v>2919</v>
      </c>
      <c r="O12" s="453">
        <v>691</v>
      </c>
      <c r="P12" s="1008">
        <v>2.3820000000000001</v>
      </c>
      <c r="Q12" s="484">
        <v>3447</v>
      </c>
      <c r="R12" s="453">
        <v>3057</v>
      </c>
      <c r="S12" s="1008">
        <v>55.209000000000003</v>
      </c>
      <c r="T12" s="291">
        <v>18.059999999999999</v>
      </c>
      <c r="U12" s="453">
        <v>407</v>
      </c>
      <c r="V12" s="1008">
        <v>0.41699999999999998</v>
      </c>
      <c r="W12" s="484">
        <v>1025</v>
      </c>
      <c r="X12" s="554"/>
      <c r="Y12" s="285">
        <v>6</v>
      </c>
      <c r="Z12" s="247" t="s">
        <v>573</v>
      </c>
      <c r="AA12" s="453">
        <v>1294</v>
      </c>
      <c r="AB12" s="1008">
        <v>1.284</v>
      </c>
      <c r="AC12" s="484">
        <v>992</v>
      </c>
      <c r="AD12" s="453">
        <v>580</v>
      </c>
      <c r="AE12" s="1008">
        <v>0.63900000000000001</v>
      </c>
      <c r="AF12" s="484">
        <v>1102</v>
      </c>
      <c r="AG12" s="453">
        <v>651</v>
      </c>
      <c r="AH12" s="1008">
        <v>0.54200000000000004</v>
      </c>
      <c r="AI12" s="484">
        <v>832</v>
      </c>
      <c r="AJ12" s="453">
        <v>8506</v>
      </c>
      <c r="AK12" s="1008">
        <v>10.061</v>
      </c>
      <c r="AL12" s="484">
        <v>1183</v>
      </c>
      <c r="AM12" s="1011">
        <v>8</v>
      </c>
      <c r="AN12" s="1008">
        <v>6.0000000000000001E-3</v>
      </c>
      <c r="AO12" s="484">
        <v>758</v>
      </c>
      <c r="AP12" s="453">
        <v>74</v>
      </c>
      <c r="AQ12" s="1008">
        <v>2.5139999999999998</v>
      </c>
      <c r="AR12" s="484">
        <v>33979</v>
      </c>
      <c r="AS12" s="453">
        <v>43</v>
      </c>
      <c r="AT12" s="1008">
        <v>4.4020000000000001</v>
      </c>
      <c r="AU12" s="484">
        <v>102366</v>
      </c>
    </row>
    <row r="13" spans="1:52" ht="24" customHeight="1">
      <c r="A13" s="285">
        <v>7</v>
      </c>
      <c r="B13" s="247" t="s">
        <v>974</v>
      </c>
      <c r="C13" s="453">
        <v>61</v>
      </c>
      <c r="D13" s="1008">
        <v>0.11899999999999999</v>
      </c>
      <c r="E13" s="484">
        <v>1943</v>
      </c>
      <c r="F13" s="453">
        <v>29577</v>
      </c>
      <c r="G13" s="1008">
        <v>97.935000000000002</v>
      </c>
      <c r="H13" s="484">
        <v>3311</v>
      </c>
      <c r="I13" s="453">
        <v>5995</v>
      </c>
      <c r="J13" s="1008">
        <v>24.515999999999998</v>
      </c>
      <c r="K13" s="484">
        <v>4089</v>
      </c>
      <c r="L13" s="453">
        <v>5958</v>
      </c>
      <c r="M13" s="1008">
        <v>21.145</v>
      </c>
      <c r="N13" s="484">
        <v>3549</v>
      </c>
      <c r="O13" s="453">
        <v>17</v>
      </c>
      <c r="P13" s="1008">
        <v>6.5000000000000002E-2</v>
      </c>
      <c r="Q13" s="484">
        <v>3813</v>
      </c>
      <c r="R13" s="453">
        <v>346</v>
      </c>
      <c r="S13" s="1008">
        <v>5.9480000000000004</v>
      </c>
      <c r="T13" s="291">
        <v>17.190000000000001</v>
      </c>
      <c r="U13" s="453">
        <v>100</v>
      </c>
      <c r="V13" s="1008">
        <v>8.5999999999999993E-2</v>
      </c>
      <c r="W13" s="484">
        <v>860</v>
      </c>
      <c r="X13" s="554"/>
      <c r="Y13" s="285">
        <v>7</v>
      </c>
      <c r="Z13" s="247" t="s">
        <v>974</v>
      </c>
      <c r="AA13" s="453">
        <v>677</v>
      </c>
      <c r="AB13" s="1008">
        <v>0.63100000000000001</v>
      </c>
      <c r="AC13" s="484">
        <v>933</v>
      </c>
      <c r="AD13" s="453">
        <v>60</v>
      </c>
      <c r="AE13" s="1008">
        <v>7.0000000000000007E-2</v>
      </c>
      <c r="AF13" s="484">
        <v>1165</v>
      </c>
      <c r="AG13" s="453">
        <v>48</v>
      </c>
      <c r="AH13" s="1008">
        <v>5.5E-2</v>
      </c>
      <c r="AI13" s="484">
        <v>1140</v>
      </c>
      <c r="AJ13" s="453">
        <v>1020</v>
      </c>
      <c r="AK13" s="1008">
        <v>0.89400000000000002</v>
      </c>
      <c r="AL13" s="484">
        <v>876</v>
      </c>
      <c r="AM13" s="453">
        <v>40</v>
      </c>
      <c r="AN13" s="1008">
        <v>0.03</v>
      </c>
      <c r="AO13" s="484">
        <v>758</v>
      </c>
      <c r="AP13" s="453">
        <v>437</v>
      </c>
      <c r="AQ13" s="1008">
        <v>10.516999999999999</v>
      </c>
      <c r="AR13" s="484">
        <v>24066</v>
      </c>
      <c r="AS13" s="791">
        <v>1</v>
      </c>
      <c r="AT13" s="1008">
        <v>0.10199999999999999</v>
      </c>
      <c r="AU13" s="484">
        <v>102366</v>
      </c>
    </row>
    <row r="14" spans="1:52" ht="24" customHeight="1">
      <c r="A14" s="285">
        <v>8</v>
      </c>
      <c r="B14" s="247" t="s">
        <v>1510</v>
      </c>
      <c r="C14" s="453">
        <v>15</v>
      </c>
      <c r="D14" s="1008">
        <v>2.9000000000000001E-2</v>
      </c>
      <c r="E14" s="484">
        <v>1943</v>
      </c>
      <c r="F14" s="453">
        <v>1502</v>
      </c>
      <c r="G14" s="1008">
        <v>4.2149999999999999</v>
      </c>
      <c r="H14" s="484">
        <v>2806</v>
      </c>
      <c r="I14" s="453">
        <v>3697</v>
      </c>
      <c r="J14" s="1008">
        <v>11.738</v>
      </c>
      <c r="K14" s="484">
        <v>3175</v>
      </c>
      <c r="L14" s="449">
        <v>497</v>
      </c>
      <c r="M14" s="1032">
        <v>1.125</v>
      </c>
      <c r="N14" s="484">
        <v>2264</v>
      </c>
      <c r="O14" s="453">
        <v>10</v>
      </c>
      <c r="P14" s="1008">
        <v>3.7999999999999999E-2</v>
      </c>
      <c r="Q14" s="484">
        <v>3813</v>
      </c>
      <c r="R14" s="453">
        <v>165</v>
      </c>
      <c r="S14" s="1008">
        <v>2.1419999999999999</v>
      </c>
      <c r="T14" s="291">
        <v>12.98</v>
      </c>
      <c r="U14" s="453">
        <v>26</v>
      </c>
      <c r="V14" s="1008">
        <v>2.5999999999999999E-2</v>
      </c>
      <c r="W14" s="484">
        <v>991</v>
      </c>
      <c r="X14" s="554"/>
      <c r="Y14" s="285">
        <v>8</v>
      </c>
      <c r="Z14" s="247" t="s">
        <v>1510</v>
      </c>
      <c r="AA14" s="453">
        <v>17</v>
      </c>
      <c r="AB14" s="1008">
        <v>1.6E-2</v>
      </c>
      <c r="AC14" s="484">
        <v>933</v>
      </c>
      <c r="AD14" s="791" t="s">
        <v>1509</v>
      </c>
      <c r="AE14" s="791" t="s">
        <v>1509</v>
      </c>
      <c r="AF14" s="791" t="s">
        <v>1509</v>
      </c>
      <c r="AG14" s="453">
        <v>14</v>
      </c>
      <c r="AH14" s="1008">
        <v>1.6E-2</v>
      </c>
      <c r="AI14" s="484">
        <v>1140</v>
      </c>
      <c r="AJ14" s="453">
        <v>2781</v>
      </c>
      <c r="AK14" s="1008">
        <v>2.6789999999999998</v>
      </c>
      <c r="AL14" s="484">
        <v>963</v>
      </c>
      <c r="AM14" s="453">
        <v>7</v>
      </c>
      <c r="AN14" s="1008">
        <v>5.0000000000000001E-3</v>
      </c>
      <c r="AO14" s="484">
        <v>758</v>
      </c>
      <c r="AP14" s="791">
        <v>1336</v>
      </c>
      <c r="AQ14" s="1008">
        <v>48.362000000000002</v>
      </c>
      <c r="AR14" s="484">
        <v>36199</v>
      </c>
      <c r="AS14" s="453">
        <v>3</v>
      </c>
      <c r="AT14" s="1008">
        <v>0.307</v>
      </c>
      <c r="AU14" s="484">
        <v>102366</v>
      </c>
    </row>
    <row r="15" spans="1:52" ht="24" customHeight="1">
      <c r="A15" s="285">
        <v>9</v>
      </c>
      <c r="B15" s="247" t="s">
        <v>577</v>
      </c>
      <c r="C15" s="453">
        <v>97</v>
      </c>
      <c r="D15" s="1008">
        <v>0.188</v>
      </c>
      <c r="E15" s="484">
        <v>1943</v>
      </c>
      <c r="F15" s="453">
        <v>1967</v>
      </c>
      <c r="G15" s="1008">
        <v>5.1639999999999997</v>
      </c>
      <c r="H15" s="484">
        <v>2625</v>
      </c>
      <c r="I15" s="453">
        <v>5280</v>
      </c>
      <c r="J15" s="1008">
        <v>21.577000000000002</v>
      </c>
      <c r="K15" s="484">
        <v>4087</v>
      </c>
      <c r="L15" s="449">
        <v>454</v>
      </c>
      <c r="M15" s="1032">
        <v>1.238</v>
      </c>
      <c r="N15" s="484">
        <v>2727</v>
      </c>
      <c r="O15" s="453">
        <v>5</v>
      </c>
      <c r="P15" s="1008">
        <v>1.9E-2</v>
      </c>
      <c r="Q15" s="484">
        <v>3813</v>
      </c>
      <c r="R15" s="453">
        <v>125</v>
      </c>
      <c r="S15" s="1008">
        <v>2.0249999999999999</v>
      </c>
      <c r="T15" s="291">
        <v>16.2</v>
      </c>
      <c r="U15" s="453">
        <v>30</v>
      </c>
      <c r="V15" s="1008">
        <v>1.9E-2</v>
      </c>
      <c r="W15" s="484">
        <v>648</v>
      </c>
      <c r="X15" s="554"/>
      <c r="Y15" s="285">
        <v>9</v>
      </c>
      <c r="Z15" s="247" t="s">
        <v>577</v>
      </c>
      <c r="AA15" s="453">
        <v>28</v>
      </c>
      <c r="AB15" s="1032">
        <v>2.1999999999999999E-2</v>
      </c>
      <c r="AC15" s="484">
        <v>772</v>
      </c>
      <c r="AD15" s="791">
        <v>109</v>
      </c>
      <c r="AE15" s="1008">
        <v>0.127</v>
      </c>
      <c r="AF15" s="791">
        <v>1165</v>
      </c>
      <c r="AG15" s="453">
        <v>92</v>
      </c>
      <c r="AH15" s="1008">
        <v>0.105</v>
      </c>
      <c r="AI15" s="484">
        <v>1140</v>
      </c>
      <c r="AJ15" s="453">
        <v>1053</v>
      </c>
      <c r="AK15" s="1008">
        <v>0.96899999999999997</v>
      </c>
      <c r="AL15" s="484">
        <v>920</v>
      </c>
      <c r="AM15" s="453">
        <v>4</v>
      </c>
      <c r="AN15" s="1008">
        <v>3.0000000000000001E-3</v>
      </c>
      <c r="AO15" s="484">
        <v>758</v>
      </c>
      <c r="AP15" s="791">
        <v>303</v>
      </c>
      <c r="AQ15" s="290">
        <v>8.452</v>
      </c>
      <c r="AR15" s="484">
        <v>27893</v>
      </c>
      <c r="AS15" s="791" t="s">
        <v>1509</v>
      </c>
      <c r="AT15" s="791" t="s">
        <v>1509</v>
      </c>
      <c r="AU15" s="484" t="s">
        <v>1509</v>
      </c>
    </row>
    <row r="16" spans="1:52" ht="24" customHeight="1">
      <c r="A16" s="285">
        <v>10</v>
      </c>
      <c r="B16" s="247" t="s">
        <v>578</v>
      </c>
      <c r="C16" s="453">
        <v>705</v>
      </c>
      <c r="D16" s="1008">
        <v>1.37</v>
      </c>
      <c r="E16" s="484">
        <v>1943</v>
      </c>
      <c r="F16" s="453">
        <v>1201</v>
      </c>
      <c r="G16" s="1008">
        <v>2.7690000000000001</v>
      </c>
      <c r="H16" s="484">
        <v>2306</v>
      </c>
      <c r="I16" s="453">
        <v>3751</v>
      </c>
      <c r="J16" s="1008">
        <v>14.733000000000001</v>
      </c>
      <c r="K16" s="484">
        <v>3928</v>
      </c>
      <c r="L16" s="453">
        <v>369</v>
      </c>
      <c r="M16" s="1008">
        <v>1.04</v>
      </c>
      <c r="N16" s="484">
        <v>2819</v>
      </c>
      <c r="O16" s="453">
        <v>189</v>
      </c>
      <c r="P16" s="1008">
        <v>0.73699999999999999</v>
      </c>
      <c r="Q16" s="484">
        <v>3900</v>
      </c>
      <c r="R16" s="453">
        <v>210</v>
      </c>
      <c r="S16" s="1008">
        <v>3.524</v>
      </c>
      <c r="T16" s="291">
        <v>16.78</v>
      </c>
      <c r="U16" s="453">
        <v>8</v>
      </c>
      <c r="V16" s="1008">
        <v>7.0000000000000001E-3</v>
      </c>
      <c r="W16" s="484">
        <v>820</v>
      </c>
      <c r="X16" s="554"/>
      <c r="Y16" s="285">
        <v>10</v>
      </c>
      <c r="Z16" s="247" t="s">
        <v>578</v>
      </c>
      <c r="AA16" s="453">
        <v>128</v>
      </c>
      <c r="AB16" s="1008">
        <v>0.154</v>
      </c>
      <c r="AC16" s="484">
        <v>1207</v>
      </c>
      <c r="AD16" s="791">
        <v>328</v>
      </c>
      <c r="AE16" s="1008">
        <v>0.35499999999999998</v>
      </c>
      <c r="AF16" s="791">
        <v>1081</v>
      </c>
      <c r="AG16" s="1011">
        <v>38</v>
      </c>
      <c r="AH16" s="1012">
        <v>4.2999999999999997E-2</v>
      </c>
      <c r="AI16" s="484">
        <v>1140</v>
      </c>
      <c r="AJ16" s="453">
        <v>1430</v>
      </c>
      <c r="AK16" s="1008">
        <v>1.4419999999999999</v>
      </c>
      <c r="AL16" s="484">
        <v>1008</v>
      </c>
      <c r="AM16" s="791">
        <v>11</v>
      </c>
      <c r="AN16" s="1008">
        <v>8.0000000000000002E-3</v>
      </c>
      <c r="AO16" s="484">
        <v>758</v>
      </c>
      <c r="AP16" s="453">
        <v>1210</v>
      </c>
      <c r="AQ16" s="1008">
        <v>39.148000000000003</v>
      </c>
      <c r="AR16" s="484">
        <v>32354</v>
      </c>
      <c r="AS16" s="453">
        <v>29</v>
      </c>
      <c r="AT16" s="1008">
        <v>2.9689999999999999</v>
      </c>
      <c r="AU16" s="484">
        <v>102366</v>
      </c>
    </row>
    <row r="17" spans="1:47" ht="24" customHeight="1">
      <c r="A17" s="285">
        <v>11</v>
      </c>
      <c r="B17" s="247" t="s">
        <v>490</v>
      </c>
      <c r="C17" s="453">
        <v>316</v>
      </c>
      <c r="D17" s="1008">
        <v>0.61399999999999999</v>
      </c>
      <c r="E17" s="484">
        <v>1943</v>
      </c>
      <c r="F17" s="453">
        <v>32122</v>
      </c>
      <c r="G17" s="1008">
        <v>130.875</v>
      </c>
      <c r="H17" s="484">
        <v>4074</v>
      </c>
      <c r="I17" s="453">
        <v>1779</v>
      </c>
      <c r="J17" s="1008">
        <v>7.1520000000000001</v>
      </c>
      <c r="K17" s="484">
        <v>4020</v>
      </c>
      <c r="L17" s="453">
        <v>2348</v>
      </c>
      <c r="M17" s="1008">
        <v>6.7880000000000003</v>
      </c>
      <c r="N17" s="484">
        <v>2891</v>
      </c>
      <c r="O17" s="453">
        <v>247</v>
      </c>
      <c r="P17" s="1008">
        <v>1.0129999999999999</v>
      </c>
      <c r="Q17" s="484">
        <v>4101</v>
      </c>
      <c r="R17" s="453">
        <v>263</v>
      </c>
      <c r="S17" s="1008">
        <v>5.9279999999999999</v>
      </c>
      <c r="T17" s="291">
        <v>22.54</v>
      </c>
      <c r="U17" s="453">
        <v>400</v>
      </c>
      <c r="V17" s="1008">
        <v>0.39800000000000002</v>
      </c>
      <c r="W17" s="484">
        <v>995</v>
      </c>
      <c r="X17" s="554"/>
      <c r="Y17" s="285">
        <v>11</v>
      </c>
      <c r="Z17" s="247" t="s">
        <v>490</v>
      </c>
      <c r="AA17" s="453">
        <v>535</v>
      </c>
      <c r="AB17" s="1008">
        <v>0.65800000000000003</v>
      </c>
      <c r="AC17" s="484">
        <v>1230</v>
      </c>
      <c r="AD17" s="453">
        <v>78</v>
      </c>
      <c r="AE17" s="1008">
        <v>5.8999999999999997E-2</v>
      </c>
      <c r="AF17" s="484">
        <v>755</v>
      </c>
      <c r="AG17" s="453">
        <v>658</v>
      </c>
      <c r="AH17" s="1008">
        <v>1.103</v>
      </c>
      <c r="AI17" s="484">
        <v>1676</v>
      </c>
      <c r="AJ17" s="453">
        <v>443</v>
      </c>
      <c r="AK17" s="1008">
        <v>0.5</v>
      </c>
      <c r="AL17" s="484">
        <v>1128</v>
      </c>
      <c r="AM17" s="453">
        <v>28</v>
      </c>
      <c r="AN17" s="1008">
        <v>2.1000000000000001E-2</v>
      </c>
      <c r="AO17" s="484">
        <v>758</v>
      </c>
      <c r="AP17" s="453">
        <v>14</v>
      </c>
      <c r="AQ17" s="1008">
        <v>0.47199999999999998</v>
      </c>
      <c r="AR17" s="484">
        <v>33713</v>
      </c>
      <c r="AS17" s="453">
        <v>9</v>
      </c>
      <c r="AT17" s="1008">
        <v>0.80300000000000005</v>
      </c>
      <c r="AU17" s="484">
        <v>89186</v>
      </c>
    </row>
    <row r="18" spans="1:47" ht="24" customHeight="1">
      <c r="A18" s="285">
        <v>12</v>
      </c>
      <c r="B18" s="247" t="s">
        <v>580</v>
      </c>
      <c r="C18" s="453">
        <v>202</v>
      </c>
      <c r="D18" s="1008">
        <v>0.39200000000000002</v>
      </c>
      <c r="E18" s="484">
        <v>1943</v>
      </c>
      <c r="F18" s="453">
        <v>1143</v>
      </c>
      <c r="G18" s="1008">
        <v>2.75</v>
      </c>
      <c r="H18" s="791">
        <v>2406</v>
      </c>
      <c r="I18" s="453">
        <v>1094</v>
      </c>
      <c r="J18" s="1008">
        <v>3.9489999999999998</v>
      </c>
      <c r="K18" s="484">
        <v>3610</v>
      </c>
      <c r="L18" s="453">
        <v>7418</v>
      </c>
      <c r="M18" s="1008">
        <v>17.669</v>
      </c>
      <c r="N18" s="484">
        <v>2382</v>
      </c>
      <c r="O18" s="453">
        <v>801</v>
      </c>
      <c r="P18" s="1008">
        <v>3.024</v>
      </c>
      <c r="Q18" s="484">
        <v>3776</v>
      </c>
      <c r="R18" s="453">
        <v>1717</v>
      </c>
      <c r="S18" s="1008">
        <v>22.991</v>
      </c>
      <c r="T18" s="291">
        <v>13.39</v>
      </c>
      <c r="U18" s="453">
        <v>859</v>
      </c>
      <c r="V18" s="1008">
        <v>0.84799999999999998</v>
      </c>
      <c r="W18" s="484">
        <v>987</v>
      </c>
      <c r="X18" s="554"/>
      <c r="Y18" s="285">
        <v>12</v>
      </c>
      <c r="Z18" s="247" t="s">
        <v>580</v>
      </c>
      <c r="AA18" s="453">
        <v>2884</v>
      </c>
      <c r="AB18" s="1008">
        <v>2.8380000000000001</v>
      </c>
      <c r="AC18" s="484">
        <v>984</v>
      </c>
      <c r="AD18" s="791">
        <v>75</v>
      </c>
      <c r="AE18" s="1008">
        <v>6.3E-2</v>
      </c>
      <c r="AF18" s="791">
        <v>836</v>
      </c>
      <c r="AG18" s="453">
        <v>207</v>
      </c>
      <c r="AH18" s="1008">
        <v>0.17100000000000001</v>
      </c>
      <c r="AI18" s="484">
        <v>827</v>
      </c>
      <c r="AJ18" s="453">
        <v>401</v>
      </c>
      <c r="AK18" s="1008">
        <v>0.38200000000000001</v>
      </c>
      <c r="AL18" s="484">
        <v>954</v>
      </c>
      <c r="AM18" s="453">
        <v>18</v>
      </c>
      <c r="AN18" s="1008">
        <v>1.4E-2</v>
      </c>
      <c r="AO18" s="484">
        <v>758</v>
      </c>
      <c r="AP18" s="453">
        <v>97</v>
      </c>
      <c r="AQ18" s="1008">
        <v>3.1349999999999998</v>
      </c>
      <c r="AR18" s="484">
        <v>32318</v>
      </c>
      <c r="AS18" s="453">
        <v>493</v>
      </c>
      <c r="AT18" s="1008">
        <v>46.564999999999998</v>
      </c>
      <c r="AU18" s="484">
        <v>94452</v>
      </c>
    </row>
    <row r="19" spans="1:47" ht="24" customHeight="1">
      <c r="A19" s="285">
        <v>13</v>
      </c>
      <c r="B19" s="247" t="s">
        <v>585</v>
      </c>
      <c r="C19" s="453">
        <v>23</v>
      </c>
      <c r="D19" s="1008">
        <v>4.4999999999999998E-2</v>
      </c>
      <c r="E19" s="484">
        <v>1943</v>
      </c>
      <c r="F19" s="453">
        <v>307</v>
      </c>
      <c r="G19" s="1008">
        <v>0.73199999999999998</v>
      </c>
      <c r="H19" s="484">
        <v>2386</v>
      </c>
      <c r="I19" s="453">
        <v>439</v>
      </c>
      <c r="J19" s="1008">
        <v>1.9370000000000001</v>
      </c>
      <c r="K19" s="484">
        <v>4413</v>
      </c>
      <c r="L19" s="453">
        <v>1951</v>
      </c>
      <c r="M19" s="1008">
        <v>6.6180000000000003</v>
      </c>
      <c r="N19" s="484">
        <v>3392</v>
      </c>
      <c r="O19" s="453">
        <v>75</v>
      </c>
      <c r="P19" s="1008">
        <v>0.31900000000000001</v>
      </c>
      <c r="Q19" s="484">
        <v>4253</v>
      </c>
      <c r="R19" s="453">
        <v>719</v>
      </c>
      <c r="S19" s="1008">
        <v>9.98</v>
      </c>
      <c r="T19" s="291">
        <v>13.88</v>
      </c>
      <c r="U19" s="453">
        <v>95</v>
      </c>
      <c r="V19" s="1008">
        <v>9.5000000000000001E-2</v>
      </c>
      <c r="W19" s="484">
        <v>995</v>
      </c>
      <c r="X19" s="554"/>
      <c r="Y19" s="285">
        <v>13</v>
      </c>
      <c r="Z19" s="247" t="s">
        <v>585</v>
      </c>
      <c r="AA19" s="453">
        <v>143</v>
      </c>
      <c r="AB19" s="1008">
        <v>0.14899999999999999</v>
      </c>
      <c r="AC19" s="484">
        <v>1039</v>
      </c>
      <c r="AD19" s="791">
        <v>19</v>
      </c>
      <c r="AE19" s="1008">
        <v>2.1999999999999999E-2</v>
      </c>
      <c r="AF19" s="791">
        <v>1167</v>
      </c>
      <c r="AG19" s="453">
        <v>65</v>
      </c>
      <c r="AH19" s="1008">
        <v>7.3999999999999996E-2</v>
      </c>
      <c r="AI19" s="484">
        <v>1140</v>
      </c>
      <c r="AJ19" s="453">
        <v>9522</v>
      </c>
      <c r="AK19" s="1008">
        <v>11.683</v>
      </c>
      <c r="AL19" s="484">
        <v>1227</v>
      </c>
      <c r="AM19" s="791" t="s">
        <v>1509</v>
      </c>
      <c r="AN19" s="791" t="s">
        <v>1509</v>
      </c>
      <c r="AO19" s="791" t="s">
        <v>1509</v>
      </c>
      <c r="AP19" s="453">
        <v>58</v>
      </c>
      <c r="AQ19" s="1008">
        <v>1.8029999999999999</v>
      </c>
      <c r="AR19" s="484">
        <v>31092</v>
      </c>
      <c r="AS19" s="453">
        <v>26</v>
      </c>
      <c r="AT19" s="1008">
        <v>2.74</v>
      </c>
      <c r="AU19" s="484">
        <v>105382</v>
      </c>
    </row>
    <row r="20" spans="1:47" ht="24" customHeight="1">
      <c r="A20" s="285">
        <v>14</v>
      </c>
      <c r="B20" s="247" t="s">
        <v>586</v>
      </c>
      <c r="C20" s="453">
        <v>193</v>
      </c>
      <c r="D20" s="1008">
        <v>0.375</v>
      </c>
      <c r="E20" s="484">
        <v>1943</v>
      </c>
      <c r="F20" s="453">
        <v>385</v>
      </c>
      <c r="G20" s="1008">
        <v>0.84799999999999998</v>
      </c>
      <c r="H20" s="484">
        <v>2204</v>
      </c>
      <c r="I20" s="453">
        <v>922</v>
      </c>
      <c r="J20" s="1008">
        <v>3.629</v>
      </c>
      <c r="K20" s="484">
        <v>3936</v>
      </c>
      <c r="L20" s="453">
        <v>1353</v>
      </c>
      <c r="M20" s="1008">
        <v>4.069</v>
      </c>
      <c r="N20" s="484">
        <v>3007</v>
      </c>
      <c r="O20" s="453">
        <v>407</v>
      </c>
      <c r="P20" s="1008">
        <v>1.8460000000000001</v>
      </c>
      <c r="Q20" s="484">
        <v>4535</v>
      </c>
      <c r="R20" s="453">
        <v>497</v>
      </c>
      <c r="S20" s="449">
        <v>7.077</v>
      </c>
      <c r="T20" s="291">
        <v>14.24</v>
      </c>
      <c r="U20" s="453">
        <v>69</v>
      </c>
      <c r="V20" s="1008">
        <v>6.9000000000000006E-2</v>
      </c>
      <c r="W20" s="484">
        <v>995</v>
      </c>
      <c r="X20" s="554"/>
      <c r="Y20" s="285">
        <v>14</v>
      </c>
      <c r="Z20" s="247" t="s">
        <v>586</v>
      </c>
      <c r="AA20" s="453">
        <v>133</v>
      </c>
      <c r="AB20" s="1008">
        <v>0.13900000000000001</v>
      </c>
      <c r="AC20" s="484">
        <v>1048</v>
      </c>
      <c r="AD20" s="453">
        <v>672</v>
      </c>
      <c r="AE20" s="1008">
        <v>0.90700000000000003</v>
      </c>
      <c r="AF20" s="484">
        <v>1350</v>
      </c>
      <c r="AG20" s="453">
        <v>49</v>
      </c>
      <c r="AH20" s="1008">
        <v>7.1999999999999995E-2</v>
      </c>
      <c r="AI20" s="484">
        <v>1161</v>
      </c>
      <c r="AJ20" s="453">
        <v>691</v>
      </c>
      <c r="AK20" s="1008">
        <v>0.56399999999999995</v>
      </c>
      <c r="AL20" s="484">
        <v>816</v>
      </c>
      <c r="AM20" s="791">
        <v>10</v>
      </c>
      <c r="AN20" s="1008">
        <v>8.0000000000000002E-3</v>
      </c>
      <c r="AO20" s="791">
        <v>758</v>
      </c>
      <c r="AP20" s="453">
        <v>111</v>
      </c>
      <c r="AQ20" s="1008">
        <v>3.7639999999999998</v>
      </c>
      <c r="AR20" s="484">
        <v>33906</v>
      </c>
      <c r="AS20" s="453">
        <v>1007</v>
      </c>
      <c r="AT20" s="1008">
        <v>107.024</v>
      </c>
      <c r="AU20" s="484">
        <v>106280</v>
      </c>
    </row>
    <row r="21" spans="1:47" ht="24" customHeight="1">
      <c r="A21" s="292">
        <v>15</v>
      </c>
      <c r="B21" s="249" t="s">
        <v>587</v>
      </c>
      <c r="C21" s="485">
        <v>1202</v>
      </c>
      <c r="D21" s="1009">
        <v>2.335</v>
      </c>
      <c r="E21" s="486">
        <v>1943</v>
      </c>
      <c r="F21" s="485">
        <v>2436</v>
      </c>
      <c r="G21" s="1009">
        <v>7.3719999999999999</v>
      </c>
      <c r="H21" s="486">
        <v>3026</v>
      </c>
      <c r="I21" s="485">
        <v>1838</v>
      </c>
      <c r="J21" s="1009">
        <v>7.2880000000000003</v>
      </c>
      <c r="K21" s="486">
        <v>3965</v>
      </c>
      <c r="L21" s="485">
        <v>7745</v>
      </c>
      <c r="M21" s="1009">
        <v>20.285</v>
      </c>
      <c r="N21" s="486">
        <v>2619</v>
      </c>
      <c r="O21" s="485">
        <v>157</v>
      </c>
      <c r="P21" s="1009">
        <v>0.63500000000000001</v>
      </c>
      <c r="Q21" s="1070">
        <v>4043</v>
      </c>
      <c r="R21" s="1308">
        <v>2045</v>
      </c>
      <c r="S21" s="1009">
        <v>29.959</v>
      </c>
      <c r="T21" s="1010">
        <v>14.65</v>
      </c>
      <c r="U21" s="485">
        <v>971</v>
      </c>
      <c r="V21" s="1009">
        <v>1.119</v>
      </c>
      <c r="W21" s="486">
        <v>1152</v>
      </c>
      <c r="X21" s="554"/>
      <c r="Y21" s="292">
        <v>15</v>
      </c>
      <c r="Z21" s="249" t="s">
        <v>587</v>
      </c>
      <c r="AA21" s="485">
        <v>2709</v>
      </c>
      <c r="AB21" s="1009">
        <v>1.9630000000000001</v>
      </c>
      <c r="AC21" s="486">
        <v>725</v>
      </c>
      <c r="AD21" s="485">
        <v>67</v>
      </c>
      <c r="AE21" s="1009">
        <v>7.8E-2</v>
      </c>
      <c r="AF21" s="486">
        <v>1165</v>
      </c>
      <c r="AG21" s="485">
        <v>703</v>
      </c>
      <c r="AH21" s="1009">
        <v>0.80100000000000005</v>
      </c>
      <c r="AI21" s="486">
        <v>1140</v>
      </c>
      <c r="AJ21" s="485">
        <v>728</v>
      </c>
      <c r="AK21" s="1009">
        <v>0.60599999999999998</v>
      </c>
      <c r="AL21" s="486">
        <v>833</v>
      </c>
      <c r="AM21" s="485">
        <v>32</v>
      </c>
      <c r="AN21" s="1009">
        <v>2.4E-2</v>
      </c>
      <c r="AO21" s="486">
        <v>758</v>
      </c>
      <c r="AP21" s="485">
        <v>514</v>
      </c>
      <c r="AQ21" s="1009">
        <v>17.846</v>
      </c>
      <c r="AR21" s="486">
        <v>34719</v>
      </c>
      <c r="AS21" s="485">
        <v>179</v>
      </c>
      <c r="AT21" s="1009">
        <v>18.323</v>
      </c>
      <c r="AU21" s="486">
        <v>102366</v>
      </c>
    </row>
    <row r="22" spans="1:47" ht="13.5">
      <c r="B22" s="536"/>
      <c r="D22" s="6"/>
      <c r="E22" s="791"/>
      <c r="F22" s="38"/>
      <c r="G22" s="6"/>
      <c r="I22" s="6"/>
      <c r="J22" s="6"/>
      <c r="K22" s="6"/>
      <c r="L22" s="6"/>
      <c r="M22" s="6"/>
      <c r="N22" s="6"/>
      <c r="R22" s="6"/>
      <c r="S22" s="6"/>
      <c r="U22" s="312"/>
      <c r="W22" s="847" t="s">
        <v>216</v>
      </c>
      <c r="X22" s="312"/>
      <c r="Y22" s="315" t="s">
        <v>344</v>
      </c>
      <c r="Z22" s="312"/>
      <c r="AB22" s="535"/>
      <c r="AC22" s="165"/>
      <c r="AD22" s="165"/>
      <c r="AE22" s="165"/>
      <c r="AF22" s="609"/>
      <c r="AG22" s="976"/>
      <c r="AH22" s="976"/>
      <c r="AI22" s="70"/>
      <c r="AJ22" s="557"/>
      <c r="AK22" s="6"/>
      <c r="AM22" s="6"/>
      <c r="AN22" s="6"/>
      <c r="AO22" s="6"/>
      <c r="AP22" s="6"/>
      <c r="AQ22" s="924" t="s">
        <v>117</v>
      </c>
      <c r="AR22" s="951" t="s">
        <v>1127</v>
      </c>
      <c r="AT22" s="6"/>
      <c r="AU22" s="6"/>
    </row>
    <row r="23" spans="1:47" ht="13.5">
      <c r="D23" s="6"/>
      <c r="E23" s="6"/>
      <c r="F23" s="6"/>
      <c r="G23" s="6"/>
      <c r="I23" s="6"/>
      <c r="J23" s="6"/>
      <c r="K23" s="6"/>
      <c r="L23" s="6"/>
      <c r="M23" s="40"/>
      <c r="N23" s="294"/>
      <c r="R23" s="6"/>
      <c r="S23" s="6"/>
      <c r="T23" s="6"/>
      <c r="W23" s="312"/>
      <c r="X23" s="312"/>
      <c r="Y23" s="993" t="s">
        <v>343</v>
      </c>
      <c r="Z23" s="312"/>
      <c r="AA23" s="165"/>
      <c r="AC23" s="165"/>
      <c r="AD23" s="25" t="s">
        <v>1128</v>
      </c>
      <c r="AE23" s="165"/>
      <c r="AF23" s="6"/>
      <c r="AG23" s="977"/>
      <c r="AH23" s="977"/>
      <c r="AI23" s="70"/>
      <c r="AJ23" s="6"/>
      <c r="AK23" s="6"/>
      <c r="AL23" s="166"/>
      <c r="AM23" s="6"/>
      <c r="AN23" s="6"/>
      <c r="AO23" s="6"/>
      <c r="AP23" s="6"/>
      <c r="AQ23" s="25"/>
      <c r="AR23" s="951" t="s">
        <v>557</v>
      </c>
      <c r="AT23" s="6"/>
      <c r="AU23" s="6"/>
    </row>
    <row r="24" spans="1:47">
      <c r="A24" s="6"/>
      <c r="B24" s="6"/>
      <c r="C24" s="6"/>
      <c r="D24" s="6"/>
      <c r="E24" s="6"/>
      <c r="F24" s="6"/>
      <c r="G24" s="6"/>
      <c r="H24" s="6"/>
      <c r="I24" s="6"/>
      <c r="J24" s="6"/>
      <c r="K24" s="6"/>
      <c r="L24" s="6"/>
      <c r="M24" s="6"/>
      <c r="N24" s="294"/>
      <c r="R24" s="6"/>
      <c r="S24" s="6"/>
      <c r="T24" s="6"/>
      <c r="W24" s="312"/>
      <c r="X24" s="312"/>
      <c r="Y24" s="315" t="s">
        <v>342</v>
      </c>
      <c r="Z24" s="312"/>
      <c r="AA24" s="165"/>
      <c r="AC24" s="165"/>
      <c r="AD24" s="165"/>
      <c r="AE24" s="165"/>
      <c r="AF24" s="6"/>
      <c r="AJ24" s="6"/>
      <c r="AM24" s="6"/>
      <c r="AN24" s="6"/>
      <c r="AO24" s="6"/>
      <c r="AP24" s="6"/>
      <c r="AQ24" s="6"/>
      <c r="AR24" s="6"/>
      <c r="AS24" s="6"/>
      <c r="AT24" s="6"/>
      <c r="AU24" s="6"/>
    </row>
    <row r="25" spans="1:47">
      <c r="A25" s="6"/>
      <c r="B25" s="6"/>
      <c r="C25" s="6"/>
      <c r="D25" s="6"/>
      <c r="E25" s="6"/>
      <c r="F25" s="6"/>
      <c r="G25" s="6"/>
      <c r="H25" s="6"/>
      <c r="I25" s="6"/>
      <c r="J25" s="6"/>
      <c r="K25" s="6"/>
      <c r="L25" s="6"/>
      <c r="M25" s="6"/>
      <c r="N25" s="6"/>
      <c r="O25" s="6"/>
      <c r="P25" s="6"/>
      <c r="Q25" s="6"/>
      <c r="S25" s="6"/>
      <c r="T25" s="6"/>
      <c r="U25" s="6"/>
      <c r="V25" s="312"/>
      <c r="W25" s="312"/>
      <c r="X25" s="312"/>
      <c r="Y25" s="312"/>
      <c r="Z25" s="312"/>
      <c r="AA25" s="6"/>
      <c r="AC25" s="6"/>
      <c r="AD25" s="6"/>
      <c r="AE25" s="6"/>
      <c r="AF25" s="6"/>
      <c r="AG25" s="6"/>
      <c r="AH25" s="6"/>
      <c r="AI25" s="6"/>
      <c r="AJ25" s="6"/>
      <c r="AK25" s="6"/>
      <c r="AL25" s="6"/>
      <c r="AM25" s="6"/>
      <c r="AN25" s="6"/>
      <c r="AO25" s="6"/>
      <c r="AP25" s="6"/>
      <c r="AQ25" s="6"/>
      <c r="AR25" s="6"/>
      <c r="AS25" s="6"/>
      <c r="AT25" s="6"/>
      <c r="AU25" s="6"/>
    </row>
    <row r="33" spans="1:47">
      <c r="R33" s="13"/>
    </row>
    <row r="34" spans="1:47">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row>
    <row r="35" spans="1:47">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row>
    <row r="36" spans="1:47">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row>
    <row r="37" spans="1:47">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row>
    <row r="38" spans="1:47">
      <c r="A38" s="13"/>
      <c r="B38" s="13"/>
      <c r="C38" s="13"/>
      <c r="D38" s="13"/>
      <c r="E38" s="13"/>
      <c r="F38" s="13"/>
      <c r="G38" s="13"/>
      <c r="H38" s="13"/>
      <c r="I38" s="13"/>
      <c r="J38" s="13"/>
      <c r="K38" s="13"/>
      <c r="L38" s="13"/>
      <c r="M38" s="13"/>
      <c r="N38" s="13"/>
      <c r="O38" s="13"/>
      <c r="P38" s="13"/>
      <c r="Q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row>
  </sheetData>
  <mergeCells count="21">
    <mergeCell ref="AM4:AO4"/>
    <mergeCell ref="I4:K4"/>
    <mergeCell ref="L4:N4"/>
    <mergeCell ref="Y2:AU2"/>
    <mergeCell ref="AA4:AC4"/>
    <mergeCell ref="AD4:AF4"/>
    <mergeCell ref="AS4:AU4"/>
    <mergeCell ref="AP4:AR4"/>
    <mergeCell ref="Z4:Z5"/>
    <mergeCell ref="AJ4:AL4"/>
    <mergeCell ref="AG4:AI4"/>
    <mergeCell ref="F4:H4"/>
    <mergeCell ref="Y4:Y5"/>
    <mergeCell ref="A1:W1"/>
    <mergeCell ref="A2:W2"/>
    <mergeCell ref="A4:A5"/>
    <mergeCell ref="U4:W4"/>
    <mergeCell ref="R4:T4"/>
    <mergeCell ref="B4:B5"/>
    <mergeCell ref="O4:Q4"/>
    <mergeCell ref="C4:E4"/>
  </mergeCells>
  <phoneticPr fontId="0" type="noConversion"/>
  <printOptions horizontalCentered="1"/>
  <pageMargins left="0.1" right="0.1" top="0.77" bottom="0.1" header="0.57999999999999996" footer="0.1"/>
  <pageSetup paperSize="9" scale="99" orientation="landscape" blackAndWhite="1" horizontalDpi="4294967295" r:id="rId1"/>
  <headerFooter alignWithMargins="0"/>
  <colBreaks count="1" manualBreakCount="1">
    <brk id="23" max="1048575" man="1"/>
  </colBreaks>
</worksheet>
</file>

<file path=xl/worksheets/sheet8.xml><?xml version="1.0" encoding="utf-8"?>
<worksheet xmlns="http://schemas.openxmlformats.org/spreadsheetml/2006/main" xmlns:r="http://schemas.openxmlformats.org/officeDocument/2006/relationships">
  <sheetPr codeName="Sheet7"/>
  <dimension ref="A1:R62"/>
  <sheetViews>
    <sheetView workbookViewId="0">
      <selection activeCell="U14" sqref="U14"/>
    </sheetView>
  </sheetViews>
  <sheetFormatPr defaultRowHeight="12.75"/>
  <cols>
    <col min="1" max="1" width="12.28515625" style="73" customWidth="1"/>
    <col min="2" max="2" width="14.140625" style="73" customWidth="1"/>
    <col min="3" max="3" width="14.85546875" style="11" customWidth="1"/>
    <col min="4" max="4" width="6.140625" style="11" customWidth="1"/>
    <col min="5" max="5" width="5.140625" style="11" customWidth="1"/>
    <col min="6" max="6" width="7.42578125" style="11" customWidth="1"/>
    <col min="7" max="7" width="7.7109375" style="11" bestFit="1" customWidth="1"/>
    <col min="8" max="8" width="8.5703125" style="11" customWidth="1"/>
    <col min="9" max="9" width="7.7109375" style="11" customWidth="1"/>
    <col min="10" max="10" width="5" style="11" customWidth="1"/>
    <col min="11" max="11" width="7" style="11" customWidth="1"/>
    <col min="12" max="12" width="5.42578125" style="11" customWidth="1"/>
    <col min="13" max="13" width="5.140625" style="11" customWidth="1"/>
    <col min="14" max="14" width="5" style="11" customWidth="1"/>
    <col min="15" max="15" width="4.85546875" style="11" customWidth="1"/>
    <col min="16" max="16" width="7.7109375" style="11" customWidth="1"/>
    <col min="17" max="17" width="6.7109375" style="11" customWidth="1"/>
    <col min="18" max="18" width="7.85546875" style="11" customWidth="1"/>
    <col min="19" max="16384" width="9.140625" style="11"/>
  </cols>
  <sheetData>
    <row r="1" spans="1:18" ht="14.25" customHeight="1">
      <c r="A1" s="1363" t="s">
        <v>857</v>
      </c>
      <c r="B1" s="1363"/>
      <c r="C1" s="1363"/>
      <c r="D1" s="1363"/>
      <c r="E1" s="1363"/>
      <c r="F1" s="1363"/>
      <c r="G1" s="1363"/>
      <c r="H1" s="1363"/>
      <c r="I1" s="1363"/>
      <c r="J1" s="1363"/>
      <c r="K1" s="1363"/>
      <c r="L1" s="1363"/>
      <c r="M1" s="1363"/>
      <c r="N1" s="1363"/>
      <c r="O1" s="1363"/>
      <c r="P1" s="1363"/>
      <c r="Q1" s="1363"/>
      <c r="R1" s="1363"/>
    </row>
    <row r="2" spans="1:18" ht="14.25" customHeight="1">
      <c r="A2" s="1374" t="str">
        <f>"Administrative Units in the district of Malda for the year " &amp; District!$B$2</f>
        <v>Administrative Units in the district of Malda for the year 2014</v>
      </c>
      <c r="B2" s="1374"/>
      <c r="C2" s="1374"/>
      <c r="D2" s="1374"/>
      <c r="E2" s="1374"/>
      <c r="F2" s="1374"/>
      <c r="G2" s="1374"/>
      <c r="H2" s="1374"/>
      <c r="I2" s="1374"/>
      <c r="J2" s="1374"/>
      <c r="K2" s="1374"/>
      <c r="L2" s="1374"/>
      <c r="M2" s="1374"/>
      <c r="N2" s="1374"/>
      <c r="O2" s="1374"/>
      <c r="P2" s="1374"/>
      <c r="Q2" s="1374"/>
      <c r="R2" s="1374"/>
    </row>
    <row r="3" spans="1:18">
      <c r="B3" s="30"/>
      <c r="C3" s="12"/>
      <c r="D3" s="12"/>
      <c r="E3" s="12"/>
      <c r="G3" s="1387"/>
      <c r="H3" s="1387"/>
      <c r="I3" s="1387"/>
      <c r="J3" s="1388"/>
      <c r="K3" s="13"/>
      <c r="L3" s="13"/>
      <c r="R3" s="910" t="s">
        <v>1253</v>
      </c>
    </row>
    <row r="4" spans="1:18" s="14" customFormat="1" ht="14.25" customHeight="1">
      <c r="A4" s="1384" t="s">
        <v>1250</v>
      </c>
      <c r="B4" s="1346" t="s">
        <v>584</v>
      </c>
      <c r="C4" s="1346" t="s">
        <v>13</v>
      </c>
      <c r="D4" s="1378" t="s">
        <v>524</v>
      </c>
      <c r="E4" s="1379"/>
      <c r="F4" s="1379"/>
      <c r="G4" s="1346" t="s">
        <v>1594</v>
      </c>
      <c r="H4" s="1346" t="s">
        <v>244</v>
      </c>
      <c r="I4" s="1346" t="s">
        <v>902</v>
      </c>
      <c r="J4" s="1379" t="s">
        <v>523</v>
      </c>
      <c r="K4" s="1379"/>
      <c r="L4" s="1379"/>
      <c r="M4" s="1379"/>
      <c r="N4" s="1379"/>
      <c r="O4" s="1379"/>
      <c r="P4" s="1379"/>
      <c r="Q4" s="1379"/>
      <c r="R4" s="1380"/>
    </row>
    <row r="5" spans="1:18" s="14" customFormat="1" ht="25.5" customHeight="1">
      <c r="A5" s="1385"/>
      <c r="B5" s="1370"/>
      <c r="C5" s="1377"/>
      <c r="D5" s="1381" t="s">
        <v>1251</v>
      </c>
      <c r="E5" s="1382" t="s">
        <v>1252</v>
      </c>
      <c r="F5" s="1395" t="s">
        <v>1164</v>
      </c>
      <c r="G5" s="1377"/>
      <c r="H5" s="1377"/>
      <c r="I5" s="1377"/>
      <c r="J5" s="1389" t="s">
        <v>1096</v>
      </c>
      <c r="K5" s="1390"/>
      <c r="L5" s="1391" t="s">
        <v>1097</v>
      </c>
      <c r="M5" s="1392"/>
      <c r="N5" s="1389" t="s">
        <v>497</v>
      </c>
      <c r="O5" s="1390"/>
      <c r="P5" s="1346" t="s">
        <v>440</v>
      </c>
      <c r="Q5" s="1346" t="s">
        <v>441</v>
      </c>
      <c r="R5" s="1346" t="s">
        <v>1233</v>
      </c>
    </row>
    <row r="6" spans="1:18" s="14" customFormat="1" ht="15.75" customHeight="1">
      <c r="A6" s="1386"/>
      <c r="B6" s="1349"/>
      <c r="C6" s="1347"/>
      <c r="D6" s="1361"/>
      <c r="E6" s="1383"/>
      <c r="F6" s="1396"/>
      <c r="G6" s="1347"/>
      <c r="H6" s="1347"/>
      <c r="I6" s="1347"/>
      <c r="J6" s="296" t="s">
        <v>1254</v>
      </c>
      <c r="K6" s="298" t="s">
        <v>1255</v>
      </c>
      <c r="L6" s="263" t="s">
        <v>1254</v>
      </c>
      <c r="M6" s="298" t="s">
        <v>1255</v>
      </c>
      <c r="N6" s="263" t="s">
        <v>1254</v>
      </c>
      <c r="O6" s="298" t="s">
        <v>1255</v>
      </c>
      <c r="P6" s="1347"/>
      <c r="Q6" s="1347"/>
      <c r="R6" s="1349"/>
    </row>
    <row r="7" spans="1:18" ht="13.5" customHeight="1">
      <c r="A7" s="368" t="s">
        <v>1208</v>
      </c>
      <c r="B7" s="368" t="s">
        <v>1209</v>
      </c>
      <c r="C7" s="368" t="s">
        <v>1210</v>
      </c>
      <c r="D7" s="369" t="s">
        <v>1211</v>
      </c>
      <c r="E7" s="370" t="s">
        <v>1212</v>
      </c>
      <c r="F7" s="371" t="s">
        <v>1213</v>
      </c>
      <c r="G7" s="370" t="s">
        <v>1214</v>
      </c>
      <c r="H7" s="368" t="s">
        <v>1244</v>
      </c>
      <c r="I7" s="370" t="s">
        <v>1245</v>
      </c>
      <c r="J7" s="369" t="s">
        <v>1246</v>
      </c>
      <c r="K7" s="371" t="s">
        <v>1247</v>
      </c>
      <c r="L7" s="369" t="s">
        <v>1271</v>
      </c>
      <c r="M7" s="371" t="s">
        <v>1272</v>
      </c>
      <c r="N7" s="369" t="s">
        <v>1273</v>
      </c>
      <c r="O7" s="371" t="s">
        <v>1274</v>
      </c>
      <c r="P7" s="368" t="s">
        <v>1275</v>
      </c>
      <c r="Q7" s="368" t="s">
        <v>1276</v>
      </c>
      <c r="R7" s="371" t="s">
        <v>1278</v>
      </c>
    </row>
    <row r="8" spans="1:18" ht="19.5" customHeight="1">
      <c r="A8" s="1399" t="s">
        <v>1592</v>
      </c>
      <c r="B8" s="372">
        <v>4</v>
      </c>
      <c r="C8" s="297" t="s">
        <v>590</v>
      </c>
      <c r="D8" s="210">
        <f>IF(SUM(D9:D14)=0,"-",SUM(D9:D14))</f>
        <v>6</v>
      </c>
      <c r="E8" s="211">
        <f t="shared" ref="E8:R8" si="0">IF(SUM(E9:E14)=0,"-",SUM(E9:E14))</f>
        <v>49</v>
      </c>
      <c r="F8" s="103">
        <f t="shared" si="0"/>
        <v>806</v>
      </c>
      <c r="G8" s="439">
        <f t="shared" si="0"/>
        <v>524</v>
      </c>
      <c r="H8" s="439">
        <f t="shared" si="0"/>
        <v>508</v>
      </c>
      <c r="I8" s="211">
        <f t="shared" si="0"/>
        <v>285495</v>
      </c>
      <c r="J8" s="210" t="str">
        <f>IF(SUM(J9:J14)=0,"-",SUM(J9:J14))</f>
        <v>-</v>
      </c>
      <c r="K8" s="103" t="str">
        <f t="shared" si="0"/>
        <v>-</v>
      </c>
      <c r="L8" s="210" t="str">
        <f t="shared" si="0"/>
        <v>-</v>
      </c>
      <c r="M8" s="103" t="str">
        <f t="shared" si="0"/>
        <v>-</v>
      </c>
      <c r="N8" s="210" t="str">
        <f t="shared" si="0"/>
        <v>-</v>
      </c>
      <c r="O8" s="103" t="str">
        <f t="shared" si="0"/>
        <v>-</v>
      </c>
      <c r="P8" s="372">
        <f t="shared" si="0"/>
        <v>1</v>
      </c>
      <c r="Q8" s="372" t="str">
        <f t="shared" si="0"/>
        <v>-</v>
      </c>
      <c r="R8" s="103">
        <f t="shared" si="0"/>
        <v>1</v>
      </c>
    </row>
    <row r="9" spans="1:18" ht="19.5" customHeight="1">
      <c r="A9" s="1400"/>
      <c r="B9" s="1398" t="s">
        <v>494</v>
      </c>
      <c r="C9" s="568" t="s">
        <v>1051</v>
      </c>
      <c r="D9" s="374">
        <v>1</v>
      </c>
      <c r="E9" s="290">
        <v>7</v>
      </c>
      <c r="F9" s="362">
        <v>121</v>
      </c>
      <c r="G9" s="132">
        <v>105</v>
      </c>
      <c r="H9" s="116">
        <v>104</v>
      </c>
      <c r="I9" s="41">
        <v>44284</v>
      </c>
      <c r="J9" s="376" t="s">
        <v>1509</v>
      </c>
      <c r="K9" s="377" t="s">
        <v>1509</v>
      </c>
      <c r="L9" s="376" t="s">
        <v>1509</v>
      </c>
      <c r="M9" s="377" t="s">
        <v>1509</v>
      </c>
      <c r="N9" s="376" t="s">
        <v>1509</v>
      </c>
      <c r="O9" s="377" t="s">
        <v>1509</v>
      </c>
      <c r="P9" s="375" t="s">
        <v>1509</v>
      </c>
      <c r="Q9" s="375" t="s">
        <v>1509</v>
      </c>
      <c r="R9" s="362" t="str">
        <f>IF(SUM(J9,L9,N9,P9,Q9)=0,"-",SUM(J9,L9,N9,P9,Q9))</f>
        <v>-</v>
      </c>
    </row>
    <row r="10" spans="1:18" ht="19.5" customHeight="1">
      <c r="A10" s="349"/>
      <c r="B10" s="1398"/>
      <c r="C10" s="568" t="s">
        <v>495</v>
      </c>
      <c r="D10" s="374">
        <v>1</v>
      </c>
      <c r="E10" s="290">
        <v>9</v>
      </c>
      <c r="F10" s="362">
        <v>141</v>
      </c>
      <c r="G10" s="132">
        <v>74</v>
      </c>
      <c r="H10" s="116">
        <v>73</v>
      </c>
      <c r="I10" s="41">
        <v>49311</v>
      </c>
      <c r="J10" s="376" t="s">
        <v>1509</v>
      </c>
      <c r="K10" s="377" t="s">
        <v>1509</v>
      </c>
      <c r="L10" s="376" t="s">
        <v>1509</v>
      </c>
      <c r="M10" s="377" t="s">
        <v>1509</v>
      </c>
      <c r="N10" s="376" t="s">
        <v>1509</v>
      </c>
      <c r="O10" s="377" t="s">
        <v>1509</v>
      </c>
      <c r="P10" s="375" t="s">
        <v>1509</v>
      </c>
      <c r="Q10" s="375" t="s">
        <v>1509</v>
      </c>
      <c r="R10" s="362" t="str">
        <f t="shared" ref="R10:R26" si="1">IF(SUM(J10,L10,N10,P10,Q10)=0,"-",SUM(J10,L10,N10,P10,Q10))</f>
        <v>-</v>
      </c>
    </row>
    <row r="11" spans="1:18" ht="19.5" customHeight="1">
      <c r="A11" s="349"/>
      <c r="B11" s="1397" t="s">
        <v>493</v>
      </c>
      <c r="C11" s="180" t="s">
        <v>531</v>
      </c>
      <c r="D11" s="374">
        <v>1</v>
      </c>
      <c r="E11" s="290">
        <v>8</v>
      </c>
      <c r="F11" s="362">
        <v>135</v>
      </c>
      <c r="G11" s="132">
        <v>101</v>
      </c>
      <c r="H11" s="116">
        <v>98</v>
      </c>
      <c r="I11" s="41">
        <v>49273</v>
      </c>
      <c r="J11" s="376" t="s">
        <v>1509</v>
      </c>
      <c r="K11" s="377" t="s">
        <v>1509</v>
      </c>
      <c r="L11" s="376" t="s">
        <v>1509</v>
      </c>
      <c r="M11" s="377" t="s">
        <v>1509</v>
      </c>
      <c r="N11" s="376" t="s">
        <v>1509</v>
      </c>
      <c r="O11" s="377" t="s">
        <v>1509</v>
      </c>
      <c r="P11" s="375">
        <v>1</v>
      </c>
      <c r="Q11" s="375" t="s">
        <v>1509</v>
      </c>
      <c r="R11" s="362">
        <f t="shared" si="1"/>
        <v>1</v>
      </c>
    </row>
    <row r="12" spans="1:18" ht="19.5" customHeight="1">
      <c r="A12" s="349"/>
      <c r="B12" s="1376"/>
      <c r="C12" s="180" t="s">
        <v>532</v>
      </c>
      <c r="D12" s="374">
        <v>1</v>
      </c>
      <c r="E12" s="290">
        <v>7</v>
      </c>
      <c r="F12" s="362">
        <v>119</v>
      </c>
      <c r="G12" s="132">
        <v>92</v>
      </c>
      <c r="H12" s="116">
        <v>90</v>
      </c>
      <c r="I12" s="41">
        <v>43218</v>
      </c>
      <c r="J12" s="376" t="s">
        <v>1509</v>
      </c>
      <c r="K12" s="377" t="s">
        <v>1509</v>
      </c>
      <c r="L12" s="376" t="s">
        <v>1509</v>
      </c>
      <c r="M12" s="377" t="s">
        <v>1509</v>
      </c>
      <c r="N12" s="376" t="s">
        <v>1509</v>
      </c>
      <c r="O12" s="377" t="s">
        <v>1509</v>
      </c>
      <c r="P12" s="375" t="s">
        <v>1509</v>
      </c>
      <c r="Q12" s="375" t="s">
        <v>1509</v>
      </c>
      <c r="R12" s="362" t="str">
        <f t="shared" si="1"/>
        <v>-</v>
      </c>
    </row>
    <row r="13" spans="1:18" ht="19.5" customHeight="1">
      <c r="A13" s="1314"/>
      <c r="B13" s="361" t="s">
        <v>753</v>
      </c>
      <c r="C13" s="180" t="s">
        <v>533</v>
      </c>
      <c r="D13" s="374">
        <v>1</v>
      </c>
      <c r="E13" s="290">
        <v>10</v>
      </c>
      <c r="F13" s="362">
        <v>166</v>
      </c>
      <c r="G13" s="132">
        <v>101</v>
      </c>
      <c r="H13" s="116">
        <v>95</v>
      </c>
      <c r="I13" s="41">
        <v>56241</v>
      </c>
      <c r="J13" s="376" t="s">
        <v>1509</v>
      </c>
      <c r="K13" s="377" t="s">
        <v>1509</v>
      </c>
      <c r="L13" s="376" t="s">
        <v>1509</v>
      </c>
      <c r="M13" s="377" t="s">
        <v>1509</v>
      </c>
      <c r="N13" s="376" t="s">
        <v>1509</v>
      </c>
      <c r="O13" s="377" t="s">
        <v>1509</v>
      </c>
      <c r="P13" s="375" t="s">
        <v>1509</v>
      </c>
      <c r="Q13" s="375" t="s">
        <v>1509</v>
      </c>
      <c r="R13" s="362" t="str">
        <f t="shared" si="1"/>
        <v>-</v>
      </c>
    </row>
    <row r="14" spans="1:18" ht="19.5" customHeight="1">
      <c r="A14" s="349"/>
      <c r="B14" s="361" t="s">
        <v>574</v>
      </c>
      <c r="C14" s="180" t="s">
        <v>573</v>
      </c>
      <c r="D14" s="374">
        <v>1</v>
      </c>
      <c r="E14" s="290">
        <v>8</v>
      </c>
      <c r="F14" s="362">
        <v>124</v>
      </c>
      <c r="G14" s="132">
        <v>51</v>
      </c>
      <c r="H14" s="116">
        <v>48</v>
      </c>
      <c r="I14" s="41">
        <v>43168</v>
      </c>
      <c r="J14" s="376" t="s">
        <v>1509</v>
      </c>
      <c r="K14" s="377" t="s">
        <v>1509</v>
      </c>
      <c r="L14" s="376" t="s">
        <v>1509</v>
      </c>
      <c r="M14" s="377" t="s">
        <v>1509</v>
      </c>
      <c r="N14" s="376" t="s">
        <v>1509</v>
      </c>
      <c r="O14" s="377" t="s">
        <v>1509</v>
      </c>
      <c r="P14" s="375" t="s">
        <v>1509</v>
      </c>
      <c r="Q14" s="375" t="s">
        <v>1509</v>
      </c>
      <c r="R14" s="362" t="str">
        <f t="shared" si="1"/>
        <v>-</v>
      </c>
    </row>
    <row r="15" spans="1:18" ht="19.5" customHeight="1">
      <c r="A15" s="1401" t="s">
        <v>1593</v>
      </c>
      <c r="B15" s="372">
        <v>9</v>
      </c>
      <c r="C15" s="378" t="s">
        <v>591</v>
      </c>
      <c r="D15" s="210">
        <f>IF(SUM(D16:D26)=0,"-",SUM(D16:D26))</f>
        <v>9</v>
      </c>
      <c r="E15" s="211">
        <f t="shared" ref="E15:R15" si="2">IF(SUM(E16:E26)=0,"-",SUM(E16:E26))</f>
        <v>97</v>
      </c>
      <c r="F15" s="103">
        <f t="shared" si="2"/>
        <v>1462</v>
      </c>
      <c r="G15" s="372">
        <f t="shared" si="2"/>
        <v>1274</v>
      </c>
      <c r="H15" s="372">
        <f>IF(SUM(H16:H26)=0,"-",SUM(H16:H26))+49+65-1</f>
        <v>1105</v>
      </c>
      <c r="I15" s="211">
        <f t="shared" si="2"/>
        <v>561496</v>
      </c>
      <c r="J15" s="210" t="str">
        <f t="shared" si="2"/>
        <v>-</v>
      </c>
      <c r="K15" s="103" t="str">
        <f t="shared" si="2"/>
        <v>-</v>
      </c>
      <c r="L15" s="210">
        <f t="shared" si="2"/>
        <v>2</v>
      </c>
      <c r="M15" s="103">
        <f t="shared" si="2"/>
        <v>43</v>
      </c>
      <c r="N15" s="210" t="str">
        <f t="shared" si="2"/>
        <v>-</v>
      </c>
      <c r="O15" s="103" t="str">
        <f t="shared" si="2"/>
        <v>-</v>
      </c>
      <c r="P15" s="372">
        <f t="shared" si="2"/>
        <v>26</v>
      </c>
      <c r="Q15" s="372" t="str">
        <f t="shared" si="2"/>
        <v>-</v>
      </c>
      <c r="R15" s="103">
        <f t="shared" si="2"/>
        <v>28</v>
      </c>
    </row>
    <row r="16" spans="1:18" ht="19.5" customHeight="1">
      <c r="A16" s="1400"/>
      <c r="B16" s="361" t="s">
        <v>576</v>
      </c>
      <c r="C16" s="180" t="s">
        <v>576</v>
      </c>
      <c r="D16" s="374">
        <v>1</v>
      </c>
      <c r="E16" s="290">
        <v>15</v>
      </c>
      <c r="F16" s="362">
        <v>220</v>
      </c>
      <c r="G16" s="132">
        <v>293</v>
      </c>
      <c r="H16" s="116">
        <v>286</v>
      </c>
      <c r="I16" s="41">
        <v>75068</v>
      </c>
      <c r="J16" s="376" t="s">
        <v>1509</v>
      </c>
      <c r="K16" s="377" t="s">
        <v>1509</v>
      </c>
      <c r="L16" s="376" t="s">
        <v>1509</v>
      </c>
      <c r="M16" s="377" t="s">
        <v>1509</v>
      </c>
      <c r="N16" s="376" t="s">
        <v>1509</v>
      </c>
      <c r="O16" s="377" t="s">
        <v>1509</v>
      </c>
      <c r="P16" s="375">
        <v>2</v>
      </c>
      <c r="Q16" s="375" t="s">
        <v>1509</v>
      </c>
      <c r="R16" s="362">
        <f t="shared" si="1"/>
        <v>2</v>
      </c>
    </row>
    <row r="17" spans="1:18" ht="19.5" customHeight="1">
      <c r="A17" s="349"/>
      <c r="B17" s="361" t="s">
        <v>1510</v>
      </c>
      <c r="C17" s="180" t="s">
        <v>1510</v>
      </c>
      <c r="D17" s="374">
        <v>1</v>
      </c>
      <c r="E17" s="290">
        <v>6</v>
      </c>
      <c r="F17" s="362">
        <v>102</v>
      </c>
      <c r="G17" s="132">
        <v>145</v>
      </c>
      <c r="H17" s="116">
        <v>141</v>
      </c>
      <c r="I17" s="41">
        <v>32154</v>
      </c>
      <c r="J17" s="376" t="s">
        <v>1509</v>
      </c>
      <c r="K17" s="377" t="s">
        <v>1509</v>
      </c>
      <c r="L17" s="376" t="s">
        <v>1509</v>
      </c>
      <c r="M17" s="377" t="s">
        <v>1509</v>
      </c>
      <c r="N17" s="376" t="s">
        <v>1509</v>
      </c>
      <c r="O17" s="377" t="s">
        <v>1509</v>
      </c>
      <c r="P17" s="375" t="s">
        <v>1509</v>
      </c>
      <c r="Q17" s="375" t="s">
        <v>1509</v>
      </c>
      <c r="R17" s="362" t="str">
        <f t="shared" si="1"/>
        <v>-</v>
      </c>
    </row>
    <row r="18" spans="1:18" ht="19.5" customHeight="1">
      <c r="A18" s="349"/>
      <c r="B18" s="361" t="s">
        <v>577</v>
      </c>
      <c r="C18" s="180" t="s">
        <v>577</v>
      </c>
      <c r="D18" s="374">
        <v>1</v>
      </c>
      <c r="E18" s="290">
        <v>11</v>
      </c>
      <c r="F18" s="362">
        <v>149</v>
      </c>
      <c r="G18" s="132">
        <v>288</v>
      </c>
      <c r="H18" s="116">
        <v>233</v>
      </c>
      <c r="I18" s="41">
        <v>47951</v>
      </c>
      <c r="J18" s="376" t="s">
        <v>1509</v>
      </c>
      <c r="K18" s="377" t="s">
        <v>1509</v>
      </c>
      <c r="L18" s="376" t="s">
        <v>1509</v>
      </c>
      <c r="M18" s="377" t="s">
        <v>1509</v>
      </c>
      <c r="N18" s="376" t="s">
        <v>1509</v>
      </c>
      <c r="O18" s="377" t="s">
        <v>1509</v>
      </c>
      <c r="P18" s="132">
        <v>4</v>
      </c>
      <c r="Q18" s="375" t="s">
        <v>1509</v>
      </c>
      <c r="R18" s="362">
        <f t="shared" si="1"/>
        <v>4</v>
      </c>
    </row>
    <row r="19" spans="1:18" ht="19.5" customHeight="1">
      <c r="A19" s="132"/>
      <c r="B19" s="1397" t="s">
        <v>940</v>
      </c>
      <c r="C19" s="180" t="s">
        <v>578</v>
      </c>
      <c r="D19" s="374">
        <v>1</v>
      </c>
      <c r="E19" s="290">
        <v>6</v>
      </c>
      <c r="F19" s="362">
        <v>97</v>
      </c>
      <c r="G19" s="132">
        <v>118</v>
      </c>
      <c r="H19" s="116">
        <v>112</v>
      </c>
      <c r="I19" s="41">
        <v>33629</v>
      </c>
      <c r="J19" s="376" t="s">
        <v>1509</v>
      </c>
      <c r="K19" s="377" t="s">
        <v>1509</v>
      </c>
      <c r="L19" s="376" t="s">
        <v>1509</v>
      </c>
      <c r="M19" s="377" t="s">
        <v>1509</v>
      </c>
      <c r="N19" s="376" t="s">
        <v>1509</v>
      </c>
      <c r="O19" s="377" t="s">
        <v>1509</v>
      </c>
      <c r="P19" s="375">
        <v>3</v>
      </c>
      <c r="Q19" s="375" t="s">
        <v>1509</v>
      </c>
      <c r="R19" s="362">
        <f t="shared" si="1"/>
        <v>3</v>
      </c>
    </row>
    <row r="20" spans="1:18" ht="19.5" customHeight="1">
      <c r="A20" s="132"/>
      <c r="B20" s="1376"/>
      <c r="C20" s="180" t="s">
        <v>1511</v>
      </c>
      <c r="D20" s="374" t="s">
        <v>1509</v>
      </c>
      <c r="E20" s="290" t="s">
        <v>1509</v>
      </c>
      <c r="F20" s="362" t="s">
        <v>1509</v>
      </c>
      <c r="G20" s="132" t="s">
        <v>1509</v>
      </c>
      <c r="H20" s="132" t="s">
        <v>1509</v>
      </c>
      <c r="I20" s="41">
        <v>16479</v>
      </c>
      <c r="J20" s="376" t="s">
        <v>1509</v>
      </c>
      <c r="K20" s="377" t="s">
        <v>1509</v>
      </c>
      <c r="L20" s="374">
        <v>1</v>
      </c>
      <c r="M20" s="362">
        <v>18</v>
      </c>
      <c r="N20" s="376" t="s">
        <v>1509</v>
      </c>
      <c r="O20" s="377" t="s">
        <v>1509</v>
      </c>
      <c r="P20" s="375" t="s">
        <v>1509</v>
      </c>
      <c r="Q20" s="375" t="s">
        <v>1509</v>
      </c>
      <c r="R20" s="362">
        <f t="shared" si="1"/>
        <v>1</v>
      </c>
    </row>
    <row r="21" spans="1:18" ht="19.5" customHeight="1">
      <c r="A21" s="132"/>
      <c r="B21" s="1375" t="s">
        <v>754</v>
      </c>
      <c r="C21" s="180" t="s">
        <v>490</v>
      </c>
      <c r="D21" s="374">
        <v>1</v>
      </c>
      <c r="E21" s="290">
        <v>11</v>
      </c>
      <c r="F21" s="362">
        <v>169</v>
      </c>
      <c r="G21" s="132">
        <v>135</v>
      </c>
      <c r="H21" s="116">
        <v>108</v>
      </c>
      <c r="I21" s="41">
        <v>58815</v>
      </c>
      <c r="J21" s="376" t="s">
        <v>1509</v>
      </c>
      <c r="K21" s="377" t="s">
        <v>1509</v>
      </c>
      <c r="L21" s="376" t="s">
        <v>1509</v>
      </c>
      <c r="M21" s="377" t="s">
        <v>1509</v>
      </c>
      <c r="N21" s="376" t="s">
        <v>1509</v>
      </c>
      <c r="O21" s="377" t="s">
        <v>1509</v>
      </c>
      <c r="P21" s="375">
        <v>3</v>
      </c>
      <c r="Q21" s="375" t="s">
        <v>1509</v>
      </c>
      <c r="R21" s="362">
        <f t="shared" si="1"/>
        <v>3</v>
      </c>
    </row>
    <row r="22" spans="1:18" ht="19.5" customHeight="1">
      <c r="A22" s="132"/>
      <c r="B22" s="1376"/>
      <c r="C22" s="180" t="s">
        <v>579</v>
      </c>
      <c r="D22" s="374" t="s">
        <v>1509</v>
      </c>
      <c r="E22" s="290" t="s">
        <v>1509</v>
      </c>
      <c r="F22" s="362" t="s">
        <v>1509</v>
      </c>
      <c r="G22" s="132" t="s">
        <v>1509</v>
      </c>
      <c r="H22" s="132" t="s">
        <v>1509</v>
      </c>
      <c r="I22" s="41">
        <v>42867</v>
      </c>
      <c r="J22" s="376" t="s">
        <v>1509</v>
      </c>
      <c r="K22" s="377" t="s">
        <v>1509</v>
      </c>
      <c r="L22" s="374">
        <v>1</v>
      </c>
      <c r="M22" s="362">
        <v>25</v>
      </c>
      <c r="N22" s="376" t="s">
        <v>1509</v>
      </c>
      <c r="O22" s="377" t="s">
        <v>1509</v>
      </c>
      <c r="P22" s="375" t="s">
        <v>1509</v>
      </c>
      <c r="Q22" s="375" t="s">
        <v>1509</v>
      </c>
      <c r="R22" s="362">
        <f t="shared" si="1"/>
        <v>1</v>
      </c>
    </row>
    <row r="23" spans="1:18" ht="19.5" customHeight="1">
      <c r="A23" s="132"/>
      <c r="B23" s="361" t="s">
        <v>580</v>
      </c>
      <c r="C23" s="180" t="s">
        <v>580</v>
      </c>
      <c r="D23" s="374">
        <v>1</v>
      </c>
      <c r="E23" s="290">
        <v>11</v>
      </c>
      <c r="F23" s="362">
        <v>162</v>
      </c>
      <c r="G23" s="132">
        <v>89</v>
      </c>
      <c r="H23" s="116">
        <v>72</v>
      </c>
      <c r="I23" s="41">
        <v>59567</v>
      </c>
      <c r="J23" s="376" t="s">
        <v>1509</v>
      </c>
      <c r="K23" s="377" t="s">
        <v>1509</v>
      </c>
      <c r="L23" s="376" t="s">
        <v>1509</v>
      </c>
      <c r="M23" s="377" t="s">
        <v>1509</v>
      </c>
      <c r="N23" s="376" t="s">
        <v>1509</v>
      </c>
      <c r="O23" s="377" t="s">
        <v>1509</v>
      </c>
      <c r="P23" s="375" t="s">
        <v>1509</v>
      </c>
      <c r="Q23" s="375" t="s">
        <v>1509</v>
      </c>
      <c r="R23" s="362" t="str">
        <f t="shared" si="1"/>
        <v>-</v>
      </c>
    </row>
    <row r="24" spans="1:18" ht="19.5" customHeight="1">
      <c r="A24" s="132"/>
      <c r="B24" s="1397" t="s">
        <v>583</v>
      </c>
      <c r="C24" s="180" t="s">
        <v>585</v>
      </c>
      <c r="D24" s="374">
        <v>1</v>
      </c>
      <c r="E24" s="290">
        <v>14</v>
      </c>
      <c r="F24" s="362">
        <v>232</v>
      </c>
      <c r="G24" s="132">
        <v>66</v>
      </c>
      <c r="H24" s="116" t="s">
        <v>501</v>
      </c>
      <c r="I24" s="41">
        <v>80508</v>
      </c>
      <c r="J24" s="376" t="s">
        <v>1509</v>
      </c>
      <c r="K24" s="377" t="s">
        <v>1509</v>
      </c>
      <c r="L24" s="376" t="s">
        <v>1509</v>
      </c>
      <c r="M24" s="377" t="s">
        <v>1509</v>
      </c>
      <c r="N24" s="376" t="s">
        <v>1509</v>
      </c>
      <c r="O24" s="377" t="s">
        <v>1509</v>
      </c>
      <c r="P24" s="375">
        <v>11</v>
      </c>
      <c r="Q24" s="375" t="s">
        <v>1509</v>
      </c>
      <c r="R24" s="362">
        <f t="shared" si="1"/>
        <v>11</v>
      </c>
    </row>
    <row r="25" spans="1:18" ht="19.5" customHeight="1">
      <c r="A25" s="132"/>
      <c r="B25" s="1376"/>
      <c r="C25" s="180" t="s">
        <v>586</v>
      </c>
      <c r="D25" s="374">
        <v>1</v>
      </c>
      <c r="E25" s="290">
        <v>9</v>
      </c>
      <c r="F25" s="362">
        <v>127</v>
      </c>
      <c r="G25" s="132">
        <v>65</v>
      </c>
      <c r="H25" s="116">
        <v>40</v>
      </c>
      <c r="I25" s="41">
        <v>44913</v>
      </c>
      <c r="J25" s="376" t="s">
        <v>1509</v>
      </c>
      <c r="K25" s="377" t="s">
        <v>1509</v>
      </c>
      <c r="L25" s="376" t="s">
        <v>1509</v>
      </c>
      <c r="M25" s="377" t="s">
        <v>1509</v>
      </c>
      <c r="N25" s="376" t="s">
        <v>1509</v>
      </c>
      <c r="O25" s="377" t="s">
        <v>1509</v>
      </c>
      <c r="P25" s="375">
        <v>1</v>
      </c>
      <c r="Q25" s="375" t="s">
        <v>1509</v>
      </c>
      <c r="R25" s="362">
        <f t="shared" si="1"/>
        <v>1</v>
      </c>
    </row>
    <row r="26" spans="1:18" ht="19.5" customHeight="1">
      <c r="A26" s="132"/>
      <c r="B26" s="361" t="s">
        <v>588</v>
      </c>
      <c r="C26" s="180" t="s">
        <v>587</v>
      </c>
      <c r="D26" s="374">
        <v>1</v>
      </c>
      <c r="E26" s="290">
        <v>14</v>
      </c>
      <c r="F26" s="362">
        <v>204</v>
      </c>
      <c r="G26" s="133">
        <v>75</v>
      </c>
      <c r="H26" s="117" t="s">
        <v>502</v>
      </c>
      <c r="I26" s="41">
        <v>69545</v>
      </c>
      <c r="J26" s="376" t="s">
        <v>1509</v>
      </c>
      <c r="K26" s="377" t="s">
        <v>1509</v>
      </c>
      <c r="L26" s="376" t="s">
        <v>1509</v>
      </c>
      <c r="M26" s="377" t="s">
        <v>1509</v>
      </c>
      <c r="N26" s="376" t="s">
        <v>1509</v>
      </c>
      <c r="O26" s="377" t="s">
        <v>1509</v>
      </c>
      <c r="P26" s="375">
        <v>2</v>
      </c>
      <c r="Q26" s="375" t="s">
        <v>1509</v>
      </c>
      <c r="R26" s="362">
        <f t="shared" si="1"/>
        <v>2</v>
      </c>
    </row>
    <row r="27" spans="1:18" ht="17.100000000000001" customHeight="1">
      <c r="A27" s="825" t="s">
        <v>724</v>
      </c>
      <c r="B27" s="212">
        <f t="shared" ref="B27:I27" si="3">IF(SUM(B8,B15)=0, "-",SUM(B8,B15))</f>
        <v>13</v>
      </c>
      <c r="C27" s="276" t="s">
        <v>589</v>
      </c>
      <c r="D27" s="212">
        <f t="shared" si="3"/>
        <v>15</v>
      </c>
      <c r="E27" s="182">
        <f t="shared" si="3"/>
        <v>146</v>
      </c>
      <c r="F27" s="1247">
        <f t="shared" si="3"/>
        <v>2268</v>
      </c>
      <c r="G27" s="182">
        <f t="shared" si="3"/>
        <v>1798</v>
      </c>
      <c r="H27" s="276">
        <f t="shared" si="3"/>
        <v>1613</v>
      </c>
      <c r="I27" s="182">
        <f t="shared" si="3"/>
        <v>846991</v>
      </c>
      <c r="J27" s="212" t="str">
        <f>IF(SUM(J8,J15)=0, "-",SUM(J8,J15))</f>
        <v>-</v>
      </c>
      <c r="K27" s="183" t="str">
        <f t="shared" ref="K27:R27" si="4">IF(SUM(K8,K15)=0, "-",SUM(K8,K15))</f>
        <v>-</v>
      </c>
      <c r="L27" s="212">
        <f t="shared" si="4"/>
        <v>2</v>
      </c>
      <c r="M27" s="183">
        <f t="shared" si="4"/>
        <v>43</v>
      </c>
      <c r="N27" s="212" t="str">
        <f t="shared" si="4"/>
        <v>-</v>
      </c>
      <c r="O27" s="183" t="str">
        <f t="shared" si="4"/>
        <v>-</v>
      </c>
      <c r="P27" s="276">
        <f t="shared" si="4"/>
        <v>27</v>
      </c>
      <c r="Q27" s="276" t="str">
        <f t="shared" si="4"/>
        <v>-</v>
      </c>
      <c r="R27" s="183">
        <f t="shared" si="4"/>
        <v>29</v>
      </c>
    </row>
    <row r="28" spans="1:18" ht="12.75" customHeight="1">
      <c r="A28" s="1393" t="s">
        <v>107</v>
      </c>
      <c r="B28" s="1393"/>
      <c r="C28" s="1393"/>
      <c r="D28" s="1393"/>
      <c r="E28" s="1393"/>
      <c r="F28" s="1393"/>
      <c r="G28" s="1393"/>
      <c r="H28" s="1393"/>
      <c r="I28" s="1268"/>
      <c r="K28" s="847" t="s">
        <v>117</v>
      </c>
      <c r="L28" s="25" t="s">
        <v>903</v>
      </c>
      <c r="M28" s="25"/>
      <c r="N28" s="25"/>
      <c r="O28" s="25"/>
      <c r="P28" s="25"/>
      <c r="Q28" s="25"/>
      <c r="R28" s="25"/>
    </row>
    <row r="29" spans="1:18">
      <c r="A29" s="1394"/>
      <c r="B29" s="1394"/>
      <c r="C29" s="1394"/>
      <c r="D29" s="1394"/>
      <c r="E29" s="1394"/>
      <c r="F29" s="1394"/>
      <c r="G29" s="1394"/>
      <c r="H29" s="1394"/>
      <c r="I29" s="1267"/>
      <c r="K29" s="25"/>
      <c r="L29" s="870" t="s">
        <v>1596</v>
      </c>
      <c r="M29" s="870"/>
      <c r="N29" s="870"/>
      <c r="O29" s="870"/>
      <c r="P29" s="870"/>
      <c r="Q29" s="870"/>
      <c r="R29" s="870"/>
    </row>
    <row r="30" spans="1:18">
      <c r="A30" s="885" t="s">
        <v>452</v>
      </c>
      <c r="K30" s="25"/>
      <c r="L30" s="25" t="s">
        <v>14</v>
      </c>
      <c r="M30" s="25"/>
      <c r="N30" s="25"/>
      <c r="O30" s="25"/>
      <c r="P30" s="25"/>
      <c r="Q30" s="25"/>
      <c r="R30" s="25"/>
    </row>
    <row r="61" spans="1:18">
      <c r="A61" s="74"/>
      <c r="B61" s="74"/>
      <c r="C61" s="13"/>
      <c r="D61" s="13"/>
      <c r="E61" s="13"/>
      <c r="F61" s="13"/>
      <c r="G61" s="13"/>
      <c r="H61" s="13"/>
      <c r="I61" s="13"/>
      <c r="J61" s="13"/>
      <c r="K61" s="13"/>
      <c r="L61" s="13"/>
      <c r="M61" s="13"/>
      <c r="N61" s="13"/>
      <c r="O61" s="13"/>
      <c r="P61" s="13"/>
      <c r="Q61" s="13"/>
      <c r="R61" s="13"/>
    </row>
    <row r="62" spans="1:18">
      <c r="A62" s="74"/>
      <c r="B62" s="74"/>
      <c r="C62" s="13"/>
      <c r="D62" s="13"/>
      <c r="E62" s="13"/>
      <c r="F62" s="13"/>
      <c r="G62" s="13"/>
      <c r="H62" s="13"/>
      <c r="I62" s="13"/>
      <c r="J62" s="13"/>
      <c r="K62" s="13"/>
      <c r="L62" s="13"/>
      <c r="M62" s="13"/>
      <c r="N62" s="13"/>
      <c r="O62" s="13"/>
      <c r="P62" s="13"/>
      <c r="Q62" s="13"/>
      <c r="R62" s="13"/>
    </row>
  </sheetData>
  <mergeCells count="28">
    <mergeCell ref="A28:H29"/>
    <mergeCell ref="F5:F6"/>
    <mergeCell ref="J5:K5"/>
    <mergeCell ref="G4:G6"/>
    <mergeCell ref="B24:B25"/>
    <mergeCell ref="B9:B10"/>
    <mergeCell ref="B11:B12"/>
    <mergeCell ref="B19:B20"/>
    <mergeCell ref="A8:A9"/>
    <mergeCell ref="A15:A16"/>
    <mergeCell ref="Q5:Q6"/>
    <mergeCell ref="R5:R6"/>
    <mergeCell ref="N5:O5"/>
    <mergeCell ref="B4:B6"/>
    <mergeCell ref="H4:H6"/>
    <mergeCell ref="I4:I6"/>
    <mergeCell ref="P5:P6"/>
    <mergeCell ref="L5:M5"/>
    <mergeCell ref="A1:R1"/>
    <mergeCell ref="B21:B22"/>
    <mergeCell ref="C4:C6"/>
    <mergeCell ref="D4:F4"/>
    <mergeCell ref="J4:R4"/>
    <mergeCell ref="D5:D6"/>
    <mergeCell ref="E5:E6"/>
    <mergeCell ref="A4:A6"/>
    <mergeCell ref="G3:J3"/>
    <mergeCell ref="A2:R2"/>
  </mergeCells>
  <phoneticPr fontId="0" type="noConversion"/>
  <printOptions horizontalCentered="1"/>
  <pageMargins left="0.1" right="0.1" top="0.6" bottom="0.1" header="0.43" footer="0.16"/>
  <pageSetup paperSize="9" orientation="landscape" blackAndWhite="1" horizontalDpi="4294967295" verticalDpi="144" r:id="rId1"/>
  <headerFooter alignWithMargins="0"/>
  <drawing r:id="rId2"/>
</worksheet>
</file>

<file path=xl/worksheets/sheet80.xml><?xml version="1.0" encoding="utf-8"?>
<worksheet xmlns="http://schemas.openxmlformats.org/spreadsheetml/2006/main" xmlns:r="http://schemas.openxmlformats.org/officeDocument/2006/relationships">
  <sheetPr codeName="Sheet98"/>
  <dimension ref="A1:S39"/>
  <sheetViews>
    <sheetView workbookViewId="0">
      <selection activeCell="T3" sqref="T3"/>
    </sheetView>
  </sheetViews>
  <sheetFormatPr defaultRowHeight="12.75"/>
  <cols>
    <col min="1" max="1" width="4" style="6" customWidth="1"/>
    <col min="2" max="2" width="17.85546875" style="6" customWidth="1"/>
    <col min="3" max="3" width="7.28515625" style="6" customWidth="1"/>
    <col min="4" max="4" width="5.85546875" style="6" customWidth="1"/>
    <col min="5" max="5" width="6.140625" style="6" customWidth="1"/>
    <col min="6" max="6" width="6.28515625" style="6" customWidth="1"/>
    <col min="7" max="7" width="7" style="6" customWidth="1"/>
    <col min="8" max="8" width="6" style="6" customWidth="1"/>
    <col min="9" max="9" width="7.42578125" style="6" customWidth="1"/>
    <col min="10" max="10" width="6.7109375" style="6" customWidth="1"/>
    <col min="11" max="11" width="7.85546875" style="6" customWidth="1"/>
    <col min="12" max="12" width="6.42578125" style="6" customWidth="1"/>
    <col min="13" max="13" width="7.140625" style="6" customWidth="1"/>
    <col min="14" max="14" width="6.28515625" style="6" customWidth="1"/>
    <col min="15" max="17" width="7.42578125" style="6" customWidth="1"/>
    <col min="18" max="18" width="5.7109375" style="6" customWidth="1"/>
    <col min="19" max="16384" width="9.140625" style="6"/>
  </cols>
  <sheetData>
    <row r="1" spans="1:19" ht="18.75" customHeight="1">
      <c r="A1" s="1444" t="s">
        <v>1482</v>
      </c>
      <c r="B1" s="1444"/>
      <c r="C1" s="1444"/>
      <c r="D1" s="1444"/>
      <c r="E1" s="1444"/>
      <c r="F1" s="1444"/>
      <c r="G1" s="1444"/>
      <c r="H1" s="1444"/>
      <c r="I1" s="1444"/>
      <c r="J1" s="1444"/>
      <c r="K1" s="1444"/>
      <c r="L1" s="1444"/>
      <c r="M1" s="1444"/>
      <c r="N1" s="1444"/>
      <c r="O1" s="1444"/>
      <c r="P1" s="1444"/>
      <c r="Q1" s="1444"/>
    </row>
    <row r="2" spans="1:19" ht="20.25" customHeight="1">
      <c r="A2" s="1355" t="str">
        <f>CONCATENATE("Source of Irrigation and Area Irrigated by different sources in the Blocks of ",District!$A$1," for the year ", District!$B$3)</f>
        <v>Source of Irrigation and Area Irrigated by different sources in the Blocks of Malda for the year 2013-14</v>
      </c>
      <c r="B2" s="1355"/>
      <c r="C2" s="1355"/>
      <c r="D2" s="1355"/>
      <c r="E2" s="1355"/>
      <c r="F2" s="1355"/>
      <c r="G2" s="1355"/>
      <c r="H2" s="1355"/>
      <c r="I2" s="1355"/>
      <c r="J2" s="1355"/>
      <c r="K2" s="1355"/>
      <c r="L2" s="1355"/>
      <c r="M2" s="1355"/>
      <c r="N2" s="1355"/>
      <c r="O2" s="1355"/>
      <c r="P2" s="1355"/>
      <c r="Q2" s="1355"/>
    </row>
    <row r="3" spans="1:19">
      <c r="A3" s="18"/>
      <c r="B3" s="18"/>
      <c r="C3" s="18"/>
      <c r="D3" s="18"/>
      <c r="E3" s="18"/>
      <c r="F3" s="18"/>
      <c r="G3" s="18"/>
      <c r="H3" s="18"/>
      <c r="I3" s="18"/>
      <c r="J3" s="18"/>
      <c r="K3" s="18"/>
      <c r="L3" s="18"/>
      <c r="M3" s="18"/>
      <c r="N3" s="18"/>
      <c r="O3" s="18"/>
      <c r="P3" s="18"/>
      <c r="Q3" s="159" t="s">
        <v>53</v>
      </c>
    </row>
    <row r="4" spans="1:19" ht="20.100000000000001" customHeight="1">
      <c r="A4" s="1346" t="s">
        <v>263</v>
      </c>
      <c r="B4" s="1434" t="s">
        <v>852</v>
      </c>
      <c r="C4" s="240" t="s">
        <v>929</v>
      </c>
      <c r="D4" s="1391" t="s">
        <v>227</v>
      </c>
      <c r="E4" s="1392"/>
      <c r="F4" s="1391" t="s">
        <v>232</v>
      </c>
      <c r="G4" s="1392"/>
      <c r="H4" s="1391" t="s">
        <v>1544</v>
      </c>
      <c r="I4" s="1392"/>
      <c r="J4" s="1391" t="s">
        <v>231</v>
      </c>
      <c r="K4" s="1392"/>
      <c r="L4" s="1391" t="s">
        <v>233</v>
      </c>
      <c r="M4" s="1392"/>
      <c r="N4" s="1391" t="s">
        <v>1526</v>
      </c>
      <c r="O4" s="1392"/>
      <c r="P4" s="1639" t="s">
        <v>1233</v>
      </c>
      <c r="Q4" s="1392"/>
    </row>
    <row r="5" spans="1:19" ht="20.100000000000001" customHeight="1">
      <c r="A5" s="1347"/>
      <c r="B5" s="1362"/>
      <c r="C5" s="363" t="s">
        <v>930</v>
      </c>
      <c r="D5" s="263" t="s">
        <v>1254</v>
      </c>
      <c r="E5" s="298" t="s">
        <v>930</v>
      </c>
      <c r="F5" s="263" t="s">
        <v>1254</v>
      </c>
      <c r="G5" s="298" t="s">
        <v>930</v>
      </c>
      <c r="H5" s="263" t="s">
        <v>1254</v>
      </c>
      <c r="I5" s="298" t="s">
        <v>930</v>
      </c>
      <c r="J5" s="263" t="s">
        <v>1254</v>
      </c>
      <c r="K5" s="298" t="s">
        <v>930</v>
      </c>
      <c r="L5" s="263" t="s">
        <v>1254</v>
      </c>
      <c r="M5" s="298" t="s">
        <v>930</v>
      </c>
      <c r="N5" s="263" t="s">
        <v>1254</v>
      </c>
      <c r="O5" s="298" t="s">
        <v>930</v>
      </c>
      <c r="P5" s="296" t="s">
        <v>1254</v>
      </c>
      <c r="Q5" s="298" t="s">
        <v>930</v>
      </c>
    </row>
    <row r="6" spans="1:19" ht="20.100000000000001" customHeight="1">
      <c r="A6" s="445" t="s">
        <v>1208</v>
      </c>
      <c r="B6" s="151" t="s">
        <v>1209</v>
      </c>
      <c r="C6" s="156" t="s">
        <v>1210</v>
      </c>
      <c r="D6" s="154" t="s">
        <v>1211</v>
      </c>
      <c r="E6" s="155" t="s">
        <v>1212</v>
      </c>
      <c r="F6" s="154" t="s">
        <v>1213</v>
      </c>
      <c r="G6" s="155" t="s">
        <v>1214</v>
      </c>
      <c r="H6" s="154" t="s">
        <v>1244</v>
      </c>
      <c r="I6" s="155" t="s">
        <v>1245</v>
      </c>
      <c r="J6" s="154" t="s">
        <v>1246</v>
      </c>
      <c r="K6" s="155" t="s">
        <v>1247</v>
      </c>
      <c r="L6" s="1071" t="s">
        <v>1271</v>
      </c>
      <c r="M6" s="497" t="s">
        <v>1272</v>
      </c>
      <c r="N6" s="154" t="s">
        <v>1273</v>
      </c>
      <c r="O6" s="155" t="s">
        <v>1274</v>
      </c>
      <c r="P6" s="219" t="s">
        <v>1275</v>
      </c>
      <c r="Q6" s="155" t="s">
        <v>1276</v>
      </c>
    </row>
    <row r="7" spans="1:19" ht="21" customHeight="1">
      <c r="A7" s="483">
        <v>1</v>
      </c>
      <c r="B7" s="305" t="s">
        <v>1051</v>
      </c>
      <c r="C7" s="1160" t="s">
        <v>1509</v>
      </c>
      <c r="D7" s="904" t="s">
        <v>1509</v>
      </c>
      <c r="E7" s="1072" t="s">
        <v>1509</v>
      </c>
      <c r="F7" s="289">
        <v>14</v>
      </c>
      <c r="G7" s="406">
        <v>378</v>
      </c>
      <c r="H7" s="289">
        <v>33</v>
      </c>
      <c r="I7" s="406">
        <v>395</v>
      </c>
      <c r="J7" s="289">
        <v>3126</v>
      </c>
      <c r="K7" s="410">
        <v>9294</v>
      </c>
      <c r="L7" s="904" t="s">
        <v>1509</v>
      </c>
      <c r="M7" s="1072" t="s">
        <v>1509</v>
      </c>
      <c r="N7" s="290">
        <v>25</v>
      </c>
      <c r="O7" s="484">
        <v>1482</v>
      </c>
      <c r="P7" s="290">
        <f>SUM(N7,L7,J7,H7,F7,D7)</f>
        <v>3198</v>
      </c>
      <c r="Q7" s="484">
        <f>SUM(O7,M7,K7,I7,G7,E7,C7)</f>
        <v>11549</v>
      </c>
      <c r="S7" s="38"/>
    </row>
    <row r="8" spans="1:19" ht="21" customHeight="1">
      <c r="A8" s="284">
        <v>2</v>
      </c>
      <c r="B8" s="305" t="s">
        <v>495</v>
      </c>
      <c r="C8" s="405" t="s">
        <v>1509</v>
      </c>
      <c r="D8" s="289" t="s">
        <v>1509</v>
      </c>
      <c r="E8" s="406" t="s">
        <v>1509</v>
      </c>
      <c r="F8" s="289">
        <v>42</v>
      </c>
      <c r="G8" s="406">
        <v>535</v>
      </c>
      <c r="H8" s="289">
        <v>11</v>
      </c>
      <c r="I8" s="406">
        <v>170</v>
      </c>
      <c r="J8" s="289">
        <v>4520</v>
      </c>
      <c r="K8" s="410">
        <v>12490</v>
      </c>
      <c r="L8" s="289" t="s">
        <v>1509</v>
      </c>
      <c r="M8" s="406" t="s">
        <v>1509</v>
      </c>
      <c r="N8" s="791">
        <v>12</v>
      </c>
      <c r="O8" s="362">
        <v>705</v>
      </c>
      <c r="P8" s="290">
        <f>SUM(N8,L8,J8,H8,F8,D8)</f>
        <v>4585</v>
      </c>
      <c r="Q8" s="484">
        <f t="shared" ref="Q8:Q21" si="0">SUM(O8,M8,K8,I8,G8,E8,C8)</f>
        <v>13900</v>
      </c>
    </row>
    <row r="9" spans="1:19" ht="21" customHeight="1">
      <c r="A9" s="284">
        <v>3</v>
      </c>
      <c r="B9" s="305" t="s">
        <v>531</v>
      </c>
      <c r="C9" s="405" t="s">
        <v>1509</v>
      </c>
      <c r="D9" s="410">
        <v>6</v>
      </c>
      <c r="E9" s="406">
        <v>33</v>
      </c>
      <c r="F9" s="289">
        <v>26</v>
      </c>
      <c r="G9" s="406">
        <v>419</v>
      </c>
      <c r="H9" s="289">
        <v>32</v>
      </c>
      <c r="I9" s="406">
        <v>686</v>
      </c>
      <c r="J9" s="289">
        <v>2166</v>
      </c>
      <c r="K9" s="410">
        <v>6940</v>
      </c>
      <c r="L9" s="289" t="s">
        <v>1509</v>
      </c>
      <c r="M9" s="406" t="s">
        <v>1509</v>
      </c>
      <c r="N9" s="791">
        <v>36</v>
      </c>
      <c r="O9" s="362">
        <v>1848</v>
      </c>
      <c r="P9" s="290">
        <f t="shared" ref="P9:P21" si="1">SUM(N9,L9,J9,H9,F9,D9)</f>
        <v>2266</v>
      </c>
      <c r="Q9" s="484">
        <f t="shared" si="0"/>
        <v>9926</v>
      </c>
    </row>
    <row r="10" spans="1:19" ht="21" customHeight="1">
      <c r="A10" s="284">
        <v>4</v>
      </c>
      <c r="B10" s="305" t="s">
        <v>532</v>
      </c>
      <c r="C10" s="405" t="s">
        <v>1509</v>
      </c>
      <c r="D10" s="289" t="s">
        <v>1509</v>
      </c>
      <c r="E10" s="406" t="s">
        <v>1509</v>
      </c>
      <c r="F10" s="289">
        <v>33</v>
      </c>
      <c r="G10" s="406">
        <v>399</v>
      </c>
      <c r="H10" s="289">
        <v>34</v>
      </c>
      <c r="I10" s="406">
        <v>608</v>
      </c>
      <c r="J10" s="289">
        <v>2250</v>
      </c>
      <c r="K10" s="410">
        <v>6646</v>
      </c>
      <c r="L10" s="289" t="s">
        <v>1509</v>
      </c>
      <c r="M10" s="406" t="s">
        <v>1509</v>
      </c>
      <c r="N10" s="791">
        <v>46</v>
      </c>
      <c r="O10" s="362">
        <v>2235</v>
      </c>
      <c r="P10" s="290">
        <f t="shared" si="1"/>
        <v>2363</v>
      </c>
      <c r="Q10" s="484">
        <f t="shared" si="0"/>
        <v>9888</v>
      </c>
    </row>
    <row r="11" spans="1:19" ht="21" customHeight="1">
      <c r="A11" s="284">
        <v>5</v>
      </c>
      <c r="B11" s="305" t="s">
        <v>533</v>
      </c>
      <c r="C11" s="405" t="s">
        <v>1509</v>
      </c>
      <c r="D11" s="289" t="s">
        <v>1509</v>
      </c>
      <c r="E11" s="406" t="s">
        <v>1509</v>
      </c>
      <c r="F11" s="289">
        <v>37</v>
      </c>
      <c r="G11" s="406">
        <v>1021</v>
      </c>
      <c r="H11" s="289">
        <v>40</v>
      </c>
      <c r="I11" s="406">
        <v>692</v>
      </c>
      <c r="J11" s="289">
        <v>2678</v>
      </c>
      <c r="K11" s="410">
        <v>7048</v>
      </c>
      <c r="L11" s="289" t="s">
        <v>1509</v>
      </c>
      <c r="M11" s="406" t="s">
        <v>1509</v>
      </c>
      <c r="N11" s="791">
        <v>16</v>
      </c>
      <c r="O11" s="362">
        <v>986</v>
      </c>
      <c r="P11" s="290">
        <f t="shared" si="1"/>
        <v>2771</v>
      </c>
      <c r="Q11" s="484">
        <f t="shared" si="0"/>
        <v>9747</v>
      </c>
    </row>
    <row r="12" spans="1:19" ht="21" customHeight="1">
      <c r="A12" s="284">
        <v>6</v>
      </c>
      <c r="B12" s="305" t="s">
        <v>573</v>
      </c>
      <c r="C12" s="405" t="s">
        <v>1509</v>
      </c>
      <c r="D12" s="289" t="s">
        <v>1509</v>
      </c>
      <c r="E12" s="406" t="s">
        <v>1509</v>
      </c>
      <c r="F12" s="289">
        <v>67</v>
      </c>
      <c r="G12" s="406">
        <v>1431</v>
      </c>
      <c r="H12" s="289">
        <v>79</v>
      </c>
      <c r="I12" s="406">
        <v>1240</v>
      </c>
      <c r="J12" s="289">
        <v>1449</v>
      </c>
      <c r="K12" s="410">
        <v>3828</v>
      </c>
      <c r="L12" s="289" t="s">
        <v>1509</v>
      </c>
      <c r="M12" s="406" t="s">
        <v>1509</v>
      </c>
      <c r="N12" s="791">
        <v>55</v>
      </c>
      <c r="O12" s="362">
        <v>2953</v>
      </c>
      <c r="P12" s="290">
        <f t="shared" si="1"/>
        <v>1650</v>
      </c>
      <c r="Q12" s="484">
        <f t="shared" si="0"/>
        <v>9452</v>
      </c>
    </row>
    <row r="13" spans="1:19" ht="21" customHeight="1">
      <c r="A13" s="284">
        <v>7</v>
      </c>
      <c r="B13" s="305" t="s">
        <v>576</v>
      </c>
      <c r="C13" s="405" t="s">
        <v>1509</v>
      </c>
      <c r="D13" s="410">
        <v>71</v>
      </c>
      <c r="E13" s="406">
        <v>450</v>
      </c>
      <c r="F13" s="289">
        <v>51</v>
      </c>
      <c r="G13" s="406">
        <v>1060</v>
      </c>
      <c r="H13" s="289">
        <v>91</v>
      </c>
      <c r="I13" s="406">
        <v>793</v>
      </c>
      <c r="J13" s="289">
        <v>4066</v>
      </c>
      <c r="K13" s="410">
        <v>8049</v>
      </c>
      <c r="L13" s="289" t="s">
        <v>1509</v>
      </c>
      <c r="M13" s="406" t="s">
        <v>1509</v>
      </c>
      <c r="N13" s="791">
        <v>65</v>
      </c>
      <c r="O13" s="362">
        <v>3559</v>
      </c>
      <c r="P13" s="290">
        <f t="shared" si="1"/>
        <v>4344</v>
      </c>
      <c r="Q13" s="484">
        <f t="shared" si="0"/>
        <v>13911</v>
      </c>
    </row>
    <row r="14" spans="1:19" ht="21" customHeight="1">
      <c r="A14" s="284">
        <v>8</v>
      </c>
      <c r="B14" s="305" t="s">
        <v>1510</v>
      </c>
      <c r="C14" s="405" t="s">
        <v>1509</v>
      </c>
      <c r="D14" s="410">
        <v>56</v>
      </c>
      <c r="E14" s="406">
        <v>300</v>
      </c>
      <c r="F14" s="289">
        <v>36</v>
      </c>
      <c r="G14" s="406">
        <v>550</v>
      </c>
      <c r="H14" s="289" t="s">
        <v>1509</v>
      </c>
      <c r="I14" s="406" t="s">
        <v>1509</v>
      </c>
      <c r="J14" s="289">
        <v>1892</v>
      </c>
      <c r="K14" s="410">
        <v>4458</v>
      </c>
      <c r="L14" s="289" t="s">
        <v>1509</v>
      </c>
      <c r="M14" s="406" t="s">
        <v>1509</v>
      </c>
      <c r="N14" s="791">
        <v>10</v>
      </c>
      <c r="O14" s="362">
        <v>864</v>
      </c>
      <c r="P14" s="290">
        <f t="shared" si="1"/>
        <v>1994</v>
      </c>
      <c r="Q14" s="484">
        <f t="shared" si="0"/>
        <v>6172</v>
      </c>
    </row>
    <row r="15" spans="1:19" ht="21" customHeight="1">
      <c r="A15" s="284">
        <v>9</v>
      </c>
      <c r="B15" s="305" t="s">
        <v>577</v>
      </c>
      <c r="C15" s="405" t="s">
        <v>1509</v>
      </c>
      <c r="D15" s="410">
        <v>71</v>
      </c>
      <c r="E15" s="406">
        <v>358</v>
      </c>
      <c r="F15" s="289">
        <v>56</v>
      </c>
      <c r="G15" s="406">
        <v>930</v>
      </c>
      <c r="H15" s="289">
        <v>31</v>
      </c>
      <c r="I15" s="406">
        <v>197</v>
      </c>
      <c r="J15" s="289">
        <v>1856</v>
      </c>
      <c r="K15" s="410">
        <v>3678</v>
      </c>
      <c r="L15" s="289" t="s">
        <v>1509</v>
      </c>
      <c r="M15" s="406" t="s">
        <v>1509</v>
      </c>
      <c r="N15" s="791">
        <v>99</v>
      </c>
      <c r="O15" s="362">
        <v>5607</v>
      </c>
      <c r="P15" s="290">
        <f t="shared" si="1"/>
        <v>2113</v>
      </c>
      <c r="Q15" s="484">
        <f t="shared" si="0"/>
        <v>10770</v>
      </c>
    </row>
    <row r="16" spans="1:19" ht="21" customHeight="1">
      <c r="A16" s="284">
        <v>10</v>
      </c>
      <c r="B16" s="305" t="s">
        <v>578</v>
      </c>
      <c r="C16" s="405" t="s">
        <v>1509</v>
      </c>
      <c r="D16" s="410">
        <v>51</v>
      </c>
      <c r="E16" s="406">
        <v>252</v>
      </c>
      <c r="F16" s="289">
        <v>51</v>
      </c>
      <c r="G16" s="406">
        <v>1133</v>
      </c>
      <c r="H16" s="289">
        <v>61</v>
      </c>
      <c r="I16" s="406">
        <v>948</v>
      </c>
      <c r="J16" s="289">
        <v>1201</v>
      </c>
      <c r="K16" s="410">
        <v>2310</v>
      </c>
      <c r="L16" s="289" t="s">
        <v>1509</v>
      </c>
      <c r="M16" s="406" t="s">
        <v>1509</v>
      </c>
      <c r="N16" s="791">
        <v>24</v>
      </c>
      <c r="O16" s="362">
        <v>1529</v>
      </c>
      <c r="P16" s="290">
        <f t="shared" si="1"/>
        <v>1388</v>
      </c>
      <c r="Q16" s="484">
        <f t="shared" si="0"/>
        <v>6172</v>
      </c>
    </row>
    <row r="17" spans="1:18" ht="21" customHeight="1">
      <c r="A17" s="284">
        <v>11</v>
      </c>
      <c r="B17" s="305" t="s">
        <v>490</v>
      </c>
      <c r="C17" s="405" t="s">
        <v>1509</v>
      </c>
      <c r="D17" s="289" t="s">
        <v>1509</v>
      </c>
      <c r="E17" s="406" t="s">
        <v>1509</v>
      </c>
      <c r="F17" s="289">
        <v>25</v>
      </c>
      <c r="G17" s="406">
        <v>580</v>
      </c>
      <c r="H17" s="289">
        <v>50</v>
      </c>
      <c r="I17" s="406">
        <v>1054</v>
      </c>
      <c r="J17" s="289">
        <v>1098</v>
      </c>
      <c r="K17" s="410">
        <v>2876</v>
      </c>
      <c r="L17" s="289" t="s">
        <v>1509</v>
      </c>
      <c r="M17" s="406" t="s">
        <v>1509</v>
      </c>
      <c r="N17" s="791">
        <v>34</v>
      </c>
      <c r="O17" s="362">
        <v>2021</v>
      </c>
      <c r="P17" s="290">
        <f t="shared" si="1"/>
        <v>1207</v>
      </c>
      <c r="Q17" s="484">
        <f t="shared" si="0"/>
        <v>6531</v>
      </c>
    </row>
    <row r="18" spans="1:18" ht="21" customHeight="1">
      <c r="A18" s="284">
        <v>12</v>
      </c>
      <c r="B18" s="305" t="s">
        <v>580</v>
      </c>
      <c r="C18" s="405" t="s">
        <v>1509</v>
      </c>
      <c r="D18" s="289" t="s">
        <v>1509</v>
      </c>
      <c r="E18" s="406" t="s">
        <v>1509</v>
      </c>
      <c r="F18" s="289">
        <v>27</v>
      </c>
      <c r="G18" s="406">
        <v>701</v>
      </c>
      <c r="H18" s="289">
        <v>21</v>
      </c>
      <c r="I18" s="406">
        <v>482</v>
      </c>
      <c r="J18" s="289">
        <v>2441</v>
      </c>
      <c r="K18" s="410">
        <v>5546</v>
      </c>
      <c r="L18" s="289" t="s">
        <v>1509</v>
      </c>
      <c r="M18" s="406" t="s">
        <v>1509</v>
      </c>
      <c r="N18" s="791">
        <v>10</v>
      </c>
      <c r="O18" s="362">
        <v>555</v>
      </c>
      <c r="P18" s="290">
        <f t="shared" si="1"/>
        <v>2499</v>
      </c>
      <c r="Q18" s="484">
        <f t="shared" si="0"/>
        <v>7284</v>
      </c>
    </row>
    <row r="19" spans="1:18" ht="21" customHeight="1">
      <c r="A19" s="284">
        <v>13</v>
      </c>
      <c r="B19" s="305" t="s">
        <v>585</v>
      </c>
      <c r="C19" s="405" t="s">
        <v>1509</v>
      </c>
      <c r="D19" s="289" t="s">
        <v>1509</v>
      </c>
      <c r="E19" s="406" t="s">
        <v>1509</v>
      </c>
      <c r="F19" s="289">
        <v>4</v>
      </c>
      <c r="G19" s="468" t="s">
        <v>1183</v>
      </c>
      <c r="H19" s="289">
        <v>17</v>
      </c>
      <c r="I19" s="406">
        <v>312</v>
      </c>
      <c r="J19" s="289">
        <v>1340</v>
      </c>
      <c r="K19" s="410">
        <v>2946</v>
      </c>
      <c r="L19" s="289" t="s">
        <v>1509</v>
      </c>
      <c r="M19" s="406" t="s">
        <v>1509</v>
      </c>
      <c r="N19" s="791">
        <v>5</v>
      </c>
      <c r="O19" s="362">
        <v>278</v>
      </c>
      <c r="P19" s="290">
        <f t="shared" si="1"/>
        <v>1366</v>
      </c>
      <c r="Q19" s="484">
        <f t="shared" si="0"/>
        <v>3536</v>
      </c>
    </row>
    <row r="20" spans="1:18" ht="21" customHeight="1">
      <c r="A20" s="284">
        <v>14</v>
      </c>
      <c r="B20" s="305" t="s">
        <v>586</v>
      </c>
      <c r="C20" s="405" t="s">
        <v>1509</v>
      </c>
      <c r="D20" s="289" t="s">
        <v>1509</v>
      </c>
      <c r="E20" s="406" t="s">
        <v>1509</v>
      </c>
      <c r="F20" s="289">
        <v>11</v>
      </c>
      <c r="G20" s="406">
        <v>385</v>
      </c>
      <c r="H20" s="289">
        <v>26</v>
      </c>
      <c r="I20" s="406">
        <v>440</v>
      </c>
      <c r="J20" s="289">
        <v>808</v>
      </c>
      <c r="K20" s="410">
        <v>1728</v>
      </c>
      <c r="L20" s="289" t="s">
        <v>1509</v>
      </c>
      <c r="M20" s="406" t="s">
        <v>1509</v>
      </c>
      <c r="N20" s="791">
        <v>5</v>
      </c>
      <c r="O20" s="362">
        <v>203</v>
      </c>
      <c r="P20" s="290">
        <f t="shared" si="1"/>
        <v>850</v>
      </c>
      <c r="Q20" s="484">
        <f t="shared" si="0"/>
        <v>2756</v>
      </c>
    </row>
    <row r="21" spans="1:18" ht="21" customHeight="1">
      <c r="A21" s="286">
        <v>15</v>
      </c>
      <c r="B21" s="407" t="s">
        <v>587</v>
      </c>
      <c r="C21" s="460" t="s">
        <v>1509</v>
      </c>
      <c r="D21" s="293" t="s">
        <v>1509</v>
      </c>
      <c r="E21" s="461" t="s">
        <v>1509</v>
      </c>
      <c r="F21" s="293">
        <v>3</v>
      </c>
      <c r="G21" s="461">
        <v>92</v>
      </c>
      <c r="H21" s="293">
        <v>43</v>
      </c>
      <c r="I21" s="461">
        <v>416</v>
      </c>
      <c r="J21" s="293">
        <v>2725</v>
      </c>
      <c r="K21" s="140">
        <v>5469</v>
      </c>
      <c r="L21" s="293" t="s">
        <v>1509</v>
      </c>
      <c r="M21" s="461" t="s">
        <v>1509</v>
      </c>
      <c r="N21" s="1070">
        <v>4</v>
      </c>
      <c r="O21" s="142">
        <v>212</v>
      </c>
      <c r="P21" s="141">
        <f t="shared" si="1"/>
        <v>2775</v>
      </c>
      <c r="Q21" s="486">
        <f t="shared" si="0"/>
        <v>6189</v>
      </c>
    </row>
    <row r="22" spans="1:18">
      <c r="A22" s="257" t="s">
        <v>931</v>
      </c>
      <c r="B22" s="257"/>
      <c r="C22" s="257"/>
      <c r="D22" s="257"/>
      <c r="E22" s="924" t="s">
        <v>231</v>
      </c>
      <c r="F22" s="974" t="s">
        <v>813</v>
      </c>
      <c r="G22" s="257"/>
      <c r="J22" s="165"/>
      <c r="K22" s="165"/>
      <c r="L22" s="900" t="s">
        <v>117</v>
      </c>
      <c r="M22" s="257" t="s">
        <v>353</v>
      </c>
      <c r="N22" s="166"/>
      <c r="O22" s="166"/>
    </row>
    <row r="23" spans="1:18">
      <c r="A23" s="257" t="s">
        <v>932</v>
      </c>
      <c r="B23" s="257"/>
      <c r="C23" s="257"/>
      <c r="D23" s="257"/>
      <c r="E23" s="924" t="s">
        <v>232</v>
      </c>
      <c r="F23" s="974" t="s">
        <v>643</v>
      </c>
      <c r="G23" s="257"/>
      <c r="J23" s="165"/>
      <c r="K23" s="165" t="s">
        <v>933</v>
      </c>
      <c r="L23" s="257"/>
      <c r="M23" s="257" t="s">
        <v>644</v>
      </c>
      <c r="N23" s="166"/>
      <c r="O23" s="166"/>
    </row>
    <row r="24" spans="1:18">
      <c r="A24" s="952" t="s">
        <v>934</v>
      </c>
      <c r="B24" s="257"/>
      <c r="C24" s="257"/>
      <c r="D24" s="952"/>
      <c r="E24" s="924" t="s">
        <v>233</v>
      </c>
      <c r="F24" s="975" t="s">
        <v>559</v>
      </c>
      <c r="G24" s="952"/>
      <c r="J24" s="270"/>
      <c r="K24" s="270"/>
      <c r="L24" s="257"/>
      <c r="M24" s="952" t="s">
        <v>1062</v>
      </c>
      <c r="N24" s="166"/>
      <c r="O24" s="250"/>
      <c r="P24" s="38"/>
      <c r="R24" s="38"/>
    </row>
    <row r="25" spans="1:18">
      <c r="A25" s="1948" t="s">
        <v>1131</v>
      </c>
      <c r="B25" s="1948"/>
      <c r="C25" s="1948"/>
      <c r="D25" s="1948"/>
      <c r="E25" s="1948"/>
      <c r="F25" s="1948"/>
      <c r="G25" s="1948"/>
      <c r="H25" s="971"/>
      <c r="K25" s="165"/>
      <c r="L25" s="165"/>
    </row>
    <row r="26" spans="1:18" ht="13.5">
      <c r="A26" s="25"/>
      <c r="B26" s="61"/>
      <c r="C26" s="61"/>
      <c r="D26" s="61"/>
      <c r="E26" s="61"/>
      <c r="F26" s="61"/>
      <c r="G26" s="61"/>
      <c r="H26" s="61"/>
      <c r="I26" s="61"/>
      <c r="J26" s="61"/>
      <c r="K26" s="61"/>
      <c r="L26" s="61"/>
      <c r="M26" s="61"/>
      <c r="N26" s="61"/>
      <c r="O26" s="61"/>
      <c r="P26" s="70"/>
      <c r="Q26" s="71"/>
    </row>
    <row r="27" spans="1:18" ht="13.5">
      <c r="A27" s="25"/>
      <c r="B27" s="61"/>
      <c r="C27" s="61"/>
      <c r="D27" s="61"/>
      <c r="E27" s="61"/>
      <c r="F27" s="61"/>
      <c r="G27" s="61"/>
      <c r="H27" s="61"/>
      <c r="I27" s="61"/>
      <c r="J27" s="61"/>
      <c r="K27" s="61"/>
      <c r="L27" s="61"/>
      <c r="M27" s="61"/>
      <c r="N27" s="61"/>
      <c r="O27" s="61"/>
      <c r="P27" s="70"/>
      <c r="Q27" s="71"/>
    </row>
    <row r="28" spans="1:18" ht="13.5">
      <c r="A28" s="25"/>
      <c r="B28" s="61"/>
      <c r="C28" s="61"/>
      <c r="D28" s="61"/>
      <c r="E28" s="61"/>
      <c r="F28" s="61"/>
      <c r="G28" s="61"/>
      <c r="H28" s="61"/>
      <c r="I28" s="61"/>
      <c r="J28" s="61"/>
      <c r="K28" s="61"/>
      <c r="L28" s="61"/>
      <c r="M28" s="61"/>
      <c r="N28" s="61"/>
      <c r="O28" s="61"/>
      <c r="P28" s="70"/>
      <c r="Q28" s="71"/>
    </row>
    <row r="29" spans="1:18" ht="13.5">
      <c r="A29" s="25"/>
      <c r="B29" s="61"/>
      <c r="C29" s="61"/>
      <c r="D29" s="61"/>
      <c r="E29" s="61"/>
      <c r="F29" s="61"/>
      <c r="G29" s="61"/>
      <c r="H29" s="61"/>
      <c r="I29" s="61"/>
      <c r="J29" s="61"/>
      <c r="K29" s="61"/>
      <c r="L29" s="61"/>
      <c r="M29" s="61"/>
      <c r="N29" s="61"/>
      <c r="O29" s="61"/>
      <c r="P29" s="70"/>
      <c r="Q29" s="71"/>
    </row>
    <row r="30" spans="1:18" ht="13.5">
      <c r="A30" s="25"/>
      <c r="B30" s="61"/>
      <c r="C30" s="61"/>
      <c r="D30" s="61"/>
      <c r="E30" s="61"/>
      <c r="F30" s="61"/>
      <c r="G30" s="61"/>
      <c r="H30" s="61"/>
      <c r="I30" s="61"/>
      <c r="J30" s="61"/>
      <c r="K30" s="61"/>
      <c r="L30" s="61"/>
      <c r="M30" s="61"/>
      <c r="N30" s="61"/>
      <c r="O30" s="61"/>
      <c r="P30" s="70"/>
      <c r="Q30" s="71"/>
    </row>
    <row r="31" spans="1:18" ht="13.5">
      <c r="A31" s="25"/>
      <c r="B31" s="61"/>
      <c r="C31" s="61"/>
      <c r="D31" s="61"/>
      <c r="E31" s="61"/>
      <c r="F31" s="61"/>
      <c r="G31" s="61"/>
      <c r="H31" s="61"/>
      <c r="I31" s="61"/>
      <c r="J31" s="61"/>
      <c r="K31" s="61"/>
      <c r="L31" s="61"/>
      <c r="M31" s="61"/>
      <c r="N31" s="61"/>
      <c r="O31" s="61"/>
      <c r="P31" s="70"/>
      <c r="Q31" s="71"/>
    </row>
    <row r="32" spans="1:18" ht="13.5">
      <c r="A32" s="25"/>
      <c r="B32" s="61"/>
      <c r="C32" s="61"/>
      <c r="D32" s="61"/>
      <c r="E32" s="61"/>
      <c r="F32" s="61"/>
      <c r="G32" s="61"/>
      <c r="H32" s="61"/>
      <c r="I32" s="61"/>
      <c r="J32" s="61"/>
      <c r="K32" s="61"/>
      <c r="L32" s="61"/>
      <c r="M32" s="61"/>
      <c r="N32" s="61"/>
      <c r="O32" s="61"/>
      <c r="P32" s="70"/>
      <c r="Q32" s="71"/>
    </row>
    <row r="33" spans="1:17" ht="13.5">
      <c r="A33" s="25"/>
      <c r="B33" s="61"/>
      <c r="C33" s="61"/>
      <c r="D33" s="61"/>
      <c r="E33" s="61"/>
      <c r="F33" s="61"/>
      <c r="G33" s="61"/>
      <c r="H33" s="61"/>
      <c r="I33" s="61"/>
      <c r="J33" s="61"/>
      <c r="K33" s="61"/>
      <c r="L33" s="61"/>
      <c r="M33" s="61"/>
      <c r="N33" s="61"/>
      <c r="O33" s="61"/>
      <c r="P33" s="70"/>
      <c r="Q33" s="71"/>
    </row>
    <row r="34" spans="1:17" ht="13.5">
      <c r="A34" s="25"/>
      <c r="B34" s="61"/>
      <c r="C34" s="61"/>
      <c r="D34" s="61"/>
      <c r="E34" s="61"/>
      <c r="F34" s="61"/>
      <c r="G34" s="61"/>
      <c r="H34" s="61"/>
      <c r="I34" s="61"/>
      <c r="J34" s="61"/>
      <c r="K34" s="61"/>
      <c r="L34" s="61"/>
      <c r="M34" s="61"/>
      <c r="N34" s="61"/>
      <c r="O34" s="61"/>
      <c r="P34" s="70"/>
      <c r="Q34" s="71"/>
    </row>
    <row r="35" spans="1:17" ht="13.5">
      <c r="A35" s="25"/>
      <c r="B35" s="61"/>
      <c r="C35" s="61"/>
      <c r="D35" s="61"/>
      <c r="E35" s="61"/>
      <c r="F35" s="61"/>
      <c r="G35" s="61"/>
      <c r="H35" s="61"/>
      <c r="I35" s="61"/>
      <c r="J35" s="61"/>
      <c r="K35" s="61"/>
      <c r="L35" s="61"/>
      <c r="M35" s="61"/>
      <c r="N35" s="61"/>
      <c r="O35" s="61"/>
      <c r="P35" s="70"/>
      <c r="Q35" s="71"/>
    </row>
    <row r="36" spans="1:17" ht="13.5">
      <c r="A36" s="25"/>
      <c r="B36" s="61"/>
      <c r="C36" s="61"/>
      <c r="D36" s="61"/>
      <c r="E36" s="61"/>
      <c r="F36" s="61"/>
      <c r="G36" s="61"/>
      <c r="H36" s="61"/>
      <c r="I36" s="61"/>
      <c r="J36" s="61"/>
      <c r="K36" s="61"/>
      <c r="L36" s="61"/>
      <c r="M36" s="61"/>
      <c r="N36" s="61"/>
      <c r="O36" s="61"/>
      <c r="P36" s="70"/>
      <c r="Q36" s="71"/>
    </row>
    <row r="37" spans="1:17" ht="13.5">
      <c r="A37" s="25"/>
      <c r="B37" s="61"/>
      <c r="C37" s="61"/>
      <c r="D37" s="61"/>
      <c r="E37" s="61"/>
      <c r="F37" s="61"/>
      <c r="G37" s="61"/>
      <c r="H37" s="61"/>
      <c r="I37" s="61"/>
      <c r="J37" s="61"/>
      <c r="K37" s="61"/>
      <c r="L37" s="61"/>
      <c r="M37" s="61"/>
      <c r="N37" s="61"/>
      <c r="O37" s="61"/>
      <c r="P37" s="70"/>
      <c r="Q37" s="71"/>
    </row>
    <row r="38" spans="1:17" ht="13.5">
      <c r="A38" s="25"/>
      <c r="B38" s="61"/>
      <c r="C38" s="61"/>
      <c r="D38" s="61"/>
      <c r="E38" s="61"/>
      <c r="F38" s="61"/>
      <c r="G38" s="61"/>
      <c r="H38" s="61"/>
      <c r="I38" s="61"/>
      <c r="J38" s="61"/>
      <c r="K38" s="61"/>
      <c r="L38" s="61"/>
      <c r="M38" s="61"/>
      <c r="N38" s="61"/>
      <c r="O38" s="61"/>
      <c r="P38" s="70"/>
      <c r="Q38" s="71"/>
    </row>
    <row r="39" spans="1:17" ht="13.5">
      <c r="A39" s="43"/>
      <c r="B39" s="78"/>
      <c r="C39" s="78"/>
      <c r="D39" s="78"/>
      <c r="E39" s="78"/>
      <c r="F39" s="78"/>
      <c r="G39" s="78"/>
      <c r="H39" s="78"/>
      <c r="I39" s="78"/>
      <c r="J39" s="78"/>
      <c r="K39" s="78"/>
      <c r="L39" s="78"/>
      <c r="M39" s="78"/>
      <c r="N39" s="78"/>
      <c r="O39" s="78"/>
      <c r="P39" s="92"/>
      <c r="Q39" s="93"/>
    </row>
  </sheetData>
  <mergeCells count="12">
    <mergeCell ref="F4:G4"/>
    <mergeCell ref="A4:A5"/>
    <mergeCell ref="H4:I4"/>
    <mergeCell ref="B4:B5"/>
    <mergeCell ref="A25:G25"/>
    <mergeCell ref="A1:Q1"/>
    <mergeCell ref="A2:Q2"/>
    <mergeCell ref="J4:K4"/>
    <mergeCell ref="L4:M4"/>
    <mergeCell ref="N4:O4"/>
    <mergeCell ref="P4:Q4"/>
    <mergeCell ref="D4:E4"/>
  </mergeCells>
  <phoneticPr fontId="0" type="noConversion"/>
  <printOptions horizontalCentered="1"/>
  <pageMargins left="0.1" right="0.1" top="0.85" bottom="0.1" header="0.7" footer="0.1"/>
  <pageSetup paperSize="9" orientation="landscape" blackAndWhite="1" horizontalDpi="4294967295" r:id="rId1"/>
  <headerFooter alignWithMargins="0"/>
</worksheet>
</file>

<file path=xl/worksheets/sheet81.xml><?xml version="1.0" encoding="utf-8"?>
<worksheet xmlns="http://schemas.openxmlformats.org/spreadsheetml/2006/main" xmlns:r="http://schemas.openxmlformats.org/officeDocument/2006/relationships">
  <sheetPr codeName="Sheet99"/>
  <dimension ref="A1:M45"/>
  <sheetViews>
    <sheetView workbookViewId="0">
      <selection activeCell="K4" sqref="K4"/>
    </sheetView>
  </sheetViews>
  <sheetFormatPr defaultRowHeight="12.75"/>
  <cols>
    <col min="1" max="1" width="5.42578125" style="6" customWidth="1"/>
    <col min="2" max="2" width="17.85546875" style="6" customWidth="1"/>
    <col min="3" max="3" width="12.7109375" style="6" customWidth="1"/>
    <col min="4" max="4" width="12.5703125" style="65" customWidth="1"/>
    <col min="5" max="5" width="15.140625" style="6" customWidth="1"/>
    <col min="6" max="6" width="16.28515625" style="6" customWidth="1"/>
    <col min="7" max="7" width="18.140625" style="6" customWidth="1"/>
    <col min="8" max="8" width="15.140625" style="6" customWidth="1"/>
    <col min="9" max="9" width="15" style="6" customWidth="1"/>
    <col min="10" max="10" width="11.7109375" style="6" customWidth="1"/>
    <col min="11" max="16384" width="9.140625" style="6"/>
  </cols>
  <sheetData>
    <row r="1" spans="1:13" ht="14.25" customHeight="1">
      <c r="A1" s="1363" t="s">
        <v>1483</v>
      </c>
      <c r="B1" s="1363"/>
      <c r="C1" s="1363"/>
      <c r="D1" s="1363"/>
      <c r="E1" s="1363"/>
      <c r="F1" s="1363"/>
      <c r="G1" s="1363"/>
      <c r="H1" s="1363"/>
      <c r="I1" s="1363"/>
    </row>
    <row r="2" spans="1:13" ht="21" customHeight="1">
      <c r="A2" s="1367" t="str">
        <f>CONCATENATE("Particulars of Fisheries in the Blocks of ",District!$A$1," for the year ", District!$B$3)</f>
        <v>Particulars of Fisheries in the Blocks of Malda for the year 2013-14</v>
      </c>
      <c r="B2" s="1367"/>
      <c r="C2" s="1367"/>
      <c r="D2" s="1367"/>
      <c r="E2" s="1367"/>
      <c r="F2" s="1367"/>
      <c r="G2" s="1367"/>
      <c r="H2" s="1367"/>
      <c r="I2" s="1367"/>
    </row>
    <row r="3" spans="1:13" ht="44.25" customHeight="1">
      <c r="A3" s="258" t="s">
        <v>968</v>
      </c>
      <c r="B3" s="773" t="s">
        <v>852</v>
      </c>
      <c r="C3" s="772" t="s">
        <v>1064</v>
      </c>
      <c r="D3" s="1028" t="s">
        <v>1063</v>
      </c>
      <c r="E3" s="772" t="s">
        <v>1065</v>
      </c>
      <c r="F3" s="258" t="s">
        <v>1038</v>
      </c>
      <c r="G3" s="772" t="s">
        <v>1039</v>
      </c>
      <c r="H3" s="258" t="s">
        <v>252</v>
      </c>
      <c r="I3" s="773" t="s">
        <v>1040</v>
      </c>
    </row>
    <row r="4" spans="1:13" ht="20.25" customHeight="1">
      <c r="A4" s="151" t="s">
        <v>1208</v>
      </c>
      <c r="B4" s="153" t="s">
        <v>1209</v>
      </c>
      <c r="C4" s="151" t="s">
        <v>1210</v>
      </c>
      <c r="D4" s="448" t="s">
        <v>1211</v>
      </c>
      <c r="E4" s="152" t="s">
        <v>1212</v>
      </c>
      <c r="F4" s="151" t="s">
        <v>1213</v>
      </c>
      <c r="G4" s="152" t="s">
        <v>1214</v>
      </c>
      <c r="H4" s="151" t="s">
        <v>1244</v>
      </c>
      <c r="I4" s="153" t="s">
        <v>1245</v>
      </c>
    </row>
    <row r="5" spans="1:13" ht="24.75" customHeight="1">
      <c r="A5" s="285">
        <v>1</v>
      </c>
      <c r="B5" s="1073" t="s">
        <v>1051</v>
      </c>
      <c r="C5" s="632">
        <v>4</v>
      </c>
      <c r="D5" s="1093">
        <v>386</v>
      </c>
      <c r="E5" s="1093">
        <v>386</v>
      </c>
      <c r="F5" s="469">
        <v>678.41</v>
      </c>
      <c r="G5" s="469">
        <v>480.6</v>
      </c>
      <c r="H5" s="450">
        <v>5594</v>
      </c>
      <c r="I5" s="1249">
        <v>22811</v>
      </c>
    </row>
    <row r="6" spans="1:13" ht="24.75" customHeight="1">
      <c r="A6" s="285">
        <v>2</v>
      </c>
      <c r="B6" s="1073" t="s">
        <v>495</v>
      </c>
      <c r="C6" s="632">
        <v>3</v>
      </c>
      <c r="D6" s="1011">
        <v>307</v>
      </c>
      <c r="E6" s="632">
        <v>307</v>
      </c>
      <c r="F6" s="291">
        <v>1016.13</v>
      </c>
      <c r="G6" s="291">
        <v>368.49</v>
      </c>
      <c r="H6" s="450">
        <v>5840</v>
      </c>
      <c r="I6" s="1249">
        <v>27052</v>
      </c>
    </row>
    <row r="7" spans="1:13" ht="24.75" customHeight="1">
      <c r="A7" s="285">
        <v>3</v>
      </c>
      <c r="B7" s="1073" t="s">
        <v>531</v>
      </c>
      <c r="C7" s="632">
        <v>1</v>
      </c>
      <c r="D7" s="453" t="s">
        <v>1509</v>
      </c>
      <c r="E7" s="450" t="s">
        <v>1509</v>
      </c>
      <c r="F7" s="291">
        <v>1000.79</v>
      </c>
      <c r="G7" s="291">
        <v>344.71</v>
      </c>
      <c r="H7" s="132">
        <v>4860</v>
      </c>
      <c r="I7" s="1249">
        <v>17053</v>
      </c>
    </row>
    <row r="8" spans="1:13" ht="24.75" customHeight="1">
      <c r="A8" s="285">
        <v>4</v>
      </c>
      <c r="B8" s="1073" t="s">
        <v>532</v>
      </c>
      <c r="C8" s="632">
        <v>3</v>
      </c>
      <c r="D8" s="632">
        <v>304</v>
      </c>
      <c r="E8" s="1035">
        <v>304</v>
      </c>
      <c r="F8" s="838">
        <v>821.86</v>
      </c>
      <c r="G8" s="838">
        <v>350.29</v>
      </c>
      <c r="H8" s="450">
        <v>5305</v>
      </c>
      <c r="I8" s="1249">
        <v>27530</v>
      </c>
    </row>
    <row r="9" spans="1:13" ht="24.75" customHeight="1">
      <c r="A9" s="285">
        <v>5</v>
      </c>
      <c r="B9" s="1073" t="s">
        <v>533</v>
      </c>
      <c r="C9" s="450">
        <v>2</v>
      </c>
      <c r="D9" s="1011">
        <v>75</v>
      </c>
      <c r="E9" s="632">
        <v>75</v>
      </c>
      <c r="F9" s="291">
        <v>543.02</v>
      </c>
      <c r="G9" s="291">
        <v>202.1</v>
      </c>
      <c r="H9" s="450">
        <v>2925</v>
      </c>
      <c r="I9" s="1249">
        <v>19838</v>
      </c>
    </row>
    <row r="10" spans="1:13" ht="24.75" customHeight="1">
      <c r="A10" s="285">
        <v>6</v>
      </c>
      <c r="B10" s="1073" t="s">
        <v>573</v>
      </c>
      <c r="C10" s="450">
        <v>4</v>
      </c>
      <c r="D10" s="453">
        <v>386</v>
      </c>
      <c r="E10" s="450">
        <v>386</v>
      </c>
      <c r="F10" s="291">
        <v>820.62</v>
      </c>
      <c r="G10" s="291">
        <v>290.41000000000003</v>
      </c>
      <c r="H10" s="450">
        <v>3890</v>
      </c>
      <c r="I10" s="1249">
        <v>23205</v>
      </c>
    </row>
    <row r="11" spans="1:13" ht="24.75" customHeight="1">
      <c r="A11" s="285">
        <v>7</v>
      </c>
      <c r="B11" s="433" t="s">
        <v>576</v>
      </c>
      <c r="C11" s="451">
        <v>2</v>
      </c>
      <c r="D11" s="453">
        <v>62</v>
      </c>
      <c r="E11" s="450">
        <v>62</v>
      </c>
      <c r="F11" s="291">
        <v>3014.3</v>
      </c>
      <c r="G11" s="291">
        <v>1612.75</v>
      </c>
      <c r="H11" s="450">
        <v>23898</v>
      </c>
      <c r="I11" s="1249">
        <v>83518</v>
      </c>
    </row>
    <row r="12" spans="1:13" ht="24.75" customHeight="1">
      <c r="A12" s="285">
        <v>8</v>
      </c>
      <c r="B12" s="433" t="s">
        <v>1510</v>
      </c>
      <c r="C12" s="451">
        <v>4</v>
      </c>
      <c r="D12" s="453">
        <v>427</v>
      </c>
      <c r="E12" s="450">
        <v>427</v>
      </c>
      <c r="F12" s="291">
        <v>821.84</v>
      </c>
      <c r="G12" s="291">
        <v>445.84</v>
      </c>
      <c r="H12" s="450">
        <v>6000</v>
      </c>
      <c r="I12" s="1249">
        <v>28750</v>
      </c>
      <c r="K12" s="38"/>
      <c r="L12" s="38"/>
      <c r="M12" s="38"/>
    </row>
    <row r="13" spans="1:13" ht="24.75" customHeight="1">
      <c r="A13" s="285">
        <v>9</v>
      </c>
      <c r="B13" s="433" t="s">
        <v>577</v>
      </c>
      <c r="C13" s="631">
        <v>5</v>
      </c>
      <c r="D13" s="453">
        <v>591</v>
      </c>
      <c r="E13" s="450">
        <v>591</v>
      </c>
      <c r="F13" s="291">
        <v>2608.3200000000002</v>
      </c>
      <c r="G13" s="291">
        <v>786.56</v>
      </c>
      <c r="H13" s="450">
        <v>12039</v>
      </c>
      <c r="I13" s="1249">
        <v>74651</v>
      </c>
      <c r="K13" s="38"/>
      <c r="L13" s="38"/>
      <c r="M13" s="38"/>
    </row>
    <row r="14" spans="1:13" ht="24.75" customHeight="1">
      <c r="A14" s="285">
        <v>10</v>
      </c>
      <c r="B14" s="433" t="s">
        <v>578</v>
      </c>
      <c r="C14" s="631">
        <v>3</v>
      </c>
      <c r="D14" s="632">
        <v>164</v>
      </c>
      <c r="E14" s="1035">
        <v>164</v>
      </c>
      <c r="F14" s="469">
        <v>1947.5</v>
      </c>
      <c r="G14" s="469">
        <v>677.5</v>
      </c>
      <c r="H14" s="450">
        <v>8910</v>
      </c>
      <c r="I14" s="1249">
        <v>58308</v>
      </c>
      <c r="K14" s="38"/>
      <c r="L14" s="38"/>
      <c r="M14" s="38"/>
    </row>
    <row r="15" spans="1:13" ht="24.75" customHeight="1">
      <c r="A15" s="285">
        <v>11</v>
      </c>
      <c r="B15" s="433" t="s">
        <v>490</v>
      </c>
      <c r="C15" s="631">
        <v>2</v>
      </c>
      <c r="D15" s="632">
        <v>123</v>
      </c>
      <c r="E15" s="632">
        <v>123</v>
      </c>
      <c r="F15" s="469">
        <v>1478</v>
      </c>
      <c r="G15" s="469">
        <v>730.8</v>
      </c>
      <c r="H15" s="450">
        <v>9860</v>
      </c>
      <c r="I15" s="1249">
        <v>40365</v>
      </c>
    </row>
    <row r="16" spans="1:13" ht="24.75" customHeight="1">
      <c r="A16" s="285">
        <v>12</v>
      </c>
      <c r="B16" s="433" t="s">
        <v>580</v>
      </c>
      <c r="C16" s="631">
        <v>2</v>
      </c>
      <c r="D16" s="632">
        <v>83</v>
      </c>
      <c r="E16" s="632">
        <v>83</v>
      </c>
      <c r="F16" s="469">
        <v>620.9</v>
      </c>
      <c r="G16" s="469">
        <v>192.35</v>
      </c>
      <c r="H16" s="450">
        <v>2740</v>
      </c>
      <c r="I16" s="1249">
        <v>23850</v>
      </c>
    </row>
    <row r="17" spans="1:10" ht="24.75" customHeight="1">
      <c r="A17" s="285">
        <v>13</v>
      </c>
      <c r="B17" s="433" t="s">
        <v>585</v>
      </c>
      <c r="C17" s="631">
        <v>4</v>
      </c>
      <c r="D17" s="632">
        <v>375</v>
      </c>
      <c r="E17" s="632">
        <v>375</v>
      </c>
      <c r="F17" s="469">
        <v>378.64</v>
      </c>
      <c r="G17" s="469">
        <v>115.3</v>
      </c>
      <c r="H17" s="450">
        <v>2290</v>
      </c>
      <c r="I17" s="1249">
        <v>19611</v>
      </c>
    </row>
    <row r="18" spans="1:10" ht="24.75" customHeight="1">
      <c r="A18" s="285">
        <v>14</v>
      </c>
      <c r="B18" s="433" t="s">
        <v>586</v>
      </c>
      <c r="C18" s="631">
        <v>2</v>
      </c>
      <c r="D18" s="632">
        <v>164</v>
      </c>
      <c r="E18" s="632">
        <v>164</v>
      </c>
      <c r="F18" s="469">
        <v>210.65</v>
      </c>
      <c r="G18" s="469">
        <v>82.4</v>
      </c>
      <c r="H18" s="450">
        <v>1435</v>
      </c>
      <c r="I18" s="1249">
        <v>12260</v>
      </c>
    </row>
    <row r="19" spans="1:10" ht="24.75" customHeight="1">
      <c r="A19" s="292">
        <v>15</v>
      </c>
      <c r="B19" s="452" t="s">
        <v>587</v>
      </c>
      <c r="C19" s="718">
        <v>1</v>
      </c>
      <c r="D19" s="719" t="s">
        <v>1509</v>
      </c>
      <c r="E19" s="719" t="s">
        <v>1509</v>
      </c>
      <c r="F19" s="710">
        <v>250.02</v>
      </c>
      <c r="G19" s="1315">
        <v>106.75</v>
      </c>
      <c r="H19" s="719">
        <v>2069</v>
      </c>
      <c r="I19" s="1250">
        <v>15086</v>
      </c>
    </row>
    <row r="20" spans="1:10">
      <c r="A20" s="1305" t="s">
        <v>253</v>
      </c>
      <c r="B20" s="1305"/>
      <c r="C20" s="1305"/>
      <c r="D20" s="1305"/>
      <c r="E20" s="166" t="s">
        <v>1327</v>
      </c>
      <c r="G20" s="720"/>
      <c r="H20" s="720"/>
      <c r="I20" s="924" t="s">
        <v>456</v>
      </c>
      <c r="J20" s="191"/>
    </row>
    <row r="21" spans="1:10">
      <c r="E21" s="166"/>
      <c r="F21" s="274"/>
      <c r="G21" s="274"/>
      <c r="H21" s="274"/>
      <c r="I21" s="274"/>
    </row>
    <row r="43" spans="1:9">
      <c r="A43"/>
      <c r="B43"/>
      <c r="C43"/>
      <c r="D43" s="166"/>
      <c r="F43" s="24"/>
      <c r="G43" s="24"/>
      <c r="H43" s="24"/>
      <c r="I43" s="24"/>
    </row>
    <row r="45" spans="1:9">
      <c r="D45" s="6"/>
    </row>
  </sheetData>
  <mergeCells count="2">
    <mergeCell ref="A1:I1"/>
    <mergeCell ref="A2:I2"/>
  </mergeCells>
  <phoneticPr fontId="0" type="noConversion"/>
  <conditionalFormatting sqref="A1:A1048576 B21:D65536 E20:G65536 H1:IV1048576 B1:G19">
    <cfRule type="cellIs" dxfId="1" priority="1" stopIfTrue="1" operator="equal">
      <formula>".."</formula>
    </cfRule>
  </conditionalFormatting>
  <printOptions horizontalCentered="1"/>
  <pageMargins left="0.1" right="0.1" top="0.75" bottom="0.1" header="0.7" footer="0.1"/>
  <pageSetup paperSize="9" orientation="landscape" blackAndWhite="1" horizontalDpi="4294967295" r:id="rId1"/>
  <headerFooter alignWithMargins="0"/>
</worksheet>
</file>

<file path=xl/worksheets/sheet82.xml><?xml version="1.0" encoding="utf-8"?>
<worksheet xmlns="http://schemas.openxmlformats.org/spreadsheetml/2006/main" xmlns:r="http://schemas.openxmlformats.org/officeDocument/2006/relationships">
  <sheetPr codeName="Sheet55" enableFormatConditionsCalculation="0"/>
  <dimension ref="A1:K22"/>
  <sheetViews>
    <sheetView workbookViewId="0">
      <selection activeCell="M5" sqref="M5"/>
    </sheetView>
  </sheetViews>
  <sheetFormatPr defaultRowHeight="12.75"/>
  <cols>
    <col min="1" max="1" width="4" customWidth="1"/>
    <col min="2" max="2" width="18.140625" customWidth="1"/>
    <col min="3" max="3" width="11" customWidth="1"/>
    <col min="4" max="4" width="10.42578125" customWidth="1"/>
    <col min="5" max="5" width="11.140625" customWidth="1"/>
    <col min="6" max="6" width="10.85546875" customWidth="1"/>
    <col min="7" max="7" width="10.42578125" customWidth="1"/>
    <col min="8" max="8" width="12.85546875" customWidth="1"/>
  </cols>
  <sheetData>
    <row r="1" spans="1:11" s="6" customFormat="1" ht="18" customHeight="1">
      <c r="A1" s="1430" t="s">
        <v>865</v>
      </c>
      <c r="B1" s="1430"/>
      <c r="C1" s="1430"/>
      <c r="D1" s="1430"/>
      <c r="E1" s="1430"/>
      <c r="F1" s="1430"/>
      <c r="G1" s="1430"/>
      <c r="H1" s="1430"/>
    </row>
    <row r="2" spans="1:11" s="6" customFormat="1" ht="33.75" customHeight="1">
      <c r="A2" s="1949" t="s">
        <v>1467</v>
      </c>
      <c r="B2" s="1949"/>
      <c r="C2" s="1949"/>
      <c r="D2" s="1949"/>
      <c r="E2" s="1949"/>
      <c r="F2" s="1949"/>
      <c r="G2" s="1949"/>
      <c r="H2" s="1949"/>
      <c r="I2" s="896"/>
      <c r="J2" s="896"/>
    </row>
    <row r="3" spans="1:11" s="6" customFormat="1" ht="18" customHeight="1">
      <c r="A3" s="1346" t="s">
        <v>1132</v>
      </c>
      <c r="B3" s="1346" t="s">
        <v>852</v>
      </c>
      <c r="C3" s="1391" t="s">
        <v>461</v>
      </c>
      <c r="D3" s="1639"/>
      <c r="E3" s="1639"/>
      <c r="F3" s="1639"/>
      <c r="G3" s="1392"/>
      <c r="H3" s="1346" t="s">
        <v>937</v>
      </c>
    </row>
    <row r="4" spans="1:11" s="6" customFormat="1" ht="30.75" customHeight="1">
      <c r="A4" s="1347"/>
      <c r="B4" s="1950"/>
      <c r="C4" s="215" t="s">
        <v>935</v>
      </c>
      <c r="D4" s="215" t="s">
        <v>936</v>
      </c>
      <c r="E4" s="215" t="s">
        <v>375</v>
      </c>
      <c r="F4" s="898" t="s">
        <v>1326</v>
      </c>
      <c r="G4" s="898" t="s">
        <v>1526</v>
      </c>
      <c r="H4" s="1347"/>
    </row>
    <row r="5" spans="1:11" s="6" customFormat="1" ht="19.5" customHeight="1">
      <c r="A5" s="151" t="s">
        <v>1208</v>
      </c>
      <c r="B5" s="151" t="s">
        <v>1209</v>
      </c>
      <c r="C5" s="218" t="s">
        <v>1210</v>
      </c>
      <c r="D5" s="218" t="s">
        <v>1211</v>
      </c>
      <c r="E5" s="218" t="s">
        <v>1212</v>
      </c>
      <c r="F5" s="156" t="s">
        <v>1213</v>
      </c>
      <c r="G5" s="154" t="s">
        <v>1214</v>
      </c>
      <c r="H5" s="151" t="s">
        <v>1244</v>
      </c>
    </row>
    <row r="6" spans="1:11" s="6" customFormat="1" ht="23.25" customHeight="1">
      <c r="A6" s="285">
        <v>1</v>
      </c>
      <c r="B6" s="180" t="s">
        <v>458</v>
      </c>
      <c r="C6" s="121">
        <v>32874</v>
      </c>
      <c r="D6" s="115">
        <v>984</v>
      </c>
      <c r="E6" s="41">
        <v>41750</v>
      </c>
      <c r="F6" s="905" t="s">
        <v>1509</v>
      </c>
      <c r="G6" s="643">
        <v>360</v>
      </c>
      <c r="H6" s="115">
        <v>168493</v>
      </c>
    </row>
    <row r="7" spans="1:11" s="6" customFormat="1" ht="30" customHeight="1">
      <c r="A7" s="285">
        <v>2</v>
      </c>
      <c r="B7" s="180" t="s">
        <v>495</v>
      </c>
      <c r="C7" s="121">
        <v>43346</v>
      </c>
      <c r="D7" s="116">
        <v>8608</v>
      </c>
      <c r="E7" s="41">
        <v>64178</v>
      </c>
      <c r="F7" s="132">
        <v>1642</v>
      </c>
      <c r="G7" s="374">
        <v>742</v>
      </c>
      <c r="H7" s="116">
        <v>417034</v>
      </c>
    </row>
    <row r="8" spans="1:11" s="6" customFormat="1" ht="30" customHeight="1">
      <c r="A8" s="285">
        <v>3</v>
      </c>
      <c r="B8" s="180" t="s">
        <v>531</v>
      </c>
      <c r="C8" s="121">
        <v>42835</v>
      </c>
      <c r="D8" s="116">
        <v>1480</v>
      </c>
      <c r="E8" s="41">
        <v>59577</v>
      </c>
      <c r="F8" s="132">
        <v>5</v>
      </c>
      <c r="G8" s="374">
        <v>193</v>
      </c>
      <c r="H8" s="116">
        <v>191054</v>
      </c>
      <c r="K8" s="907"/>
    </row>
    <row r="9" spans="1:11" s="6" customFormat="1" ht="30" customHeight="1">
      <c r="A9" s="285">
        <v>4</v>
      </c>
      <c r="B9" s="180" t="s">
        <v>532</v>
      </c>
      <c r="C9" s="121">
        <v>39662</v>
      </c>
      <c r="D9" s="116">
        <v>3890</v>
      </c>
      <c r="E9" s="41">
        <v>37379</v>
      </c>
      <c r="F9" s="132">
        <v>1370</v>
      </c>
      <c r="G9" s="374">
        <v>1013</v>
      </c>
      <c r="H9" s="116">
        <v>125259</v>
      </c>
    </row>
    <row r="10" spans="1:11" s="6" customFormat="1" ht="30" customHeight="1">
      <c r="A10" s="285">
        <v>5</v>
      </c>
      <c r="B10" s="180" t="s">
        <v>533</v>
      </c>
      <c r="C10" s="121">
        <v>53657</v>
      </c>
      <c r="D10" s="116">
        <v>4510</v>
      </c>
      <c r="E10" s="41">
        <v>65940</v>
      </c>
      <c r="F10" s="132">
        <v>2386</v>
      </c>
      <c r="G10" s="374">
        <v>517</v>
      </c>
      <c r="H10" s="116">
        <v>199767</v>
      </c>
    </row>
    <row r="11" spans="1:11" s="6" customFormat="1" ht="30" customHeight="1">
      <c r="A11" s="285">
        <v>6</v>
      </c>
      <c r="B11" s="180" t="s">
        <v>573</v>
      </c>
      <c r="C11" s="121">
        <v>44052</v>
      </c>
      <c r="D11" s="116">
        <v>2899</v>
      </c>
      <c r="E11" s="41">
        <v>101906</v>
      </c>
      <c r="F11" s="132">
        <v>9767</v>
      </c>
      <c r="G11" s="374">
        <v>5</v>
      </c>
      <c r="H11" s="116">
        <v>254010</v>
      </c>
    </row>
    <row r="12" spans="1:11" s="6" customFormat="1" ht="30" customHeight="1">
      <c r="A12" s="285">
        <v>7</v>
      </c>
      <c r="B12" s="180" t="s">
        <v>576</v>
      </c>
      <c r="C12" s="121">
        <v>112851</v>
      </c>
      <c r="D12" s="116">
        <v>6518</v>
      </c>
      <c r="E12" s="41">
        <v>97657</v>
      </c>
      <c r="F12" s="132">
        <v>7338</v>
      </c>
      <c r="G12" s="374">
        <v>19336</v>
      </c>
      <c r="H12" s="116">
        <v>469382</v>
      </c>
    </row>
    <row r="13" spans="1:11" s="6" customFormat="1" ht="30" customHeight="1">
      <c r="A13" s="285">
        <v>8</v>
      </c>
      <c r="B13" s="180" t="s">
        <v>1510</v>
      </c>
      <c r="C13" s="121">
        <v>48632</v>
      </c>
      <c r="D13" s="116">
        <v>2085</v>
      </c>
      <c r="E13" s="41">
        <v>39284</v>
      </c>
      <c r="F13" s="132">
        <v>8725</v>
      </c>
      <c r="G13" s="374">
        <v>9355</v>
      </c>
      <c r="H13" s="116">
        <v>167094</v>
      </c>
    </row>
    <row r="14" spans="1:11" s="6" customFormat="1" ht="30" customHeight="1">
      <c r="A14" s="285">
        <v>9</v>
      </c>
      <c r="B14" s="180" t="s">
        <v>577</v>
      </c>
      <c r="C14" s="121">
        <v>67283</v>
      </c>
      <c r="D14" s="116">
        <v>5680</v>
      </c>
      <c r="E14" s="41">
        <v>47429</v>
      </c>
      <c r="F14" s="132">
        <v>10221</v>
      </c>
      <c r="G14" s="374">
        <v>21133</v>
      </c>
      <c r="H14" s="116">
        <v>204570</v>
      </c>
    </row>
    <row r="15" spans="1:11" s="6" customFormat="1" ht="30" customHeight="1">
      <c r="A15" s="285">
        <v>10</v>
      </c>
      <c r="B15" s="180" t="s">
        <v>401</v>
      </c>
      <c r="C15" s="121">
        <v>39502</v>
      </c>
      <c r="D15" s="116">
        <v>1974</v>
      </c>
      <c r="E15" s="41">
        <v>32663</v>
      </c>
      <c r="F15" s="132">
        <v>3480</v>
      </c>
      <c r="G15" s="374">
        <v>6275</v>
      </c>
      <c r="H15" s="116">
        <v>111432</v>
      </c>
    </row>
    <row r="16" spans="1:11" s="6" customFormat="1" ht="30" customHeight="1">
      <c r="A16" s="285">
        <v>11</v>
      </c>
      <c r="B16" s="180" t="s">
        <v>1079</v>
      </c>
      <c r="C16" s="121">
        <v>47779</v>
      </c>
      <c r="D16" s="116">
        <v>1741</v>
      </c>
      <c r="E16" s="41">
        <v>62940</v>
      </c>
      <c r="F16" s="132">
        <v>3338</v>
      </c>
      <c r="G16" s="374">
        <v>694</v>
      </c>
      <c r="H16" s="116">
        <v>186822</v>
      </c>
    </row>
    <row r="17" spans="1:8" s="6" customFormat="1" ht="30" customHeight="1">
      <c r="A17" s="285">
        <v>12</v>
      </c>
      <c r="B17" s="180" t="s">
        <v>580</v>
      </c>
      <c r="C17" s="121">
        <v>56911</v>
      </c>
      <c r="D17" s="116">
        <v>3609</v>
      </c>
      <c r="E17" s="41">
        <v>78232</v>
      </c>
      <c r="F17" s="132">
        <v>3584</v>
      </c>
      <c r="G17" s="374">
        <v>615</v>
      </c>
      <c r="H17" s="116">
        <v>374931</v>
      </c>
    </row>
    <row r="18" spans="1:8" s="6" customFormat="1" ht="30" customHeight="1">
      <c r="A18" s="285">
        <v>13</v>
      </c>
      <c r="B18" s="180" t="s">
        <v>585</v>
      </c>
      <c r="C18" s="121">
        <v>16380</v>
      </c>
      <c r="D18" s="116">
        <v>686</v>
      </c>
      <c r="E18" s="41">
        <v>82959</v>
      </c>
      <c r="F18" s="132">
        <v>333</v>
      </c>
      <c r="G18" s="374">
        <v>144</v>
      </c>
      <c r="H18" s="116">
        <v>183425</v>
      </c>
    </row>
    <row r="19" spans="1:8" s="6" customFormat="1" ht="30" customHeight="1">
      <c r="A19" s="285">
        <v>14</v>
      </c>
      <c r="B19" s="180" t="s">
        <v>586</v>
      </c>
      <c r="C19" s="121">
        <v>26215</v>
      </c>
      <c r="D19" s="116">
        <v>1693</v>
      </c>
      <c r="E19" s="41">
        <v>73924</v>
      </c>
      <c r="F19" s="132">
        <v>1361</v>
      </c>
      <c r="G19" s="374">
        <v>72</v>
      </c>
      <c r="H19" s="116">
        <v>113877</v>
      </c>
    </row>
    <row r="20" spans="1:8" s="6" customFormat="1" ht="30" customHeight="1">
      <c r="A20" s="292">
        <v>15</v>
      </c>
      <c r="B20" s="252" t="s">
        <v>587</v>
      </c>
      <c r="C20" s="127">
        <v>49563</v>
      </c>
      <c r="D20" s="117">
        <v>4038</v>
      </c>
      <c r="E20" s="29">
        <v>83819</v>
      </c>
      <c r="F20" s="133">
        <v>2594</v>
      </c>
      <c r="G20" s="906">
        <v>101</v>
      </c>
      <c r="H20" s="117">
        <v>83387</v>
      </c>
    </row>
    <row r="21" spans="1:8" s="6" customFormat="1" ht="27.75" hidden="1" customHeight="1">
      <c r="A21"/>
      <c r="B21"/>
      <c r="E21" s="908" t="s">
        <v>321</v>
      </c>
      <c r="F21" s="1393" t="s">
        <v>334</v>
      </c>
      <c r="G21" s="1830"/>
      <c r="H21" s="1830"/>
    </row>
    <row r="22" spans="1:8">
      <c r="E22" s="946"/>
      <c r="F22" s="946"/>
      <c r="G22" s="946"/>
      <c r="H22" s="1085" t="s">
        <v>680</v>
      </c>
    </row>
  </sheetData>
  <mergeCells count="7">
    <mergeCell ref="A1:H1"/>
    <mergeCell ref="F21:H21"/>
    <mergeCell ref="A2:H2"/>
    <mergeCell ref="B3:B4"/>
    <mergeCell ref="C3:G3"/>
    <mergeCell ref="H3:H4"/>
    <mergeCell ref="A3:A4"/>
  </mergeCells>
  <phoneticPr fontId="0" type="noConversion"/>
  <printOptions horizontalCentered="1"/>
  <pageMargins left="0.1" right="0.1" top="0.78" bottom="0.1" header="0.14000000000000001" footer="0.16"/>
  <pageSetup paperSize="9" orientation="portrait" blackAndWhite="1" horizontalDpi="4294967295" copies="2" r:id="rId1"/>
  <headerFooter alignWithMargins="0"/>
</worksheet>
</file>

<file path=xl/worksheets/sheet83.xml><?xml version="1.0" encoding="utf-8"?>
<worksheet xmlns="http://schemas.openxmlformats.org/spreadsheetml/2006/main" xmlns:r="http://schemas.openxmlformats.org/officeDocument/2006/relationships">
  <sheetPr codeName="Sheet101"/>
  <dimension ref="A1:F31"/>
  <sheetViews>
    <sheetView workbookViewId="0">
      <selection activeCell="M5" sqref="M5"/>
    </sheetView>
  </sheetViews>
  <sheetFormatPr defaultRowHeight="12.75"/>
  <cols>
    <col min="1" max="1" width="4.7109375" customWidth="1"/>
    <col min="2" max="2" width="20.28515625" customWidth="1"/>
    <col min="3" max="4" width="20" customWidth="1"/>
    <col min="5" max="5" width="28" customWidth="1"/>
  </cols>
  <sheetData>
    <row r="1" spans="1:6" ht="15" customHeight="1">
      <c r="A1" s="1637" t="s">
        <v>866</v>
      </c>
      <c r="B1" s="1637"/>
      <c r="C1" s="1637"/>
      <c r="D1" s="1637"/>
      <c r="E1" s="1637"/>
    </row>
    <row r="2" spans="1:6" ht="23.25" customHeight="1">
      <c r="A2" s="1951" t="str">
        <f>CONCATENATE("Commercial and Gramin Banks in the Blocks of ",District!$A$1," for the year ", District!$B$3)</f>
        <v>Commercial and Gramin Banks in the Blocks of Malda for the year 2013-14</v>
      </c>
      <c r="B2" s="1951"/>
      <c r="C2" s="1951"/>
      <c r="D2" s="1951"/>
      <c r="E2" s="1951"/>
      <c r="F2" s="7"/>
    </row>
    <row r="3" spans="1:6" ht="21.75" customHeight="1">
      <c r="A3" s="1346" t="s">
        <v>263</v>
      </c>
      <c r="B3" s="1346" t="s">
        <v>852</v>
      </c>
      <c r="C3" s="1391" t="s">
        <v>938</v>
      </c>
      <c r="D3" s="1392"/>
      <c r="E3" s="1346" t="s">
        <v>359</v>
      </c>
      <c r="F3" s="7"/>
    </row>
    <row r="4" spans="1:6" ht="30.75" customHeight="1">
      <c r="A4" s="1347"/>
      <c r="B4" s="1349"/>
      <c r="C4" s="240" t="s">
        <v>1192</v>
      </c>
      <c r="D4" s="354" t="s">
        <v>939</v>
      </c>
      <c r="E4" s="1347"/>
    </row>
    <row r="5" spans="1:6" ht="18.75" customHeight="1">
      <c r="A5" s="151" t="s">
        <v>1208</v>
      </c>
      <c r="B5" s="151" t="s">
        <v>1209</v>
      </c>
      <c r="C5" s="151" t="s">
        <v>1210</v>
      </c>
      <c r="D5" s="153" t="s">
        <v>1211</v>
      </c>
      <c r="E5" s="153" t="s">
        <v>1212</v>
      </c>
    </row>
    <row r="6" spans="1:6" ht="36" customHeight="1">
      <c r="A6" s="285">
        <v>1</v>
      </c>
      <c r="B6" s="247" t="s">
        <v>1051</v>
      </c>
      <c r="C6" s="116">
        <v>3</v>
      </c>
      <c r="D6" s="98">
        <v>4</v>
      </c>
      <c r="E6" s="98">
        <f>ROUND(VLOOKUP(B6,'2.2,2.3'!A5:E23,4,FALSE)/SUM(C6,D6)/1000,0)</f>
        <v>28</v>
      </c>
    </row>
    <row r="7" spans="1:6" ht="36" customHeight="1">
      <c r="A7" s="285">
        <v>2</v>
      </c>
      <c r="B7" s="247" t="s">
        <v>495</v>
      </c>
      <c r="C7" s="116">
        <v>5</v>
      </c>
      <c r="D7" s="98">
        <v>3</v>
      </c>
      <c r="E7" s="98">
        <f>ROUND(VLOOKUP(B7,'2.2,2.3'!A6:E24,4,FALSE)/SUM(C7,D7)/1000,0)</f>
        <v>31</v>
      </c>
    </row>
    <row r="8" spans="1:6" ht="34.5" customHeight="1">
      <c r="A8" s="285">
        <v>3</v>
      </c>
      <c r="B8" s="247" t="s">
        <v>531</v>
      </c>
      <c r="C8" s="116">
        <v>5</v>
      </c>
      <c r="D8" s="98">
        <v>3</v>
      </c>
      <c r="E8" s="98">
        <f>ROUND(VLOOKUP(B8,'2.2,2.3'!A7:E24,4,FALSE)/SUM(C8,D8)/1000,0)</f>
        <v>26</v>
      </c>
    </row>
    <row r="9" spans="1:6" ht="36" customHeight="1">
      <c r="A9" s="285">
        <v>4</v>
      </c>
      <c r="B9" s="247" t="s">
        <v>532</v>
      </c>
      <c r="C9" s="116">
        <v>4</v>
      </c>
      <c r="D9" s="98">
        <v>4</v>
      </c>
      <c r="E9" s="98">
        <f>ROUND(VLOOKUP(B9,'2.2,2.3'!A8:E25,4,FALSE)/SUM(C9,D9)/1000,0)</f>
        <v>26</v>
      </c>
    </row>
    <row r="10" spans="1:6" ht="36" customHeight="1">
      <c r="A10" s="285">
        <v>5</v>
      </c>
      <c r="B10" s="247" t="s">
        <v>533</v>
      </c>
      <c r="C10" s="116">
        <v>8</v>
      </c>
      <c r="D10" s="98">
        <v>4</v>
      </c>
      <c r="E10" s="98">
        <f>ROUND(VLOOKUP(B10,'2.2,2.3'!A9:E26,4,FALSE)/SUM(C10,D10)/1000,0)</f>
        <v>23</v>
      </c>
    </row>
    <row r="11" spans="1:6" ht="36" customHeight="1">
      <c r="A11" s="285">
        <v>6</v>
      </c>
      <c r="B11" s="247" t="s">
        <v>573</v>
      </c>
      <c r="C11" s="116">
        <v>3</v>
      </c>
      <c r="D11" s="98">
        <v>5</v>
      </c>
      <c r="E11" s="98">
        <f>ROUND(VLOOKUP(B11,'2.2,2.3'!A10:E27,4,FALSE)/SUM(C11,D11)/1000,0)</f>
        <v>25</v>
      </c>
    </row>
    <row r="12" spans="1:6" ht="36" customHeight="1">
      <c r="A12" s="285">
        <v>7</v>
      </c>
      <c r="B12" s="247" t="s">
        <v>576</v>
      </c>
      <c r="C12" s="116">
        <v>9</v>
      </c>
      <c r="D12" s="98">
        <v>7</v>
      </c>
      <c r="E12" s="98">
        <f>ROUND(VLOOKUP(B12,'2.2,2.3'!A11:E28,4,FALSE)/SUM(C12,D12)/1000,0)</f>
        <v>21</v>
      </c>
    </row>
    <row r="13" spans="1:6" ht="36" customHeight="1">
      <c r="A13" s="285">
        <v>8</v>
      </c>
      <c r="B13" s="247" t="s">
        <v>1510</v>
      </c>
      <c r="C13" s="116">
        <v>4</v>
      </c>
      <c r="D13" s="98">
        <v>2</v>
      </c>
      <c r="E13" s="98">
        <f>ROUND(VLOOKUP(B13,'2.2,2.3'!A12:E29,4,FALSE)/SUM(C13,D13)/1000,0)</f>
        <v>24</v>
      </c>
    </row>
    <row r="14" spans="1:6" ht="36" customHeight="1">
      <c r="A14" s="285">
        <v>9</v>
      </c>
      <c r="B14" s="247" t="s">
        <v>577</v>
      </c>
      <c r="C14" s="116">
        <v>6</v>
      </c>
      <c r="D14" s="98">
        <v>5</v>
      </c>
      <c r="E14" s="98">
        <f>ROUND(VLOOKUP(B14,'2.2,2.3'!A13:E30,4,FALSE)/SUM(C14,D14)/1000,0)</f>
        <v>19</v>
      </c>
    </row>
    <row r="15" spans="1:6" ht="36" customHeight="1">
      <c r="A15" s="285">
        <v>10</v>
      </c>
      <c r="B15" s="247" t="s">
        <v>578</v>
      </c>
      <c r="C15" s="116">
        <v>4</v>
      </c>
      <c r="D15" s="98">
        <v>1</v>
      </c>
      <c r="E15" s="98">
        <f>ROUND(VLOOKUP(B15,'2.2,2.3'!A14:E31,4,FALSE)/SUM(C15,D15)/1000,0)</f>
        <v>31</v>
      </c>
    </row>
    <row r="16" spans="1:6" ht="36" customHeight="1">
      <c r="A16" s="285">
        <v>11</v>
      </c>
      <c r="B16" s="247" t="s">
        <v>490</v>
      </c>
      <c r="C16" s="116">
        <v>11</v>
      </c>
      <c r="D16" s="98">
        <v>4</v>
      </c>
      <c r="E16" s="98">
        <f>ROUND(VLOOKUP(B16,'2.2,2.3'!A15:E32,4,FALSE)/SUM(C16,D16)/1000,0)</f>
        <v>18</v>
      </c>
    </row>
    <row r="17" spans="1:5" ht="36" customHeight="1">
      <c r="A17" s="285">
        <v>12</v>
      </c>
      <c r="B17" s="247" t="s">
        <v>580</v>
      </c>
      <c r="C17" s="116">
        <v>7</v>
      </c>
      <c r="D17" s="98">
        <v>4</v>
      </c>
      <c r="E17" s="98">
        <f>ROUND(VLOOKUP(B17,'2.2,2.3'!A16:E33,4,FALSE)/SUM(C17,D17)/1000,0)</f>
        <v>25</v>
      </c>
    </row>
    <row r="18" spans="1:5" ht="36" customHeight="1">
      <c r="A18" s="285">
        <v>13</v>
      </c>
      <c r="B18" s="247" t="s">
        <v>585</v>
      </c>
      <c r="C18" s="116">
        <v>11</v>
      </c>
      <c r="D18" s="98">
        <v>2</v>
      </c>
      <c r="E18" s="98">
        <f>ROUND(VLOOKUP(B18,'2.2,2.3'!A17:E34,4,FALSE)/SUM(C18,D18)/1000,0)</f>
        <v>30</v>
      </c>
    </row>
    <row r="19" spans="1:5" ht="36" customHeight="1">
      <c r="A19" s="285">
        <v>14</v>
      </c>
      <c r="B19" s="247" t="s">
        <v>586</v>
      </c>
      <c r="C19" s="116">
        <v>4</v>
      </c>
      <c r="D19" s="98">
        <v>5</v>
      </c>
      <c r="E19" s="98">
        <f>ROUND(VLOOKUP(B19,'2.2,2.3'!A18:E35,4,FALSE)/SUM(C19,D19)/1000,0)</f>
        <v>23</v>
      </c>
    </row>
    <row r="20" spans="1:5" ht="36" customHeight="1">
      <c r="A20" s="292">
        <v>15</v>
      </c>
      <c r="B20" s="249" t="s">
        <v>587</v>
      </c>
      <c r="C20" s="117">
        <v>7</v>
      </c>
      <c r="D20" s="94">
        <v>4</v>
      </c>
      <c r="E20" s="94">
        <f>ROUND(VLOOKUP(B20,'2.2,2.3'!A19:E36,4,FALSE)/SUM(C20,D20)/1000,0)</f>
        <v>33</v>
      </c>
    </row>
    <row r="21" spans="1:5">
      <c r="A21" s="946" t="s">
        <v>360</v>
      </c>
      <c r="E21" s="924" t="s">
        <v>1133</v>
      </c>
    </row>
    <row r="22" spans="1:5">
      <c r="D22" s="166"/>
    </row>
    <row r="31" spans="1:5">
      <c r="A31" s="7"/>
      <c r="B31" s="7"/>
      <c r="C31" s="7"/>
      <c r="D31" s="7"/>
      <c r="E31" s="7"/>
    </row>
  </sheetData>
  <mergeCells count="6">
    <mergeCell ref="A1:E1"/>
    <mergeCell ref="A2:E2"/>
    <mergeCell ref="C3:D3"/>
    <mergeCell ref="B3:B4"/>
    <mergeCell ref="E3:E4"/>
    <mergeCell ref="A3:A4"/>
  </mergeCells>
  <phoneticPr fontId="0" type="noConversion"/>
  <printOptions horizontalCentered="1"/>
  <pageMargins left="0.15" right="0.12" top="1.29" bottom="0.1" header="0.7" footer="0.1"/>
  <pageSetup paperSize="9" orientation="portrait" blackAndWhite="1" horizontalDpi="4294967295" r:id="rId1"/>
  <headerFooter alignWithMargins="0"/>
</worksheet>
</file>

<file path=xl/worksheets/sheet84.xml><?xml version="1.0" encoding="utf-8"?>
<worksheet xmlns="http://schemas.openxmlformats.org/spreadsheetml/2006/main" xmlns:r="http://schemas.openxmlformats.org/officeDocument/2006/relationships">
  <sheetPr codeName="Sheet58"/>
  <dimension ref="A1:E21"/>
  <sheetViews>
    <sheetView workbookViewId="0">
      <selection activeCell="M5" sqref="M5"/>
    </sheetView>
  </sheetViews>
  <sheetFormatPr defaultRowHeight="12.75"/>
  <cols>
    <col min="1" max="1" width="4.7109375" customWidth="1"/>
    <col min="2" max="2" width="22" customWidth="1"/>
    <col min="3" max="5" width="19.7109375" customWidth="1"/>
  </cols>
  <sheetData>
    <row r="1" spans="1:5" ht="16.5" customHeight="1">
      <c r="A1" s="1444" t="s">
        <v>1484</v>
      </c>
      <c r="B1" s="1444"/>
      <c r="C1" s="1444"/>
      <c r="D1" s="1444"/>
      <c r="E1" s="1444"/>
    </row>
    <row r="2" spans="1:5" ht="18" customHeight="1">
      <c r="A2" s="1951" t="str">
        <f>CONCATENATE("Co-operative Societies in the Blocks of ",District!$A$1," for the year ", District!$B$3)</f>
        <v>Co-operative Societies in the Blocks of Malda for the year 2013-14</v>
      </c>
      <c r="B2" s="1951"/>
      <c r="C2" s="1951"/>
      <c r="D2" s="1951"/>
      <c r="E2" s="1951"/>
    </row>
    <row r="3" spans="1:5" ht="32.25" customHeight="1">
      <c r="A3" s="343" t="s">
        <v>464</v>
      </c>
      <c r="B3" s="343" t="s">
        <v>852</v>
      </c>
      <c r="C3" s="737" t="s">
        <v>1241</v>
      </c>
      <c r="D3" s="343" t="s">
        <v>1242</v>
      </c>
      <c r="E3" s="260" t="s">
        <v>1637</v>
      </c>
    </row>
    <row r="4" spans="1:5" ht="20.25" customHeight="1">
      <c r="A4" s="151" t="s">
        <v>1208</v>
      </c>
      <c r="B4" s="151" t="s">
        <v>1209</v>
      </c>
      <c r="C4" s="152" t="s">
        <v>1210</v>
      </c>
      <c r="D4" s="151" t="s">
        <v>1211</v>
      </c>
      <c r="E4" s="153" t="s">
        <v>1212</v>
      </c>
    </row>
    <row r="5" spans="1:5" ht="36" customHeight="1">
      <c r="A5" s="285">
        <v>1</v>
      </c>
      <c r="B5" s="247" t="s">
        <v>1051</v>
      </c>
      <c r="C5" s="449">
        <v>23</v>
      </c>
      <c r="D5" s="132">
        <v>8750</v>
      </c>
      <c r="E5" s="362">
        <v>105486</v>
      </c>
    </row>
    <row r="6" spans="1:5" ht="36" customHeight="1">
      <c r="A6" s="285">
        <v>2</v>
      </c>
      <c r="B6" s="247" t="s">
        <v>495</v>
      </c>
      <c r="C6" s="449">
        <v>25</v>
      </c>
      <c r="D6" s="132">
        <v>8175</v>
      </c>
      <c r="E6" s="362">
        <v>114659</v>
      </c>
    </row>
    <row r="7" spans="1:5" ht="36" customHeight="1">
      <c r="A7" s="285">
        <v>3</v>
      </c>
      <c r="B7" s="247" t="s">
        <v>531</v>
      </c>
      <c r="C7" s="449">
        <v>30</v>
      </c>
      <c r="D7" s="132">
        <v>10511</v>
      </c>
      <c r="E7" s="362">
        <v>137591</v>
      </c>
    </row>
    <row r="8" spans="1:5" ht="36" customHeight="1">
      <c r="A8" s="285">
        <v>4</v>
      </c>
      <c r="B8" s="247" t="s">
        <v>532</v>
      </c>
      <c r="C8" s="449">
        <v>28</v>
      </c>
      <c r="D8" s="132">
        <v>8554</v>
      </c>
      <c r="E8" s="362">
        <v>128418</v>
      </c>
    </row>
    <row r="9" spans="1:5" ht="36" customHeight="1">
      <c r="A9" s="285">
        <v>5</v>
      </c>
      <c r="B9" s="247" t="s">
        <v>533</v>
      </c>
      <c r="C9" s="449">
        <v>32</v>
      </c>
      <c r="D9" s="132">
        <v>10840</v>
      </c>
      <c r="E9" s="362">
        <v>146764</v>
      </c>
    </row>
    <row r="10" spans="1:5" ht="36" customHeight="1">
      <c r="A10" s="285">
        <v>6</v>
      </c>
      <c r="B10" s="247" t="s">
        <v>573</v>
      </c>
      <c r="C10" s="449">
        <v>31</v>
      </c>
      <c r="D10" s="132">
        <v>10115</v>
      </c>
      <c r="E10" s="362">
        <v>142177</v>
      </c>
    </row>
    <row r="11" spans="1:5" ht="36" customHeight="1">
      <c r="A11" s="285">
        <v>7</v>
      </c>
      <c r="B11" s="247" t="s">
        <v>576</v>
      </c>
      <c r="C11" s="449">
        <v>50</v>
      </c>
      <c r="D11" s="132">
        <v>22816</v>
      </c>
      <c r="E11" s="362">
        <v>229318</v>
      </c>
    </row>
    <row r="12" spans="1:5" ht="36" customHeight="1">
      <c r="A12" s="285">
        <v>8</v>
      </c>
      <c r="B12" s="247" t="s">
        <v>1510</v>
      </c>
      <c r="C12" s="449">
        <v>33</v>
      </c>
      <c r="D12" s="132">
        <v>13330</v>
      </c>
      <c r="E12" s="362">
        <v>151350</v>
      </c>
    </row>
    <row r="13" spans="1:5" ht="36" customHeight="1">
      <c r="A13" s="285">
        <v>9</v>
      </c>
      <c r="B13" s="247" t="s">
        <v>577</v>
      </c>
      <c r="C13" s="449">
        <v>32</v>
      </c>
      <c r="D13" s="132">
        <v>12510</v>
      </c>
      <c r="E13" s="362">
        <v>146764</v>
      </c>
    </row>
    <row r="14" spans="1:5" ht="36" customHeight="1">
      <c r="A14" s="285">
        <v>10</v>
      </c>
      <c r="B14" s="247" t="s">
        <v>578</v>
      </c>
      <c r="C14" s="449">
        <v>33</v>
      </c>
      <c r="D14" s="132">
        <v>1112</v>
      </c>
      <c r="E14" s="362">
        <v>151350</v>
      </c>
    </row>
    <row r="15" spans="1:5" ht="36" customHeight="1">
      <c r="A15" s="285">
        <v>11</v>
      </c>
      <c r="B15" s="247" t="s">
        <v>490</v>
      </c>
      <c r="C15" s="449">
        <v>125</v>
      </c>
      <c r="D15" s="132">
        <v>5113</v>
      </c>
      <c r="E15" s="362">
        <v>573296</v>
      </c>
    </row>
    <row r="16" spans="1:5" ht="36" customHeight="1">
      <c r="A16" s="285">
        <v>12</v>
      </c>
      <c r="B16" s="247" t="s">
        <v>580</v>
      </c>
      <c r="C16" s="449">
        <v>38</v>
      </c>
      <c r="D16" s="132">
        <v>11261</v>
      </c>
      <c r="E16" s="362">
        <v>174282</v>
      </c>
    </row>
    <row r="17" spans="1:5" ht="36" customHeight="1">
      <c r="A17" s="285">
        <v>13</v>
      </c>
      <c r="B17" s="247" t="s">
        <v>585</v>
      </c>
      <c r="C17" s="449">
        <v>45</v>
      </c>
      <c r="D17" s="132">
        <v>2510</v>
      </c>
      <c r="E17" s="362">
        <v>206386</v>
      </c>
    </row>
    <row r="18" spans="1:5" ht="36" customHeight="1">
      <c r="A18" s="285">
        <v>14</v>
      </c>
      <c r="B18" s="247" t="s">
        <v>586</v>
      </c>
      <c r="C18" s="449">
        <v>26</v>
      </c>
      <c r="D18" s="132">
        <v>8504</v>
      </c>
      <c r="E18" s="362">
        <v>119245</v>
      </c>
    </row>
    <row r="19" spans="1:5" ht="36" customHeight="1">
      <c r="A19" s="292">
        <v>15</v>
      </c>
      <c r="B19" s="249" t="s">
        <v>587</v>
      </c>
      <c r="C19" s="141">
        <v>38</v>
      </c>
      <c r="D19" s="133">
        <v>5603</v>
      </c>
      <c r="E19" s="142">
        <v>174282</v>
      </c>
    </row>
    <row r="20" spans="1:5">
      <c r="A20" s="25"/>
      <c r="B20" s="6"/>
      <c r="C20" s="500"/>
      <c r="D20" s="500"/>
      <c r="E20" s="924" t="s">
        <v>1545</v>
      </c>
    </row>
    <row r="21" spans="1:5">
      <c r="C21" s="500"/>
      <c r="D21" s="500"/>
      <c r="E21" s="500"/>
    </row>
  </sheetData>
  <mergeCells count="2">
    <mergeCell ref="A2:E2"/>
    <mergeCell ref="A1:E1"/>
  </mergeCells>
  <phoneticPr fontId="0" type="noConversion"/>
  <printOptions horizontalCentered="1"/>
  <pageMargins left="0.1" right="0.1" top="1.06" bottom="0.1" header="0.5" footer="0.5"/>
  <pageSetup paperSize="9" orientation="portrait" blackAndWhite="1" horizontalDpi="4294967295" copies="2" r:id="rId1"/>
  <headerFooter alignWithMargins="0"/>
</worksheet>
</file>

<file path=xl/worksheets/sheet85.xml><?xml version="1.0" encoding="utf-8"?>
<worksheet xmlns="http://schemas.openxmlformats.org/spreadsheetml/2006/main" xmlns:r="http://schemas.openxmlformats.org/officeDocument/2006/relationships">
  <sheetPr codeName="Sheet103"/>
  <dimension ref="A1:J56"/>
  <sheetViews>
    <sheetView workbookViewId="0">
      <selection activeCell="K24" sqref="K24"/>
    </sheetView>
  </sheetViews>
  <sheetFormatPr defaultRowHeight="12.75"/>
  <cols>
    <col min="1" max="1" width="4" customWidth="1"/>
    <col min="2" max="2" width="19" customWidth="1"/>
    <col min="3" max="10" width="12.7109375" customWidth="1"/>
  </cols>
  <sheetData>
    <row r="1" spans="1:10">
      <c r="A1" s="1363" t="s">
        <v>867</v>
      </c>
      <c r="B1" s="1363"/>
      <c r="C1" s="1363"/>
      <c r="D1" s="1363"/>
      <c r="E1" s="1363"/>
      <c r="F1" s="1363"/>
      <c r="G1" s="1363"/>
      <c r="H1" s="1363"/>
      <c r="I1" s="1363"/>
      <c r="J1" s="1363"/>
    </row>
    <row r="2" spans="1:10" ht="20.25" customHeight="1">
      <c r="A2" s="1373" t="str">
        <f>CONCATENATE("Length of Roads maintained by different agencies in the Blocks of ",District!$A$1," for the year ", District!$B$3)</f>
        <v>Length of Roads maintained by different agencies in the Blocks of Malda for the year 2013-14</v>
      </c>
      <c r="B2" s="1373"/>
      <c r="C2" s="1373"/>
      <c r="D2" s="1373"/>
      <c r="E2" s="1373"/>
      <c r="F2" s="1373"/>
      <c r="G2" s="1373"/>
      <c r="H2" s="1373"/>
      <c r="I2" s="1373"/>
      <c r="J2" s="1373"/>
    </row>
    <row r="3" spans="1:10" ht="13.5" customHeight="1">
      <c r="B3" s="4"/>
      <c r="C3" s="4"/>
      <c r="D3" s="4"/>
      <c r="E3" s="4"/>
      <c r="F3" s="4"/>
      <c r="G3" s="4"/>
      <c r="J3" s="162" t="s">
        <v>744</v>
      </c>
    </row>
    <row r="4" spans="1:10" ht="29.25" customHeight="1">
      <c r="A4" s="1346" t="s">
        <v>263</v>
      </c>
      <c r="B4" s="1346" t="s">
        <v>852</v>
      </c>
      <c r="C4" s="1359" t="s">
        <v>745</v>
      </c>
      <c r="D4" s="1360"/>
      <c r="E4" s="1435" t="s">
        <v>1427</v>
      </c>
      <c r="F4" s="1434"/>
      <c r="G4" s="1930" t="s">
        <v>538</v>
      </c>
      <c r="H4" s="1790"/>
      <c r="I4" s="1930" t="s">
        <v>558</v>
      </c>
      <c r="J4" s="1790"/>
    </row>
    <row r="5" spans="1:10" ht="15" customHeight="1">
      <c r="A5" s="1349"/>
      <c r="B5" s="1349"/>
      <c r="C5" s="366" t="s">
        <v>1199</v>
      </c>
      <c r="D5" s="266" t="s">
        <v>941</v>
      </c>
      <c r="E5" s="393" t="s">
        <v>1199</v>
      </c>
      <c r="F5" s="266" t="s">
        <v>941</v>
      </c>
      <c r="G5" s="393" t="s">
        <v>1199</v>
      </c>
      <c r="H5" s="266" t="s">
        <v>941</v>
      </c>
      <c r="I5" s="393" t="s">
        <v>1199</v>
      </c>
      <c r="J5" s="266" t="s">
        <v>941</v>
      </c>
    </row>
    <row r="6" spans="1:10" ht="15" customHeight="1">
      <c r="A6" s="151" t="s">
        <v>1208</v>
      </c>
      <c r="B6" s="151" t="s">
        <v>1209</v>
      </c>
      <c r="C6" s="218" t="s">
        <v>1210</v>
      </c>
      <c r="D6" s="100" t="s">
        <v>1211</v>
      </c>
      <c r="E6" s="152" t="s">
        <v>1212</v>
      </c>
      <c r="F6" s="153" t="s">
        <v>1213</v>
      </c>
      <c r="G6" s="152" t="s">
        <v>1214</v>
      </c>
      <c r="H6" s="153" t="s">
        <v>1244</v>
      </c>
      <c r="I6" s="218" t="s">
        <v>1245</v>
      </c>
      <c r="J6" s="153" t="s">
        <v>1246</v>
      </c>
    </row>
    <row r="7" spans="1:10" ht="21" customHeight="1">
      <c r="A7" s="285"/>
      <c r="B7" s="247" t="s">
        <v>462</v>
      </c>
      <c r="C7" s="386">
        <v>44.09</v>
      </c>
      <c r="D7" s="98" t="s">
        <v>1509</v>
      </c>
      <c r="E7" s="360">
        <v>60.7</v>
      </c>
      <c r="F7" s="104">
        <v>7.9</v>
      </c>
      <c r="G7" s="360">
        <v>109</v>
      </c>
      <c r="H7" s="903">
        <v>359</v>
      </c>
      <c r="I7" s="360">
        <v>56.54</v>
      </c>
      <c r="J7" s="104" t="s">
        <v>1509</v>
      </c>
    </row>
    <row r="8" spans="1:10" ht="21" customHeight="1">
      <c r="A8" s="285">
        <v>2</v>
      </c>
      <c r="B8" s="247" t="s">
        <v>495</v>
      </c>
      <c r="C8" s="386">
        <v>12</v>
      </c>
      <c r="D8" s="98" t="s">
        <v>1509</v>
      </c>
      <c r="E8" s="360">
        <v>79</v>
      </c>
      <c r="F8" s="104">
        <v>7.35</v>
      </c>
      <c r="G8" s="360">
        <v>85</v>
      </c>
      <c r="H8" s="104">
        <v>355</v>
      </c>
      <c r="I8" s="360">
        <v>50.96</v>
      </c>
      <c r="J8" s="104" t="s">
        <v>1509</v>
      </c>
    </row>
    <row r="9" spans="1:10" ht="21" customHeight="1">
      <c r="A9" s="285">
        <v>3</v>
      </c>
      <c r="B9" s="247" t="s">
        <v>531</v>
      </c>
      <c r="C9" s="386">
        <v>44</v>
      </c>
      <c r="D9" s="98" t="s">
        <v>1509</v>
      </c>
      <c r="E9" s="360">
        <v>47.34</v>
      </c>
      <c r="F9" s="104">
        <v>30.65</v>
      </c>
      <c r="G9" s="360">
        <v>98</v>
      </c>
      <c r="H9" s="104">
        <v>184</v>
      </c>
      <c r="I9" s="360">
        <v>73.11</v>
      </c>
      <c r="J9" s="104" t="s">
        <v>1509</v>
      </c>
    </row>
    <row r="10" spans="1:10" ht="21" customHeight="1">
      <c r="A10" s="285">
        <v>4</v>
      </c>
      <c r="B10" s="247" t="s">
        <v>532</v>
      </c>
      <c r="C10" s="386">
        <v>30</v>
      </c>
      <c r="D10" s="98" t="s">
        <v>1509</v>
      </c>
      <c r="E10" s="360">
        <v>47.05</v>
      </c>
      <c r="F10" s="104">
        <v>26.85</v>
      </c>
      <c r="G10" s="360">
        <v>130</v>
      </c>
      <c r="H10" s="104">
        <v>248</v>
      </c>
      <c r="I10" s="360">
        <v>68.06</v>
      </c>
      <c r="J10" s="104" t="s">
        <v>1509</v>
      </c>
    </row>
    <row r="11" spans="1:10" ht="21" customHeight="1">
      <c r="A11" s="285">
        <v>5</v>
      </c>
      <c r="B11" s="247" t="s">
        <v>533</v>
      </c>
      <c r="C11" s="386">
        <v>37</v>
      </c>
      <c r="D11" s="98" t="s">
        <v>1509</v>
      </c>
      <c r="E11" s="360">
        <v>56.65</v>
      </c>
      <c r="F11" s="104">
        <v>24</v>
      </c>
      <c r="G11" s="360">
        <v>80</v>
      </c>
      <c r="H11" s="104">
        <v>416</v>
      </c>
      <c r="I11" s="360">
        <v>42.29</v>
      </c>
      <c r="J11" s="104" t="s">
        <v>1509</v>
      </c>
    </row>
    <row r="12" spans="1:10" ht="21" customHeight="1">
      <c r="A12" s="285">
        <v>6</v>
      </c>
      <c r="B12" s="247" t="s">
        <v>573</v>
      </c>
      <c r="C12" s="386">
        <v>55</v>
      </c>
      <c r="D12" s="98" t="s">
        <v>1509</v>
      </c>
      <c r="E12" s="360">
        <v>45.2</v>
      </c>
      <c r="F12" s="104">
        <v>18.829999999999998</v>
      </c>
      <c r="G12" s="360">
        <v>265</v>
      </c>
      <c r="H12" s="104">
        <v>394</v>
      </c>
      <c r="I12" s="360">
        <v>20.58</v>
      </c>
      <c r="J12" s="104" t="s">
        <v>1509</v>
      </c>
    </row>
    <row r="13" spans="1:10" ht="21" customHeight="1">
      <c r="A13" s="285">
        <v>7</v>
      </c>
      <c r="B13" s="247" t="s">
        <v>576</v>
      </c>
      <c r="C13" s="386">
        <v>45</v>
      </c>
      <c r="D13" s="98" t="s">
        <v>1509</v>
      </c>
      <c r="E13" s="360">
        <v>64.05</v>
      </c>
      <c r="F13" s="104">
        <v>20.16</v>
      </c>
      <c r="G13" s="360">
        <v>142.30000000000001</v>
      </c>
      <c r="H13" s="104">
        <v>86</v>
      </c>
      <c r="I13" s="721">
        <v>58.24</v>
      </c>
      <c r="J13" s="104" t="s">
        <v>1509</v>
      </c>
    </row>
    <row r="14" spans="1:10" ht="21" customHeight="1">
      <c r="A14" s="285">
        <v>8</v>
      </c>
      <c r="B14" s="247" t="s">
        <v>1510</v>
      </c>
      <c r="C14" s="386">
        <v>42.92</v>
      </c>
      <c r="D14" s="98" t="s">
        <v>1509</v>
      </c>
      <c r="E14" s="360">
        <v>59.63</v>
      </c>
      <c r="F14" s="104">
        <v>13.62</v>
      </c>
      <c r="G14" s="360">
        <v>130</v>
      </c>
      <c r="H14" s="104">
        <v>430.25</v>
      </c>
      <c r="I14" s="360">
        <v>34.619999999999997</v>
      </c>
      <c r="J14" s="104" t="s">
        <v>1509</v>
      </c>
    </row>
    <row r="15" spans="1:10" ht="21" customHeight="1">
      <c r="A15" s="285">
        <v>9</v>
      </c>
      <c r="B15" s="247" t="s">
        <v>577</v>
      </c>
      <c r="C15" s="386">
        <v>60</v>
      </c>
      <c r="D15" s="98" t="s">
        <v>1509</v>
      </c>
      <c r="E15" s="360">
        <v>64.25</v>
      </c>
      <c r="F15" s="104">
        <v>12.23</v>
      </c>
      <c r="G15" s="360">
        <v>163</v>
      </c>
      <c r="H15" s="104">
        <v>286</v>
      </c>
      <c r="I15" s="360" t="s">
        <v>1183</v>
      </c>
      <c r="J15" s="104" t="s">
        <v>1509</v>
      </c>
    </row>
    <row r="16" spans="1:10" ht="21" customHeight="1">
      <c r="A16" s="285">
        <v>10</v>
      </c>
      <c r="B16" s="247" t="s">
        <v>578</v>
      </c>
      <c r="C16" s="386">
        <v>36.799999999999997</v>
      </c>
      <c r="D16" s="98" t="s">
        <v>1509</v>
      </c>
      <c r="E16" s="360">
        <v>40.25</v>
      </c>
      <c r="F16" s="104">
        <v>31.7</v>
      </c>
      <c r="G16" s="360">
        <v>54</v>
      </c>
      <c r="H16" s="104">
        <v>133</v>
      </c>
      <c r="I16" s="360">
        <v>29.49</v>
      </c>
      <c r="J16" s="104" t="s">
        <v>1509</v>
      </c>
    </row>
    <row r="17" spans="1:10" ht="21" customHeight="1">
      <c r="A17" s="285">
        <v>11</v>
      </c>
      <c r="B17" s="247" t="s">
        <v>1079</v>
      </c>
      <c r="C17" s="386">
        <v>35</v>
      </c>
      <c r="D17" s="98" t="s">
        <v>1509</v>
      </c>
      <c r="E17" s="360">
        <v>79.2</v>
      </c>
      <c r="F17" s="104">
        <v>37.700000000000003</v>
      </c>
      <c r="G17" s="360">
        <v>110</v>
      </c>
      <c r="H17" s="104">
        <v>55</v>
      </c>
      <c r="I17" s="360">
        <v>12</v>
      </c>
      <c r="J17" s="104" t="s">
        <v>1509</v>
      </c>
    </row>
    <row r="18" spans="1:10" ht="21" customHeight="1">
      <c r="A18" s="285">
        <v>12</v>
      </c>
      <c r="B18" s="247" t="s">
        <v>580</v>
      </c>
      <c r="C18" s="386">
        <v>26</v>
      </c>
      <c r="D18" s="98" t="s">
        <v>1509</v>
      </c>
      <c r="E18" s="360">
        <v>37.6</v>
      </c>
      <c r="F18" s="104">
        <v>21.45</v>
      </c>
      <c r="G18" s="360">
        <v>118</v>
      </c>
      <c r="H18" s="104">
        <v>363</v>
      </c>
      <c r="I18" s="360">
        <v>11.66</v>
      </c>
      <c r="J18" s="104" t="s">
        <v>1509</v>
      </c>
    </row>
    <row r="19" spans="1:10" ht="21" customHeight="1">
      <c r="A19" s="285">
        <v>13</v>
      </c>
      <c r="B19" s="247" t="s">
        <v>585</v>
      </c>
      <c r="C19" s="386">
        <v>27</v>
      </c>
      <c r="D19" s="98" t="s">
        <v>1509</v>
      </c>
      <c r="E19" s="360">
        <v>82.71</v>
      </c>
      <c r="F19" s="104">
        <v>24.69</v>
      </c>
      <c r="G19" s="360">
        <v>105</v>
      </c>
      <c r="H19" s="104">
        <v>350</v>
      </c>
      <c r="I19" s="360">
        <v>31.99</v>
      </c>
      <c r="J19" s="104" t="s">
        <v>1509</v>
      </c>
    </row>
    <row r="20" spans="1:10" ht="21" customHeight="1">
      <c r="A20" s="285">
        <v>14</v>
      </c>
      <c r="B20" s="247" t="s">
        <v>586</v>
      </c>
      <c r="C20" s="386">
        <v>40</v>
      </c>
      <c r="D20" s="98" t="s">
        <v>1509</v>
      </c>
      <c r="E20" s="360">
        <v>41.97</v>
      </c>
      <c r="F20" s="104">
        <v>27.95</v>
      </c>
      <c r="G20" s="360">
        <v>123</v>
      </c>
      <c r="H20" s="104">
        <v>203</v>
      </c>
      <c r="I20" s="360" t="s">
        <v>1509</v>
      </c>
      <c r="J20" s="104" t="s">
        <v>1509</v>
      </c>
    </row>
    <row r="21" spans="1:10" ht="21" customHeight="1">
      <c r="A21" s="292">
        <v>15</v>
      </c>
      <c r="B21" s="249" t="s">
        <v>587</v>
      </c>
      <c r="C21" s="395">
        <v>27.5</v>
      </c>
      <c r="D21" s="94" t="s">
        <v>1509</v>
      </c>
      <c r="E21" s="396">
        <v>61.36</v>
      </c>
      <c r="F21" s="111">
        <v>18.29</v>
      </c>
      <c r="G21" s="396">
        <v>122</v>
      </c>
      <c r="H21" s="111">
        <v>260</v>
      </c>
      <c r="I21" s="396">
        <v>59.87</v>
      </c>
      <c r="J21" s="111" t="s">
        <v>1509</v>
      </c>
    </row>
    <row r="22" spans="1:10" ht="16.5" hidden="1" customHeight="1">
      <c r="A22" s="1147"/>
      <c r="B22" s="1073"/>
      <c r="C22" s="360"/>
      <c r="D22" s="41"/>
      <c r="E22" s="360">
        <f t="shared" ref="E22:J22" si="0">SUM(E7:E21)</f>
        <v>866.96</v>
      </c>
      <c r="F22" s="360">
        <f t="shared" si="0"/>
        <v>323.37</v>
      </c>
      <c r="G22" s="360">
        <f t="shared" si="0"/>
        <v>1834.3</v>
      </c>
      <c r="H22" s="360">
        <f t="shared" si="0"/>
        <v>4122.25</v>
      </c>
      <c r="I22" s="360">
        <f t="shared" si="0"/>
        <v>549.41000000000008</v>
      </c>
      <c r="J22" s="360">
        <f t="shared" si="0"/>
        <v>0</v>
      </c>
    </row>
    <row r="23" spans="1:10">
      <c r="A23" s="723"/>
      <c r="C23" s="66"/>
      <c r="D23" s="8"/>
      <c r="E23" s="837"/>
      <c r="F23" s="75"/>
      <c r="G23" s="924" t="s">
        <v>117</v>
      </c>
      <c r="H23" s="971" t="s">
        <v>379</v>
      </c>
    </row>
    <row r="24" spans="1:10">
      <c r="B24" s="723"/>
      <c r="G24" s="971"/>
      <c r="H24" s="971" t="s">
        <v>380</v>
      </c>
    </row>
    <row r="25" spans="1:10">
      <c r="A25" s="7"/>
      <c r="C25" s="7"/>
      <c r="D25" s="7"/>
      <c r="G25" s="971"/>
      <c r="H25" s="972" t="s">
        <v>1134</v>
      </c>
    </row>
    <row r="26" spans="1:10" ht="13.5" customHeight="1">
      <c r="A26" s="7"/>
      <c r="B26" s="7"/>
      <c r="C26" s="7"/>
      <c r="D26" s="7"/>
      <c r="E26" s="166"/>
      <c r="F26" s="356"/>
      <c r="G26" s="973"/>
      <c r="H26" s="972" t="s">
        <v>381</v>
      </c>
    </row>
    <row r="27" spans="1:10">
      <c r="H27" s="972" t="s">
        <v>382</v>
      </c>
    </row>
    <row r="28" spans="1:10">
      <c r="G28" s="360"/>
    </row>
    <row r="29" spans="1:10">
      <c r="G29" s="360"/>
    </row>
    <row r="30" spans="1:10">
      <c r="G30" s="360"/>
    </row>
    <row r="31" spans="1:10">
      <c r="G31" s="360"/>
    </row>
    <row r="32" spans="1:10">
      <c r="G32" s="360"/>
    </row>
    <row r="33" spans="7:7">
      <c r="G33" s="360"/>
    </row>
    <row r="34" spans="7:7">
      <c r="G34" s="360"/>
    </row>
    <row r="35" spans="7:7">
      <c r="G35" s="360"/>
    </row>
    <row r="36" spans="7:7">
      <c r="G36" s="360"/>
    </row>
    <row r="37" spans="7:7">
      <c r="G37" s="360"/>
    </row>
    <row r="38" spans="7:7">
      <c r="G38" s="360"/>
    </row>
    <row r="39" spans="7:7">
      <c r="G39" s="360"/>
    </row>
    <row r="40" spans="7:7">
      <c r="G40" s="360"/>
    </row>
    <row r="41" spans="7:7">
      <c r="G41" s="360"/>
    </row>
    <row r="42" spans="7:7">
      <c r="G42" s="360"/>
    </row>
    <row r="49" spans="2:10" ht="14.25" customHeight="1"/>
    <row r="55" spans="2:10">
      <c r="C55" s="1"/>
      <c r="D55" s="1"/>
      <c r="E55" s="1"/>
      <c r="F55" s="1"/>
      <c r="G55" s="1"/>
      <c r="H55" s="1"/>
      <c r="I55" s="8"/>
      <c r="J55" s="7"/>
    </row>
    <row r="56" spans="2:10">
      <c r="B56" s="7"/>
      <c r="C56" s="7"/>
      <c r="D56" s="7"/>
      <c r="E56" s="7"/>
      <c r="F56" s="7"/>
      <c r="G56" s="7"/>
      <c r="H56" s="7"/>
    </row>
  </sheetData>
  <mergeCells count="8">
    <mergeCell ref="I4:J4"/>
    <mergeCell ref="A1:J1"/>
    <mergeCell ref="A2:J2"/>
    <mergeCell ref="G4:H4"/>
    <mergeCell ref="E4:F4"/>
    <mergeCell ref="C4:D4"/>
    <mergeCell ref="B4:B5"/>
    <mergeCell ref="A4:A5"/>
  </mergeCells>
  <phoneticPr fontId="0" type="noConversion"/>
  <conditionalFormatting sqref="A1:XFD1048576">
    <cfRule type="cellIs" dxfId="0" priority="1" stopIfTrue="1" operator="equal">
      <formula>".."</formula>
    </cfRule>
  </conditionalFormatting>
  <printOptions horizontalCentered="1"/>
  <pageMargins left="0.14000000000000001" right="0.1" top="0.67" bottom="0.1" header="0.41" footer="0.1"/>
  <pageSetup paperSize="9" orientation="landscape" blackAndWhite="1" horizontalDpi="4294967295" r:id="rId1"/>
  <headerFooter alignWithMargins="0"/>
  <cellWatches>
    <cellWatch r="M11"/>
  </cellWatches>
</worksheet>
</file>

<file path=xl/worksheets/sheet86.xml><?xml version="1.0" encoding="utf-8"?>
<worksheet xmlns="http://schemas.openxmlformats.org/spreadsheetml/2006/main" xmlns:r="http://schemas.openxmlformats.org/officeDocument/2006/relationships">
  <sheetPr codeName="Sheet60"/>
  <dimension ref="A1:E27"/>
  <sheetViews>
    <sheetView workbookViewId="0">
      <selection activeCell="M5" sqref="M5"/>
    </sheetView>
  </sheetViews>
  <sheetFormatPr defaultRowHeight="12.75"/>
  <cols>
    <col min="1" max="1" width="4.140625" customWidth="1"/>
    <col min="2" max="2" width="21" customWidth="1"/>
    <col min="3" max="4" width="18.85546875" customWidth="1"/>
    <col min="5" max="5" width="21.7109375" customWidth="1"/>
  </cols>
  <sheetData>
    <row r="1" spans="1:5">
      <c r="A1" s="1430" t="s">
        <v>910</v>
      </c>
      <c r="B1" s="1430"/>
      <c r="C1" s="1430"/>
      <c r="D1" s="1430"/>
      <c r="E1" s="1430"/>
    </row>
    <row r="2" spans="1:5" ht="21.75" customHeight="1">
      <c r="A2" s="1355" t="str">
        <f>CONCATENATE("Transport Facilities in the Blocks of ",District!$A$1,"  for the year ", District!$B$3)</f>
        <v>Transport Facilities in the Blocks of Malda  for the year 2013-14</v>
      </c>
      <c r="B2" s="1355"/>
      <c r="C2" s="1355"/>
      <c r="D2" s="1355"/>
      <c r="E2" s="1355"/>
    </row>
    <row r="3" spans="1:5" ht="18" customHeight="1">
      <c r="A3" s="1346" t="s">
        <v>263</v>
      </c>
      <c r="B3" s="1346" t="s">
        <v>852</v>
      </c>
      <c r="C3" s="1346" t="s">
        <v>1426</v>
      </c>
      <c r="D3" s="160" t="s">
        <v>354</v>
      </c>
      <c r="E3" s="160" t="s">
        <v>942</v>
      </c>
    </row>
    <row r="4" spans="1:5" ht="18" customHeight="1">
      <c r="A4" s="1370"/>
      <c r="B4" s="1370"/>
      <c r="C4" s="1370"/>
      <c r="D4" s="363" t="s">
        <v>966</v>
      </c>
      <c r="E4" s="363" t="s">
        <v>1135</v>
      </c>
    </row>
    <row r="5" spans="1:5" ht="18" customHeight="1">
      <c r="A5" s="1349"/>
      <c r="B5" s="1349"/>
      <c r="C5" s="1349"/>
      <c r="D5" s="824" t="s">
        <v>1243</v>
      </c>
      <c r="E5" s="824" t="s">
        <v>1136</v>
      </c>
    </row>
    <row r="6" spans="1:5" ht="18" customHeight="1">
      <c r="A6" s="99" t="s">
        <v>1208</v>
      </c>
      <c r="B6" s="99" t="s">
        <v>1209</v>
      </c>
      <c r="C6" s="218" t="s">
        <v>1210</v>
      </c>
      <c r="D6" s="151" t="s">
        <v>1211</v>
      </c>
      <c r="E6" s="151" t="s">
        <v>1212</v>
      </c>
    </row>
    <row r="7" spans="1:5" ht="36" customHeight="1">
      <c r="A7" s="285">
        <v>1</v>
      </c>
      <c r="B7" s="247" t="s">
        <v>458</v>
      </c>
      <c r="C7" s="121" t="s">
        <v>1509</v>
      </c>
      <c r="D7" s="115">
        <v>3</v>
      </c>
      <c r="E7" s="116">
        <v>2</v>
      </c>
    </row>
    <row r="8" spans="1:5" ht="36" customHeight="1">
      <c r="A8" s="285">
        <v>2</v>
      </c>
      <c r="B8" s="247" t="s">
        <v>463</v>
      </c>
      <c r="C8" s="121">
        <v>7</v>
      </c>
      <c r="D8" s="116">
        <v>2</v>
      </c>
      <c r="E8" s="116">
        <v>5</v>
      </c>
    </row>
    <row r="9" spans="1:5" ht="36" customHeight="1">
      <c r="A9" s="285">
        <v>3</v>
      </c>
      <c r="B9" s="247" t="s">
        <v>531</v>
      </c>
      <c r="C9" s="121">
        <v>4</v>
      </c>
      <c r="D9" s="116">
        <v>4</v>
      </c>
      <c r="E9" s="116">
        <v>13</v>
      </c>
    </row>
    <row r="10" spans="1:5" ht="36" customHeight="1">
      <c r="A10" s="285">
        <v>4</v>
      </c>
      <c r="B10" s="247" t="s">
        <v>532</v>
      </c>
      <c r="C10" s="121">
        <v>3</v>
      </c>
      <c r="D10" s="116">
        <v>1</v>
      </c>
      <c r="E10" s="116">
        <v>6</v>
      </c>
    </row>
    <row r="11" spans="1:5" ht="36" customHeight="1">
      <c r="A11" s="285">
        <v>5</v>
      </c>
      <c r="B11" s="247" t="s">
        <v>533</v>
      </c>
      <c r="C11" s="121">
        <v>6</v>
      </c>
      <c r="D11" s="116">
        <v>5</v>
      </c>
      <c r="E11" s="116">
        <v>13</v>
      </c>
    </row>
    <row r="12" spans="1:5" ht="36" customHeight="1">
      <c r="A12" s="285">
        <v>6</v>
      </c>
      <c r="B12" s="247" t="s">
        <v>573</v>
      </c>
      <c r="C12" s="121">
        <v>3</v>
      </c>
      <c r="D12" s="116">
        <v>3</v>
      </c>
      <c r="E12" s="116">
        <v>12</v>
      </c>
    </row>
    <row r="13" spans="1:5" ht="36" customHeight="1">
      <c r="A13" s="285">
        <v>7</v>
      </c>
      <c r="B13" s="247" t="s">
        <v>576</v>
      </c>
      <c r="C13" s="121">
        <v>8</v>
      </c>
      <c r="D13" s="116">
        <v>9</v>
      </c>
      <c r="E13" s="116">
        <v>2</v>
      </c>
    </row>
    <row r="14" spans="1:5" ht="36" customHeight="1">
      <c r="A14" s="285">
        <v>8</v>
      </c>
      <c r="B14" s="247" t="s">
        <v>1510</v>
      </c>
      <c r="C14" s="121">
        <v>14</v>
      </c>
      <c r="D14" s="116">
        <v>2</v>
      </c>
      <c r="E14" s="116">
        <v>22</v>
      </c>
    </row>
    <row r="15" spans="1:5" ht="36" customHeight="1">
      <c r="A15" s="285">
        <v>9</v>
      </c>
      <c r="B15" s="247" t="s">
        <v>577</v>
      </c>
      <c r="C15" s="432">
        <v>4</v>
      </c>
      <c r="D15" s="116">
        <v>4</v>
      </c>
      <c r="E15" s="116">
        <v>6</v>
      </c>
    </row>
    <row r="16" spans="1:5" ht="36" customHeight="1">
      <c r="A16" s="285">
        <v>10</v>
      </c>
      <c r="B16" s="247" t="s">
        <v>578</v>
      </c>
      <c r="C16" s="121">
        <v>1</v>
      </c>
      <c r="D16" s="116">
        <v>4</v>
      </c>
      <c r="E16" s="116">
        <v>2</v>
      </c>
    </row>
    <row r="17" spans="1:5" ht="36" customHeight="1">
      <c r="A17" s="285">
        <v>11</v>
      </c>
      <c r="B17" s="247" t="s">
        <v>1079</v>
      </c>
      <c r="C17" s="121" t="s">
        <v>1509</v>
      </c>
      <c r="D17" s="116">
        <v>7</v>
      </c>
      <c r="E17" s="116">
        <v>2</v>
      </c>
    </row>
    <row r="18" spans="1:5" ht="36" customHeight="1">
      <c r="A18" s="285">
        <v>12</v>
      </c>
      <c r="B18" s="247" t="s">
        <v>580</v>
      </c>
      <c r="C18" s="121">
        <v>10</v>
      </c>
      <c r="D18" s="116">
        <v>1</v>
      </c>
      <c r="E18" s="116">
        <v>5</v>
      </c>
    </row>
    <row r="19" spans="1:5" ht="36" customHeight="1">
      <c r="A19" s="285">
        <v>13</v>
      </c>
      <c r="B19" s="247" t="s">
        <v>585</v>
      </c>
      <c r="C19" s="121">
        <v>2</v>
      </c>
      <c r="D19" s="116">
        <v>3</v>
      </c>
      <c r="E19" s="116">
        <v>3</v>
      </c>
    </row>
    <row r="20" spans="1:5" ht="36" customHeight="1">
      <c r="A20" s="285">
        <v>14</v>
      </c>
      <c r="B20" s="247" t="s">
        <v>586</v>
      </c>
      <c r="C20" s="121" t="s">
        <v>1509</v>
      </c>
      <c r="D20" s="116">
        <v>5</v>
      </c>
      <c r="E20" s="116">
        <v>8</v>
      </c>
    </row>
    <row r="21" spans="1:5" ht="36" customHeight="1">
      <c r="A21" s="292">
        <v>15</v>
      </c>
      <c r="B21" s="249" t="s">
        <v>587</v>
      </c>
      <c r="C21" s="127">
        <v>2</v>
      </c>
      <c r="D21" s="117">
        <v>4</v>
      </c>
      <c r="E21" s="117">
        <v>5</v>
      </c>
    </row>
    <row r="22" spans="1:5" ht="13.5" customHeight="1">
      <c r="D22" s="724"/>
      <c r="E22" s="970" t="s">
        <v>1137</v>
      </c>
    </row>
    <row r="27" spans="1:5" ht="30">
      <c r="A27" s="1952" t="s">
        <v>94</v>
      </c>
      <c r="B27" s="1952"/>
      <c r="C27" s="1952"/>
      <c r="D27" s="1952"/>
      <c r="E27" s="1952"/>
    </row>
  </sheetData>
  <mergeCells count="6">
    <mergeCell ref="A27:E27"/>
    <mergeCell ref="A1:E1"/>
    <mergeCell ref="A2:E2"/>
    <mergeCell ref="B3:B5"/>
    <mergeCell ref="A3:A5"/>
    <mergeCell ref="C3:C5"/>
  </mergeCells>
  <phoneticPr fontId="0" type="noConversion"/>
  <printOptions horizontalCentered="1"/>
  <pageMargins left="0.15" right="0.1" top="1.1200000000000001" bottom="0.1" header="1.1200000000000001" footer="0.16"/>
  <pageSetup paperSize="9" orientation="portrait" blackAndWhite="1" horizontalDpi="4294967295" copies="2" r:id="rId1"/>
  <headerFooter alignWithMargins="0"/>
</worksheet>
</file>

<file path=xl/worksheets/sheet87.xml><?xml version="1.0" encoding="utf-8"?>
<worksheet xmlns="http://schemas.openxmlformats.org/spreadsheetml/2006/main" xmlns:r="http://schemas.openxmlformats.org/officeDocument/2006/relationships">
  <sheetPr codeName="Sheet1"/>
  <dimension ref="A1:K13"/>
  <sheetViews>
    <sheetView workbookViewId="0">
      <selection activeCell="P26" sqref="P26"/>
    </sheetView>
  </sheetViews>
  <sheetFormatPr defaultRowHeight="12.75"/>
  <cols>
    <col min="1" max="1" width="20.7109375" customWidth="1"/>
  </cols>
  <sheetData>
    <row r="1" spans="1:11">
      <c r="A1" t="s">
        <v>940</v>
      </c>
    </row>
    <row r="2" spans="1:11">
      <c r="A2" t="s">
        <v>997</v>
      </c>
      <c r="B2" s="1240">
        <v>2014</v>
      </c>
      <c r="C2">
        <v>2012</v>
      </c>
    </row>
    <row r="3" spans="1:11">
      <c r="A3" t="s">
        <v>998</v>
      </c>
      <c r="B3" t="s">
        <v>1595</v>
      </c>
    </row>
    <row r="4" spans="1:11">
      <c r="A4" t="s">
        <v>999</v>
      </c>
      <c r="B4" s="1239">
        <v>2011</v>
      </c>
    </row>
    <row r="5" spans="1:11">
      <c r="A5" t="s">
        <v>560</v>
      </c>
      <c r="B5" s="1">
        <v>2001</v>
      </c>
    </row>
    <row r="6" spans="1:11">
      <c r="A6" t="s">
        <v>448</v>
      </c>
      <c r="B6" s="1">
        <v>2014</v>
      </c>
    </row>
    <row r="9" spans="1:11">
      <c r="A9">
        <v>2010</v>
      </c>
      <c r="B9">
        <v>2011</v>
      </c>
      <c r="C9">
        <v>2012</v>
      </c>
      <c r="D9">
        <v>2013</v>
      </c>
      <c r="E9">
        <v>2014</v>
      </c>
      <c r="K9" t="s">
        <v>1577</v>
      </c>
    </row>
    <row r="10" spans="1:11">
      <c r="A10" t="s">
        <v>1577</v>
      </c>
      <c r="B10" t="s">
        <v>1576</v>
      </c>
      <c r="C10" t="s">
        <v>267</v>
      </c>
      <c r="D10" t="s">
        <v>1094</v>
      </c>
      <c r="E10" t="s">
        <v>1595</v>
      </c>
      <c r="K10" t="s">
        <v>1576</v>
      </c>
    </row>
    <row r="11" spans="1:11">
      <c r="A11" s="1337">
        <v>2010</v>
      </c>
      <c r="B11" s="1337"/>
      <c r="C11" s="1337">
        <v>2011</v>
      </c>
      <c r="D11" s="1337"/>
      <c r="E11" s="1337">
        <v>2012</v>
      </c>
      <c r="F11" s="1337"/>
      <c r="G11" s="1337">
        <v>2013</v>
      </c>
      <c r="H11" s="1337"/>
      <c r="I11" s="1337">
        <v>2014</v>
      </c>
      <c r="J11" s="1337"/>
      <c r="K11" t="s">
        <v>267</v>
      </c>
    </row>
    <row r="12" spans="1:11">
      <c r="A12" s="1337" t="s">
        <v>1577</v>
      </c>
      <c r="B12" s="1337"/>
      <c r="C12" s="1337" t="s">
        <v>1576</v>
      </c>
      <c r="D12" s="1337"/>
      <c r="E12" s="1337" t="s">
        <v>267</v>
      </c>
      <c r="F12" s="1337"/>
      <c r="G12" s="1337" t="s">
        <v>1094</v>
      </c>
      <c r="H12" s="1337"/>
      <c r="I12" s="1337" t="s">
        <v>1595</v>
      </c>
      <c r="J12" s="1337"/>
      <c r="K12" t="s">
        <v>1094</v>
      </c>
    </row>
    <row r="13" spans="1:11">
      <c r="K13" t="s">
        <v>1595</v>
      </c>
    </row>
  </sheetData>
  <mergeCells count="10">
    <mergeCell ref="I11:J11"/>
    <mergeCell ref="A12:B12"/>
    <mergeCell ref="C12:D12"/>
    <mergeCell ref="E12:F12"/>
    <mergeCell ref="G12:H12"/>
    <mergeCell ref="I12:J12"/>
    <mergeCell ref="A11:B11"/>
    <mergeCell ref="C11:D11"/>
    <mergeCell ref="E11:F11"/>
    <mergeCell ref="G11:H11"/>
  </mergeCells>
  <phoneticPr fontId="0" type="noConversion"/>
  <printOptions horizontalCentered="1"/>
  <pageMargins left="0.2" right="0.2" top="0.2" bottom="0.2" header="0.5" footer="0.5"/>
  <pageSetup paperSize="9" orientation="portrait" horizontalDpi="4294967295" r:id="rId1"/>
  <headerFooter alignWithMargins="0"/>
</worksheet>
</file>

<file path=xl/worksheets/sheet9.xml><?xml version="1.0" encoding="utf-8"?>
<worksheet xmlns="http://schemas.openxmlformats.org/spreadsheetml/2006/main" xmlns:r="http://schemas.openxmlformats.org/officeDocument/2006/relationships">
  <sheetPr codeName="Sheet8"/>
  <dimension ref="A1:G47"/>
  <sheetViews>
    <sheetView workbookViewId="0">
      <selection activeCell="M5" sqref="M5"/>
    </sheetView>
  </sheetViews>
  <sheetFormatPr defaultRowHeight="12.75"/>
  <cols>
    <col min="1" max="1" width="21.5703125" customWidth="1"/>
    <col min="2" max="2" width="20.5703125" customWidth="1"/>
    <col min="3" max="3" width="17.5703125" customWidth="1"/>
    <col min="4" max="4" width="16.85546875" customWidth="1"/>
    <col min="5" max="5" width="18.42578125" customWidth="1"/>
    <col min="6" max="6" width="17.140625" customWidth="1"/>
  </cols>
  <sheetData>
    <row r="1" spans="1:7">
      <c r="A1" s="1363" t="s">
        <v>1332</v>
      </c>
      <c r="B1" s="1363"/>
      <c r="C1" s="1363"/>
      <c r="D1" s="1363"/>
      <c r="E1" s="1363"/>
      <c r="F1" s="1363"/>
    </row>
    <row r="2" spans="1:7" ht="16.5">
      <c r="A2" s="1405" t="str">
        <f>CONCATENATE("Assembly and Parliamentary Constituencies in the district of ",District!$A$1)</f>
        <v>Assembly and Parliamentary Constituencies in the district of Malda</v>
      </c>
      <c r="B2" s="1405"/>
      <c r="C2" s="1405"/>
      <c r="D2" s="1405"/>
      <c r="E2" s="1405"/>
      <c r="F2" s="1405"/>
    </row>
    <row r="3" spans="1:7">
      <c r="B3" s="4"/>
      <c r="C3" s="4"/>
      <c r="D3" s="4"/>
      <c r="E3" s="4"/>
      <c r="F3" s="159" t="s">
        <v>1253</v>
      </c>
    </row>
    <row r="4" spans="1:7">
      <c r="A4" s="1348" t="s">
        <v>1089</v>
      </c>
      <c r="B4" s="1348" t="s">
        <v>1258</v>
      </c>
      <c r="C4" s="1346" t="s">
        <v>845</v>
      </c>
      <c r="D4" s="1409" t="s">
        <v>356</v>
      </c>
      <c r="E4" s="1410"/>
      <c r="F4" s="1348" t="s">
        <v>1233</v>
      </c>
    </row>
    <row r="5" spans="1:7" ht="12.75" customHeight="1">
      <c r="A5" s="1370"/>
      <c r="B5" s="1370"/>
      <c r="C5" s="1370"/>
      <c r="D5" s="1406" t="s">
        <v>498</v>
      </c>
      <c r="E5" s="1346" t="s">
        <v>499</v>
      </c>
      <c r="F5" s="1370"/>
    </row>
    <row r="6" spans="1:7" ht="8.25" customHeight="1">
      <c r="A6" s="1349"/>
      <c r="B6" s="1349"/>
      <c r="C6" s="1349"/>
      <c r="D6" s="1407"/>
      <c r="E6" s="1347"/>
      <c r="F6" s="1349"/>
    </row>
    <row r="7" spans="1:7">
      <c r="A7" s="135" t="s">
        <v>1208</v>
      </c>
      <c r="B7" s="167" t="s">
        <v>1209</v>
      </c>
      <c r="C7" s="167" t="s">
        <v>1210</v>
      </c>
      <c r="D7" s="135" t="s">
        <v>1211</v>
      </c>
      <c r="E7" s="167" t="s">
        <v>1212</v>
      </c>
      <c r="F7" s="167" t="s">
        <v>1213</v>
      </c>
    </row>
    <row r="8" spans="1:7" ht="18" customHeight="1">
      <c r="A8" s="1402">
        <v>2010</v>
      </c>
      <c r="B8" s="285" t="s">
        <v>1259</v>
      </c>
      <c r="C8" s="112">
        <v>9</v>
      </c>
      <c r="D8" s="113">
        <v>2</v>
      </c>
      <c r="E8" s="113">
        <v>1</v>
      </c>
      <c r="F8" s="115">
        <f>SUM(C8:E8)</f>
        <v>12</v>
      </c>
    </row>
    <row r="9" spans="1:7" ht="18" customHeight="1">
      <c r="A9" s="1403"/>
      <c r="B9" s="285" t="s">
        <v>1260</v>
      </c>
      <c r="C9" s="112">
        <v>2</v>
      </c>
      <c r="D9" s="886" t="s">
        <v>1509</v>
      </c>
      <c r="E9" s="886" t="s">
        <v>1509</v>
      </c>
      <c r="F9" s="116">
        <f>SUM(C9:E9)</f>
        <v>2</v>
      </c>
    </row>
    <row r="10" spans="1:7" ht="18" customHeight="1">
      <c r="A10" s="1403">
        <v>2011</v>
      </c>
      <c r="B10" s="285" t="s">
        <v>1259</v>
      </c>
      <c r="C10" s="112">
        <v>9</v>
      </c>
      <c r="D10" s="113">
        <v>2</v>
      </c>
      <c r="E10" s="113">
        <v>1</v>
      </c>
      <c r="F10" s="116">
        <f>SUM(C10:E10)</f>
        <v>12</v>
      </c>
    </row>
    <row r="11" spans="1:7" ht="18" customHeight="1">
      <c r="A11" s="1403"/>
      <c r="B11" s="285" t="s">
        <v>1260</v>
      </c>
      <c r="C11" s="112">
        <v>2</v>
      </c>
      <c r="D11" s="886" t="s">
        <v>1509</v>
      </c>
      <c r="E11" s="886" t="s">
        <v>1509</v>
      </c>
      <c r="F11" s="116">
        <f>SUM(C11:E11)</f>
        <v>2</v>
      </c>
      <c r="G11" s="51"/>
    </row>
    <row r="12" spans="1:7" ht="18" customHeight="1">
      <c r="A12" s="1403">
        <v>2012</v>
      </c>
      <c r="B12" s="285" t="s">
        <v>1259</v>
      </c>
      <c r="C12" s="112">
        <v>9</v>
      </c>
      <c r="D12" s="113">
        <v>2</v>
      </c>
      <c r="E12" s="113">
        <v>1</v>
      </c>
      <c r="F12" s="116">
        <f t="shared" ref="F12:F17" si="0">SUM(C12:E12)</f>
        <v>12</v>
      </c>
    </row>
    <row r="13" spans="1:7" ht="18" customHeight="1">
      <c r="A13" s="1403"/>
      <c r="B13" s="285" t="s">
        <v>1260</v>
      </c>
      <c r="C13" s="112">
        <v>2</v>
      </c>
      <c r="D13" s="886" t="s">
        <v>1509</v>
      </c>
      <c r="E13" s="886" t="s">
        <v>1509</v>
      </c>
      <c r="F13" s="116">
        <f t="shared" si="0"/>
        <v>2</v>
      </c>
    </row>
    <row r="14" spans="1:7" ht="18" customHeight="1">
      <c r="A14" s="1403">
        <v>2013</v>
      </c>
      <c r="B14" s="285" t="s">
        <v>1259</v>
      </c>
      <c r="C14" s="112">
        <v>9</v>
      </c>
      <c r="D14" s="113">
        <v>2</v>
      </c>
      <c r="E14" s="113">
        <v>1</v>
      </c>
      <c r="F14" s="116">
        <f t="shared" si="0"/>
        <v>12</v>
      </c>
    </row>
    <row r="15" spans="1:7" ht="18" customHeight="1">
      <c r="A15" s="1403"/>
      <c r="B15" s="285" t="s">
        <v>1260</v>
      </c>
      <c r="C15" s="112">
        <v>2</v>
      </c>
      <c r="D15" s="886" t="s">
        <v>1509</v>
      </c>
      <c r="E15" s="886" t="s">
        <v>1509</v>
      </c>
      <c r="F15" s="116">
        <f t="shared" si="0"/>
        <v>2</v>
      </c>
    </row>
    <row r="16" spans="1:7" ht="18" customHeight="1">
      <c r="A16" s="1403">
        <v>2014</v>
      </c>
      <c r="B16" s="285" t="s">
        <v>1259</v>
      </c>
      <c r="C16" s="112">
        <v>9</v>
      </c>
      <c r="D16" s="113">
        <v>2</v>
      </c>
      <c r="E16" s="113">
        <v>1</v>
      </c>
      <c r="F16" s="116">
        <f t="shared" si="0"/>
        <v>12</v>
      </c>
    </row>
    <row r="17" spans="1:6" ht="18" customHeight="1">
      <c r="A17" s="1404"/>
      <c r="B17" s="292" t="s">
        <v>1260</v>
      </c>
      <c r="C17" s="112">
        <v>2</v>
      </c>
      <c r="D17" s="1064" t="s">
        <v>1509</v>
      </c>
      <c r="E17" s="1064" t="s">
        <v>1509</v>
      </c>
      <c r="F17" s="117">
        <f t="shared" si="0"/>
        <v>2</v>
      </c>
    </row>
    <row r="18" spans="1:6">
      <c r="B18" s="902"/>
      <c r="C18" s="902"/>
      <c r="D18" s="902"/>
      <c r="E18" s="902"/>
      <c r="F18" s="902" t="s">
        <v>449</v>
      </c>
    </row>
    <row r="19" spans="1:6">
      <c r="A19" s="295"/>
      <c r="B19" s="295"/>
      <c r="C19" s="295"/>
      <c r="D19" s="295"/>
      <c r="E19" s="295"/>
      <c r="F19" s="295"/>
    </row>
    <row r="20" spans="1:6">
      <c r="A20" s="1363" t="s">
        <v>1669</v>
      </c>
      <c r="B20" s="1363"/>
      <c r="C20" s="1363"/>
      <c r="D20" s="1363"/>
      <c r="E20" s="1363"/>
      <c r="F20" s="1363"/>
    </row>
    <row r="21" spans="1:6" ht="34.5" customHeight="1">
      <c r="A21" s="1408" t="str">
        <f>CONCATENATE("Number of Seats in Municipal Corporations, Municipalities and Panchayats
 in the district of ",District!$A$1)</f>
        <v>Number of Seats in Municipal Corporations, Municipalities and Panchayats
 in the district of Malda</v>
      </c>
      <c r="B21" s="1408"/>
      <c r="C21" s="1408"/>
      <c r="D21" s="1408"/>
      <c r="E21" s="1408"/>
      <c r="F21" s="1408"/>
    </row>
    <row r="22" spans="1:6" ht="14.25" customHeight="1">
      <c r="A22" s="605"/>
      <c r="B22" s="605"/>
      <c r="C22" s="605"/>
      <c r="D22" s="605"/>
      <c r="E22" s="605"/>
      <c r="F22" s="159"/>
    </row>
    <row r="23" spans="1:6" ht="26.25" customHeight="1">
      <c r="A23" s="261" t="s">
        <v>1089</v>
      </c>
      <c r="B23" s="261" t="s">
        <v>1096</v>
      </c>
      <c r="C23" s="261" t="s">
        <v>1097</v>
      </c>
      <c r="D23" s="261" t="s">
        <v>746</v>
      </c>
      <c r="E23" s="261" t="s">
        <v>1001</v>
      </c>
      <c r="F23" s="261" t="s">
        <v>1163</v>
      </c>
    </row>
    <row r="24" spans="1:6" ht="18" customHeight="1">
      <c r="A24" s="218" t="s">
        <v>1208</v>
      </c>
      <c r="B24" s="218" t="s">
        <v>1209</v>
      </c>
      <c r="C24" s="218" t="s">
        <v>1210</v>
      </c>
      <c r="D24" s="218" t="s">
        <v>1211</v>
      </c>
      <c r="E24" s="218" t="s">
        <v>1212</v>
      </c>
      <c r="F24" s="151" t="s">
        <v>1213</v>
      </c>
    </row>
    <row r="25" spans="1:6" ht="18" customHeight="1">
      <c r="A25" s="1063">
        <v>2010</v>
      </c>
      <c r="B25" s="508" t="s">
        <v>1509</v>
      </c>
      <c r="C25" s="134">
        <v>42</v>
      </c>
      <c r="D25" s="115">
        <v>34</v>
      </c>
      <c r="E25" s="123">
        <v>408</v>
      </c>
      <c r="F25" s="115">
        <v>1889</v>
      </c>
    </row>
    <row r="26" spans="1:6" ht="18" customHeight="1">
      <c r="A26" s="282">
        <v>2011</v>
      </c>
      <c r="B26" s="534" t="s">
        <v>1509</v>
      </c>
      <c r="C26" s="612">
        <v>43</v>
      </c>
      <c r="D26" s="116">
        <v>34</v>
      </c>
      <c r="E26" s="98">
        <v>408</v>
      </c>
      <c r="F26" s="116">
        <v>1889</v>
      </c>
    </row>
    <row r="27" spans="1:6" ht="18" customHeight="1">
      <c r="A27" s="282">
        <v>2012</v>
      </c>
      <c r="B27" s="534" t="s">
        <v>1509</v>
      </c>
      <c r="C27" s="612">
        <v>43</v>
      </c>
      <c r="D27" s="116">
        <v>34</v>
      </c>
      <c r="E27" s="98">
        <v>408</v>
      </c>
      <c r="F27" s="116">
        <v>1889</v>
      </c>
    </row>
    <row r="28" spans="1:6" ht="18" customHeight="1">
      <c r="A28" s="282">
        <v>2013</v>
      </c>
      <c r="B28" s="628" t="s">
        <v>1509</v>
      </c>
      <c r="C28" s="612">
        <v>43</v>
      </c>
      <c r="D28" s="116">
        <v>38</v>
      </c>
      <c r="E28" s="98">
        <v>423</v>
      </c>
      <c r="F28" s="116">
        <v>2281</v>
      </c>
    </row>
    <row r="29" spans="1:6" ht="18" customHeight="1">
      <c r="A29" s="492">
        <v>2014</v>
      </c>
      <c r="B29" s="610" t="s">
        <v>1509</v>
      </c>
      <c r="C29" s="1248">
        <v>43</v>
      </c>
      <c r="D29" s="116">
        <v>38</v>
      </c>
      <c r="E29" s="98">
        <v>423</v>
      </c>
      <c r="F29" s="116">
        <v>2281</v>
      </c>
    </row>
    <row r="30" spans="1:6">
      <c r="D30" s="883" t="s">
        <v>117</v>
      </c>
      <c r="E30" s="884" t="s">
        <v>979</v>
      </c>
      <c r="F30" s="606"/>
    </row>
    <row r="31" spans="1:6">
      <c r="D31" s="25"/>
      <c r="E31" s="885" t="s">
        <v>1597</v>
      </c>
    </row>
    <row r="32" spans="1:6">
      <c r="C32" s="2"/>
      <c r="D32" s="25"/>
      <c r="E32" s="885" t="s">
        <v>844</v>
      </c>
    </row>
    <row r="33" spans="1:5">
      <c r="D33" s="25"/>
      <c r="E33" s="25"/>
    </row>
    <row r="47" spans="1:5">
      <c r="A47" s="24"/>
      <c r="B47" s="24"/>
      <c r="C47" s="24"/>
      <c r="D47" s="1"/>
      <c r="E47" s="75"/>
    </row>
  </sheetData>
  <mergeCells count="16">
    <mergeCell ref="A21:F21"/>
    <mergeCell ref="D4:E4"/>
    <mergeCell ref="A4:A6"/>
    <mergeCell ref="B4:B6"/>
    <mergeCell ref="C4:C6"/>
    <mergeCell ref="A12:A13"/>
    <mergeCell ref="A1:F1"/>
    <mergeCell ref="A20:F20"/>
    <mergeCell ref="A8:A9"/>
    <mergeCell ref="A10:A11"/>
    <mergeCell ref="A14:A15"/>
    <mergeCell ref="A16:A17"/>
    <mergeCell ref="A2:F2"/>
    <mergeCell ref="D5:D6"/>
    <mergeCell ref="E5:E6"/>
    <mergeCell ref="F4:F6"/>
  </mergeCells>
  <phoneticPr fontId="0" type="noConversion"/>
  <printOptions horizontalCentered="1"/>
  <pageMargins left="0.1" right="0.1" top="0.7" bottom="0.1" header="0.7" footer="0.1"/>
  <pageSetup paperSize="9" orientation="landscape" blackAndWhite="1" horizontalDpi="4294967295" verticalDpi="14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87</vt:i4>
      </vt:variant>
      <vt:variant>
        <vt:lpstr>Named Ranges</vt:lpstr>
      </vt:variant>
      <vt:variant>
        <vt:i4>9</vt:i4>
      </vt:variant>
    </vt:vector>
  </HeadingPairs>
  <TitlesOfParts>
    <vt:vector size="96" baseType="lpstr">
      <vt:lpstr>MAP</vt:lpstr>
      <vt:lpstr>Cover Page</vt:lpstr>
      <vt:lpstr>PREFACE</vt:lpstr>
      <vt:lpstr>Contents</vt:lpstr>
      <vt:lpstr>At a glance</vt:lpstr>
      <vt:lpstr>1.1,1.2</vt:lpstr>
      <vt:lpstr>1.3,1.4</vt:lpstr>
      <vt:lpstr>2.1</vt:lpstr>
      <vt:lpstr>2.1a,2.1b</vt:lpstr>
      <vt:lpstr>2.2,2.3</vt:lpstr>
      <vt:lpstr>2.4a</vt:lpstr>
      <vt:lpstr>2.4b</vt:lpstr>
      <vt:lpstr>2.5a</vt:lpstr>
      <vt:lpstr>2.5b</vt:lpstr>
      <vt:lpstr>2.6</vt:lpstr>
      <vt:lpstr>2.7</vt:lpstr>
      <vt:lpstr>2.8</vt:lpstr>
      <vt:lpstr>2.9,2.10</vt:lpstr>
      <vt:lpstr>2.10a</vt:lpstr>
      <vt:lpstr>2.11</vt:lpstr>
      <vt:lpstr>3.1</vt:lpstr>
      <vt:lpstr>3.2</vt:lpstr>
      <vt:lpstr>3.2a</vt:lpstr>
      <vt:lpstr>3.3</vt:lpstr>
      <vt:lpstr>3.3a</vt:lpstr>
      <vt:lpstr>4.1a</vt:lpstr>
      <vt:lpstr>4.1b</vt:lpstr>
      <vt:lpstr>4.1c</vt:lpstr>
      <vt:lpstr>4.2a</vt:lpstr>
      <vt:lpstr>4.2b</vt:lpstr>
      <vt:lpstr>4.2c</vt:lpstr>
      <vt:lpstr>4.3a</vt:lpstr>
      <vt:lpstr>4.3b</vt:lpstr>
      <vt:lpstr>4.3c</vt:lpstr>
      <vt:lpstr>4.4</vt:lpstr>
      <vt:lpstr>4.5</vt:lpstr>
      <vt:lpstr>4.6</vt:lpstr>
      <vt:lpstr>4.7,4.8</vt:lpstr>
      <vt:lpstr>5.1 ,5.1a</vt:lpstr>
      <vt:lpstr>5.1b,5.2</vt:lpstr>
      <vt:lpstr>5.3</vt:lpstr>
      <vt:lpstr>5.3a</vt:lpstr>
      <vt:lpstr>5.3b,5.3c</vt:lpstr>
      <vt:lpstr>5.3d</vt:lpstr>
      <vt:lpstr>5.3e</vt:lpstr>
      <vt:lpstr>5.4</vt:lpstr>
      <vt:lpstr>5.5,5.5a</vt:lpstr>
      <vt:lpstr>5.6,5.7,5.8</vt:lpstr>
      <vt:lpstr>6.1</vt:lpstr>
      <vt:lpstr>6.2</vt:lpstr>
      <vt:lpstr>7.1</vt:lpstr>
      <vt:lpstr>7.2,7.3</vt:lpstr>
      <vt:lpstr>8.1,8.2</vt:lpstr>
      <vt:lpstr>8.1,8.2_NR</vt:lpstr>
      <vt:lpstr>8.2a</vt:lpstr>
      <vt:lpstr>8.3</vt:lpstr>
      <vt:lpstr>8.4</vt:lpstr>
      <vt:lpstr>9.1</vt:lpstr>
      <vt:lpstr>9.1_NR</vt:lpstr>
      <vt:lpstr>9.2,9.2a,9.2b</vt:lpstr>
      <vt:lpstr>10.1,10.2</vt:lpstr>
      <vt:lpstr>10.3</vt:lpstr>
      <vt:lpstr>11.1</vt:lpstr>
      <vt:lpstr>11.1a,11.2</vt:lpstr>
      <vt:lpstr>11.3,11.4</vt:lpstr>
      <vt:lpstr>12.1,12.2</vt:lpstr>
      <vt:lpstr>12.3,12.4</vt:lpstr>
      <vt:lpstr>12.5,12.6,12.7</vt:lpstr>
      <vt:lpstr>13.1</vt:lpstr>
      <vt:lpstr>13.2,13.3</vt:lpstr>
      <vt:lpstr>14.1,14.2</vt:lpstr>
      <vt:lpstr>15.1</vt:lpstr>
      <vt:lpstr>15.2</vt:lpstr>
      <vt:lpstr>Block_Level</vt:lpstr>
      <vt:lpstr>Block_Level_NR</vt:lpstr>
      <vt:lpstr>16.1</vt:lpstr>
      <vt:lpstr>17.1</vt:lpstr>
      <vt:lpstr>17.2</vt:lpstr>
      <vt:lpstr>18.1</vt:lpstr>
      <vt:lpstr>18.2</vt:lpstr>
      <vt:lpstr>18.3</vt:lpstr>
      <vt:lpstr>19.1</vt:lpstr>
      <vt:lpstr>20.1</vt:lpstr>
      <vt:lpstr>20.2</vt:lpstr>
      <vt:lpstr>21.1</vt:lpstr>
      <vt:lpstr>21.2</vt:lpstr>
      <vt:lpstr>District</vt:lpstr>
      <vt:lpstr>'10.3'!Print_Area</vt:lpstr>
      <vt:lpstr>'3.2'!Print_Area</vt:lpstr>
      <vt:lpstr>'4.2a'!Print_Area</vt:lpstr>
      <vt:lpstr>'18.2'!Print_Titles</vt:lpstr>
      <vt:lpstr>'2.1'!Print_Titles</vt:lpstr>
      <vt:lpstr>'2.4a'!Print_Titles</vt:lpstr>
      <vt:lpstr>'2.4b'!Print_Titles</vt:lpstr>
      <vt:lpstr>'2.6'!Print_Titles</vt:lpstr>
      <vt:lpstr>'5.1b,5.2'!Print_Titles</vt:lpstr>
    </vt:vector>
  </TitlesOfParts>
  <Company>HCL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NEWUSER</dc:creator>
  <cp:lastModifiedBy>BAES</cp:lastModifiedBy>
  <cp:lastPrinted>2016-06-13T09:49:51Z</cp:lastPrinted>
  <dcterms:created xsi:type="dcterms:W3CDTF">2007-01-18T06:47:54Z</dcterms:created>
  <dcterms:modified xsi:type="dcterms:W3CDTF">2016-06-23T07:30:42Z</dcterms:modified>
</cp:coreProperties>
</file>