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71.xml" ContentType="application/vnd.openxmlformats-officedocument.spreadsheetml.worksheet+xml"/>
  <Override PartName="/xl/worksheets/sheet82.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Default Extension="xml" ContentType="application/xml"/>
  <Override PartName="/xl/externalLinks/externalLink5.xml" ContentType="application/vnd.openxmlformats-officedocument.spreadsheetml.externalLink+xml"/>
  <Override PartName="/xl/drawings/drawing2.xml" ContentType="application/vnd.openxmlformats-officedocument.drawing+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78.xml" ContentType="application/vnd.openxmlformats-officedocument.spreadsheetml.worksheet+xml"/>
  <Override PartName="/xl/worksheets/sheet87.xml" ContentType="application/vnd.openxmlformats-officedocument.spreadsheetml.worksheet+xml"/>
  <Override PartName="/xl/externalLinks/externalLink1.xml" ContentType="application/vnd.openxmlformats-officedocument.spreadsheetml.externalLink+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worksheets/sheet76.xml" ContentType="application/vnd.openxmlformats-officedocument.spreadsheetml.worksheet+xml"/>
  <Override PartName="/xl/worksheets/sheet85.xml" ContentType="application/vnd.openxmlformats-officedocument.spreadsheetml.worksheet+xml"/>
  <Override PartName="/xl/sharedStrings.xml" ContentType="application/vnd.openxmlformats-officedocument.spreadsheetml.sharedStrings+xml"/>
  <Default Extension="doc" ContentType="application/msword"/>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worksheets/sheet65.xml" ContentType="application/vnd.openxmlformats-officedocument.spreadsheetml.worksheet+xml"/>
  <Override PartName="/xl/worksheets/sheet74.xml" ContentType="application/vnd.openxmlformats-officedocument.spreadsheetml.worksheet+xml"/>
  <Override PartName="/xl/worksheets/sheet83.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Override PartName="/xl/worksheets/sheet81.xml" ContentType="application/vnd.openxmlformats-officedocument.spreadsheetml.worksheet+xml"/>
  <Override PartName="/xl/worksheets/sheet90.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Default Extension="emf" ContentType="image/x-emf"/>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mbeddings/oleObject1.bin" ContentType="application/vnd.openxmlformats-officedocument.oleObject"/>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Override PartName="/xl/worksheets/sheet88.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86.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xl/worksheets/sheet84.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worksheets/sheet91.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worksheets/sheet11.xml" ContentType="application/vnd.openxmlformats-officedocument.spreadsheetml.worksheet+xml"/>
  <Override PartName="/xl/worksheets/sheet40.xml" ContentType="application/vnd.openxmlformats-officedocument.spreadsheetml.worksheet+xml"/>
  <Default Extension="wmf" ContentType="image/x-wmf"/>
  <Override PartName="/xl/drawings/drawing4.xml" ContentType="application/vnd.openxmlformats-officedocument.drawing+xml"/>
  <Default Extension="rels" ContentType="application/vnd.openxmlformats-package.relationships+xml"/>
  <Override PartName="/xl/worksheets/sheet5.xml" ContentType="application/vnd.openxmlformats-officedocument.spreadsheetml.worksheet+xml"/>
  <Override PartName="/xl/embeddings/oleObject2.bin" ContentType="application/vnd.openxmlformats-officedocument.oleObject"/>
  <Override PartName="/xl/worksheets/sheet89.xml" ContentType="application/vnd.openxmlformats-officedocument.spreadsheetml.worksheet+xml"/>
  <Override PartName="/xl/externalLinks/externalLink3.xml" ContentType="application/vnd.openxmlformats-officedocument.spreadsheetml.externalLink+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15" yWindow="-15" windowWidth="10260" windowHeight="8115" tabRatio="904"/>
  </bookViews>
  <sheets>
    <sheet name="MAP" sheetId="118" r:id="rId1"/>
    <sheet name="Cover Page" sheetId="124" r:id="rId2"/>
    <sheet name="PREFACE" sheetId="125" r:id="rId3"/>
    <sheet name="Contents" sheetId="150" r:id="rId4"/>
    <sheet name="At a glance" sheetId="1" r:id="rId5"/>
    <sheet name="1.1,1.2" sheetId="2" r:id="rId6"/>
    <sheet name="1.3" sheetId="4" r:id="rId7"/>
    <sheet name="1.4" sheetId="132" r:id="rId8"/>
    <sheet name="2.1" sheetId="6" r:id="rId9"/>
    <sheet name="2.1a,2.1b" sheetId="7" r:id="rId10"/>
    <sheet name="2.2" sheetId="9" r:id="rId11"/>
    <sheet name="2.3" sheetId="10" r:id="rId12"/>
    <sheet name="2.4a" sheetId="112" r:id="rId13"/>
    <sheet name="2.4b" sheetId="147" r:id="rId14"/>
    <sheet name="2.5a" sheetId="148" r:id="rId15"/>
    <sheet name="2.5b" sheetId="131" r:id="rId16"/>
    <sheet name="2.6" sheetId="16" r:id="rId17"/>
    <sheet name="2.7" sheetId="17" r:id="rId18"/>
    <sheet name="2.8" sheetId="18" r:id="rId19"/>
    <sheet name="2.9" sheetId="19" r:id="rId20"/>
    <sheet name="2.10" sheetId="140" r:id="rId21"/>
    <sheet name="2.10a" sheetId="142" r:id="rId22"/>
    <sheet name="2.11" sheetId="141" r:id="rId23"/>
    <sheet name="3.1" sheetId="23" r:id="rId24"/>
    <sheet name="3.2" sheetId="24" r:id="rId25"/>
    <sheet name="3.2a" sheetId="25" r:id="rId26"/>
    <sheet name="3.3" sheetId="26" r:id="rId27"/>
    <sheet name="3.3a" sheetId="126" r:id="rId28"/>
    <sheet name="4.1a" sheetId="27" r:id="rId29"/>
    <sheet name="4.1b" sheetId="28" r:id="rId30"/>
    <sheet name="4.1c" sheetId="29" r:id="rId31"/>
    <sheet name="4.2a" sheetId="30" r:id="rId32"/>
    <sheet name="4.2b" sheetId="31" r:id="rId33"/>
    <sheet name="4.2c" sheetId="32" r:id="rId34"/>
    <sheet name="4.3a" sheetId="33" r:id="rId35"/>
    <sheet name="4.3b" sheetId="34" r:id="rId36"/>
    <sheet name="4.3c" sheetId="35" r:id="rId37"/>
    <sheet name="4.4" sheetId="37" r:id="rId38"/>
    <sheet name="4.5" sheetId="38" r:id="rId39"/>
    <sheet name="4.6" sheetId="39" r:id="rId40"/>
    <sheet name="4.7" sheetId="40" r:id="rId41"/>
    <sheet name="4.8" sheetId="42" r:id="rId42"/>
    <sheet name="5.1 " sheetId="83" r:id="rId43"/>
    <sheet name="5.1a,5.1b" sheetId="130" r:id="rId44"/>
    <sheet name="5.2" sheetId="45" r:id="rId45"/>
    <sheet name="5.3" sheetId="114" r:id="rId46"/>
    <sheet name="5.3a" sheetId="49" r:id="rId47"/>
    <sheet name="5.3b,5.3c" sheetId="50" r:id="rId48"/>
    <sheet name="5.3d" sheetId="51" r:id="rId49"/>
    <sheet name="5.3e" sheetId="52" r:id="rId50"/>
    <sheet name="5.4" sheetId="53" r:id="rId51"/>
    <sheet name="5.5,5.5a" sheetId="54" r:id="rId52"/>
    <sheet name="5.6,5.7,5.8" sheetId="56" r:id="rId53"/>
    <sheet name="6.1" sheetId="59" r:id="rId54"/>
    <sheet name="6.2" sheetId="60" r:id="rId55"/>
    <sheet name="7.1" sheetId="61" r:id="rId56"/>
    <sheet name="7.2,7.3" sheetId="62" r:id="rId57"/>
    <sheet name="8.1,8.2" sheetId="65" r:id="rId58"/>
    <sheet name="8.2a" sheetId="67" r:id="rId59"/>
    <sheet name="8.3" sheetId="151" r:id="rId60"/>
    <sheet name="8.4" sheetId="69" r:id="rId61"/>
    <sheet name="9.1" sheetId="149" r:id="rId62"/>
    <sheet name="9.2,9.2a,9.2b" sheetId="144" r:id="rId63"/>
    <sheet name="10.1,10.2" sheetId="75" r:id="rId64"/>
    <sheet name="10.3" sheetId="77" r:id="rId65"/>
    <sheet name="11.1,11.1a" sheetId="85" r:id="rId66"/>
    <sheet name="11.2" sheetId="87" r:id="rId67"/>
    <sheet name="11.3,11.4" sheetId="128" r:id="rId68"/>
    <sheet name="12.1,12.2" sheetId="90" r:id="rId69"/>
    <sheet name="12.3" sheetId="127" r:id="rId70"/>
    <sheet name="12.4" sheetId="143" r:id="rId71"/>
    <sheet name="12.5,12.6,12.7" sheetId="93" r:id="rId72"/>
    <sheet name="13.1" sheetId="78" r:id="rId73"/>
    <sheet name="13.2,13.3" sheetId="137" r:id="rId74"/>
    <sheet name="14.1,14.2" sheetId="81" r:id="rId75"/>
    <sheet name="15.1" sheetId="43" r:id="rId76"/>
    <sheet name="15.2" sheetId="84" r:id="rId77"/>
    <sheet name="Block_Level" sheetId="146" r:id="rId78"/>
    <sheet name="Block_Level_NR" sheetId="138" state="hidden" r:id="rId79"/>
    <sheet name="16.1" sheetId="98" r:id="rId80"/>
    <sheet name="17.1" sheetId="99" r:id="rId81"/>
    <sheet name="17.2" sheetId="100" r:id="rId82"/>
    <sheet name="18.1" sheetId="101" r:id="rId83"/>
    <sheet name="18.2" sheetId="102" r:id="rId84"/>
    <sheet name="18.3" sheetId="103" r:id="rId85"/>
    <sheet name="19.1" sheetId="104" r:id="rId86"/>
    <sheet name="20.1" sheetId="105" r:id="rId87"/>
    <sheet name="20.2" sheetId="136" r:id="rId88"/>
    <sheet name="21.1" sheetId="107" r:id="rId89"/>
    <sheet name="21.2" sheetId="135" r:id="rId90"/>
    <sheet name="District" sheetId="12" r:id="rId91"/>
  </sheets>
  <externalReferences>
    <externalReference r:id="rId92"/>
    <externalReference r:id="rId93"/>
    <externalReference r:id="rId94"/>
    <externalReference r:id="rId95"/>
    <externalReference r:id="rId96"/>
  </externalReferences>
  <definedNames>
    <definedName name="_xlnm.Print_Area" localSheetId="68">'12.1,12.2'!$A$1:$N$27</definedName>
    <definedName name="_xlnm.Print_Area" localSheetId="24">'3.2'!$A$1:$I$50</definedName>
    <definedName name="_xlnm.Print_Area" localSheetId="25">'3.2a'!$A$1:$F$47</definedName>
    <definedName name="_xlnm.Print_Area" localSheetId="44">'5.2'!$A$1:$G$40</definedName>
    <definedName name="_xlnm.Print_Titles" localSheetId="64">'10.3'!$11:$11</definedName>
    <definedName name="_xlnm.Print_Titles" localSheetId="76">'15.2'!$11:$11</definedName>
    <definedName name="_xlnm.Print_Titles" localSheetId="83">'18.2'!$3:$6</definedName>
    <definedName name="_xlnm.Print_Titles" localSheetId="8">'2.1'!$3:$7</definedName>
    <definedName name="_xlnm.Print_Titles" localSheetId="10">'2.2'!$3:$4</definedName>
    <definedName name="_xlnm.Print_Titles" localSheetId="12">'2.4a'!$3:$6</definedName>
    <definedName name="_xlnm.Print_Titles" localSheetId="13">'2.4b'!$3:$6</definedName>
    <definedName name="_xlnm.Print_Titles" localSheetId="39">'4.6'!$11:$12</definedName>
    <definedName name="_xlnm.Print_Titles" localSheetId="40">'4.7'!$11:$11</definedName>
    <definedName name="_xlnm.Print_Titles" localSheetId="54">'6.2'!$11:$11</definedName>
    <definedName name="s">'[1]2.11'!#REF!</definedName>
    <definedName name="ss">'[1]2.11'!#REF!</definedName>
    <definedName name="Table2.1" localSheetId="59">'[2]2.11'!#REF!</definedName>
    <definedName name="Table2.1" localSheetId="61">'[3]2.11'!#REF!</definedName>
    <definedName name="Table2.1" localSheetId="77">'[4]2.11'!#REF!</definedName>
    <definedName name="Table2.1" localSheetId="3">'[2]2.11'!#REF!</definedName>
    <definedName name="Table2.1">'[2]2.11'!#REF!</definedName>
    <definedName name="Table2.10" localSheetId="61">#REF!</definedName>
    <definedName name="Table2.10">#REF!</definedName>
    <definedName name="Table2.10a" localSheetId="59">'[2]2.11'!#REF!</definedName>
    <definedName name="Table2.10a" localSheetId="61">'[3]2.11'!#REF!</definedName>
    <definedName name="Table2.10a" localSheetId="77">'[4]2.11'!#REF!</definedName>
    <definedName name="Table2.10a" localSheetId="3">'[2]2.11'!#REF!</definedName>
    <definedName name="Table2.10a">'[2]2.11'!#REF!</definedName>
    <definedName name="Table2.2" localSheetId="61">#REF!</definedName>
    <definedName name="Table2.2">#REF!</definedName>
    <definedName name="xx">'[5]2.11'!#REF!</definedName>
    <definedName name="yy">'[5]2.11'!#REF!</definedName>
  </definedNames>
  <calcPr calcId="124519"/>
</workbook>
</file>

<file path=xl/calcChain.xml><?xml version="1.0" encoding="utf-8"?>
<calcChain xmlns="http://schemas.openxmlformats.org/spreadsheetml/2006/main">
  <c r="Q11" i="62"/>
  <c r="P11"/>
  <c r="O11"/>
  <c r="F35" i="24"/>
  <c r="G35" s="1"/>
  <c r="I9" i="144"/>
  <c r="D9"/>
  <c r="C9"/>
  <c r="K27" i="151"/>
  <c r="J27"/>
  <c r="I27"/>
  <c r="H27"/>
  <c r="G27"/>
  <c r="F27"/>
  <c r="E27"/>
  <c r="D27"/>
  <c r="C27"/>
  <c r="B27"/>
  <c r="I35" i="24" l="1"/>
  <c r="H35"/>
  <c r="M27" i="130"/>
  <c r="M26"/>
  <c r="M25"/>
  <c r="M24"/>
  <c r="M23"/>
  <c r="F18" i="128"/>
  <c r="E18"/>
  <c r="D18"/>
  <c r="C18"/>
  <c r="B18"/>
  <c r="E8" i="90"/>
  <c r="E9"/>
  <c r="E10"/>
  <c r="E11"/>
  <c r="D36" i="26"/>
  <c r="D37"/>
  <c r="D38"/>
  <c r="F26" i="59"/>
  <c r="E26"/>
  <c r="D26"/>
  <c r="C26"/>
  <c r="F15"/>
  <c r="E15"/>
  <c r="D15"/>
  <c r="C15"/>
  <c r="F10"/>
  <c r="F21" s="1"/>
  <c r="E10"/>
  <c r="E21" s="1"/>
  <c r="D10"/>
  <c r="D21" s="1"/>
  <c r="C10"/>
  <c r="C21" s="1"/>
  <c r="H39" i="126"/>
  <c r="H38" s="1"/>
  <c r="H37"/>
  <c r="H28"/>
  <c r="F38"/>
  <c r="B38"/>
  <c r="W12" i="37"/>
  <c r="U32"/>
  <c r="M12"/>
  <c r="E35" i="61"/>
  <c r="D37" i="39"/>
  <c r="D17"/>
  <c r="C37"/>
  <c r="C27"/>
  <c r="C17"/>
  <c r="C12"/>
  <c r="F18" i="25"/>
  <c r="E44" i="24"/>
  <c r="A10" i="84"/>
  <c r="A9"/>
  <c r="A8"/>
  <c r="A7"/>
  <c r="A6"/>
  <c r="M9" i="43"/>
  <c r="M8"/>
  <c r="M7"/>
  <c r="M6"/>
  <c r="B10"/>
  <c r="B9"/>
  <c r="B8"/>
  <c r="B7"/>
  <c r="B6"/>
  <c r="L11" i="137"/>
  <c r="K11"/>
  <c r="J11"/>
  <c r="I11"/>
  <c r="G11"/>
  <c r="F11"/>
  <c r="E11"/>
  <c r="D11"/>
  <c r="K32" i="78"/>
  <c r="J32"/>
  <c r="I32"/>
  <c r="H32"/>
  <c r="F32"/>
  <c r="E32"/>
  <c r="D32"/>
  <c r="C32"/>
  <c r="F16"/>
  <c r="E16"/>
  <c r="D16"/>
  <c r="C16"/>
  <c r="A32" i="93"/>
  <c r="A31"/>
  <c r="A30"/>
  <c r="A29"/>
  <c r="A28"/>
  <c r="A21"/>
  <c r="A20"/>
  <c r="A19"/>
  <c r="A18"/>
  <c r="A17"/>
  <c r="A9"/>
  <c r="A8"/>
  <c r="A7"/>
  <c r="A6"/>
  <c r="A5"/>
  <c r="L9" i="143"/>
  <c r="L8"/>
  <c r="L7"/>
  <c r="L6"/>
  <c r="B10"/>
  <c r="B9"/>
  <c r="B8"/>
  <c r="B7"/>
  <c r="B6"/>
  <c r="B10" i="127"/>
  <c r="B9"/>
  <c r="B8"/>
  <c r="B7"/>
  <c r="B6"/>
  <c r="N10" i="90"/>
  <c r="K10"/>
  <c r="H10"/>
  <c r="N9"/>
  <c r="K9"/>
  <c r="H9"/>
  <c r="N8"/>
  <c r="K8"/>
  <c r="H8"/>
  <c r="N7"/>
  <c r="K7"/>
  <c r="H7"/>
  <c r="E7"/>
  <c r="C26"/>
  <c r="C25"/>
  <c r="C24"/>
  <c r="C23"/>
  <c r="C22"/>
  <c r="B11"/>
  <c r="B10"/>
  <c r="B9"/>
  <c r="B8"/>
  <c r="B7"/>
  <c r="A10" i="87"/>
  <c r="B9"/>
  <c r="A10" i="77"/>
  <c r="A9"/>
  <c r="A8"/>
  <c r="A7"/>
  <c r="A6"/>
  <c r="E13" i="75"/>
  <c r="D13"/>
  <c r="C13"/>
  <c r="B13"/>
  <c r="A11" i="69"/>
  <c r="A10"/>
  <c r="A9"/>
  <c r="A8"/>
  <c r="A7"/>
  <c r="K9" i="67"/>
  <c r="K8"/>
  <c r="K7"/>
  <c r="K6"/>
  <c r="B10"/>
  <c r="B9"/>
  <c r="B8"/>
  <c r="B7"/>
  <c r="B6"/>
  <c r="E21" i="65"/>
  <c r="E26"/>
  <c r="E34"/>
  <c r="E39"/>
  <c r="D21"/>
  <c r="D26"/>
  <c r="D42" s="1"/>
  <c r="D34"/>
  <c r="D39"/>
  <c r="C21"/>
  <c r="C26"/>
  <c r="C34"/>
  <c r="C39"/>
  <c r="C42"/>
  <c r="B21"/>
  <c r="B26"/>
  <c r="B42" s="1"/>
  <c r="B34"/>
  <c r="B39"/>
  <c r="F10"/>
  <c r="D10"/>
  <c r="A11"/>
  <c r="A10"/>
  <c r="A9"/>
  <c r="A8"/>
  <c r="A7"/>
  <c r="C28" i="62"/>
  <c r="C27"/>
  <c r="C26"/>
  <c r="C25"/>
  <c r="C24"/>
  <c r="O10"/>
  <c r="Q10"/>
  <c r="P10"/>
  <c r="R10" s="1"/>
  <c r="N10"/>
  <c r="J10"/>
  <c r="F10"/>
  <c r="O9"/>
  <c r="Q9"/>
  <c r="P9"/>
  <c r="N9"/>
  <c r="J9"/>
  <c r="F9"/>
  <c r="O8"/>
  <c r="P8"/>
  <c r="Q7"/>
  <c r="P7"/>
  <c r="O7"/>
  <c r="B11"/>
  <c r="B8"/>
  <c r="B9"/>
  <c r="B10"/>
  <c r="B7"/>
  <c r="B47" i="61"/>
  <c r="B44"/>
  <c r="B45"/>
  <c r="B46"/>
  <c r="B38"/>
  <c r="B39"/>
  <c r="B40"/>
  <c r="B41"/>
  <c r="B32"/>
  <c r="B33"/>
  <c r="B34"/>
  <c r="B35"/>
  <c r="B26"/>
  <c r="B27"/>
  <c r="B28"/>
  <c r="B29"/>
  <c r="B20"/>
  <c r="B21"/>
  <c r="B22"/>
  <c r="B23"/>
  <c r="B14"/>
  <c r="B15"/>
  <c r="B16"/>
  <c r="B17"/>
  <c r="B43"/>
  <c r="B37"/>
  <c r="B31"/>
  <c r="B25"/>
  <c r="B19"/>
  <c r="B13"/>
  <c r="B11"/>
  <c r="B10"/>
  <c r="B9"/>
  <c r="B8"/>
  <c r="B7"/>
  <c r="A10" i="60"/>
  <c r="A9"/>
  <c r="A8"/>
  <c r="A7"/>
  <c r="A6"/>
  <c r="A36" i="56"/>
  <c r="A35"/>
  <c r="A34"/>
  <c r="A33"/>
  <c r="A32"/>
  <c r="A23"/>
  <c r="A22"/>
  <c r="A21"/>
  <c r="A20"/>
  <c r="A19"/>
  <c r="A10"/>
  <c r="A9"/>
  <c r="A8"/>
  <c r="A7"/>
  <c r="A6"/>
  <c r="F9"/>
  <c r="F8"/>
  <c r="F7"/>
  <c r="F6"/>
  <c r="L10" i="54"/>
  <c r="L9"/>
  <c r="L8"/>
  <c r="L7"/>
  <c r="G14" i="53"/>
  <c r="F14"/>
  <c r="E14"/>
  <c r="D14"/>
  <c r="L30" i="51"/>
  <c r="K29"/>
  <c r="J29"/>
  <c r="I29"/>
  <c r="L18"/>
  <c r="K17"/>
  <c r="J17"/>
  <c r="I17"/>
  <c r="G30"/>
  <c r="F29"/>
  <c r="E29"/>
  <c r="D29"/>
  <c r="G18"/>
  <c r="F17"/>
  <c r="E17"/>
  <c r="D17"/>
  <c r="H18"/>
  <c r="H30"/>
  <c r="F38" i="114"/>
  <c r="E38"/>
  <c r="D38"/>
  <c r="C38"/>
  <c r="F30"/>
  <c r="E30"/>
  <c r="D30"/>
  <c r="C30"/>
  <c r="F25"/>
  <c r="E25"/>
  <c r="D25"/>
  <c r="C25"/>
  <c r="F7"/>
  <c r="F15"/>
  <c r="F19"/>
  <c r="F20"/>
  <c r="E7"/>
  <c r="E15"/>
  <c r="E19"/>
  <c r="E20"/>
  <c r="D7"/>
  <c r="D15"/>
  <c r="D19"/>
  <c r="D20"/>
  <c r="C7"/>
  <c r="C15"/>
  <c r="C19"/>
  <c r="C20"/>
  <c r="F38" i="45"/>
  <c r="E38"/>
  <c r="D38"/>
  <c r="C38"/>
  <c r="F30"/>
  <c r="E30"/>
  <c r="D30"/>
  <c r="C30"/>
  <c r="F25"/>
  <c r="E25"/>
  <c r="D25"/>
  <c r="C25"/>
  <c r="F7"/>
  <c r="F15"/>
  <c r="F19"/>
  <c r="F20"/>
  <c r="E7"/>
  <c r="E15"/>
  <c r="E19"/>
  <c r="E20"/>
  <c r="D7"/>
  <c r="D15"/>
  <c r="D19"/>
  <c r="D20"/>
  <c r="C7"/>
  <c r="C15"/>
  <c r="C19"/>
  <c r="C20"/>
  <c r="C9" i="83"/>
  <c r="C8"/>
  <c r="C7"/>
  <c r="C6"/>
  <c r="D12" i="39"/>
  <c r="D27"/>
  <c r="I19" i="35"/>
  <c r="H19"/>
  <c r="G19"/>
  <c r="F19"/>
  <c r="I28" i="34"/>
  <c r="H28"/>
  <c r="G28"/>
  <c r="F28"/>
  <c r="I25"/>
  <c r="H25"/>
  <c r="G25"/>
  <c r="F25"/>
  <c r="I18"/>
  <c r="H18"/>
  <c r="G18"/>
  <c r="F18"/>
  <c r="I17"/>
  <c r="H17"/>
  <c r="G17"/>
  <c r="F17"/>
  <c r="I13"/>
  <c r="H13"/>
  <c r="G13"/>
  <c r="F13"/>
  <c r="I8"/>
  <c r="H8"/>
  <c r="G8"/>
  <c r="F8"/>
  <c r="I7"/>
  <c r="H7"/>
  <c r="G7"/>
  <c r="F7"/>
  <c r="H23" i="33"/>
  <c r="G23"/>
  <c r="F23"/>
  <c r="E23"/>
  <c r="H18"/>
  <c r="G18"/>
  <c r="F18"/>
  <c r="E18"/>
  <c r="H13"/>
  <c r="G13"/>
  <c r="F13"/>
  <c r="E13"/>
  <c r="H8"/>
  <c r="G8"/>
  <c r="F8"/>
  <c r="E8"/>
  <c r="H7"/>
  <c r="G7"/>
  <c r="F7"/>
  <c r="E7"/>
  <c r="M20" i="32"/>
  <c r="L20"/>
  <c r="K20"/>
  <c r="J20"/>
  <c r="I20"/>
  <c r="H20"/>
  <c r="G20"/>
  <c r="F20"/>
  <c r="L9" i="31"/>
  <c r="L14"/>
  <c r="L8"/>
  <c r="L19"/>
  <c r="L26"/>
  <c r="L29"/>
  <c r="L18"/>
  <c r="L36" s="1"/>
  <c r="K9"/>
  <c r="K14"/>
  <c r="K8" s="1"/>
  <c r="K19"/>
  <c r="K18" s="1"/>
  <c r="K26"/>
  <c r="K29"/>
  <c r="J9"/>
  <c r="J14"/>
  <c r="J8"/>
  <c r="J19"/>
  <c r="J26"/>
  <c r="J29"/>
  <c r="J18"/>
  <c r="J36" s="1"/>
  <c r="I9"/>
  <c r="I14"/>
  <c r="I8" s="1"/>
  <c r="I19"/>
  <c r="I18" s="1"/>
  <c r="I26"/>
  <c r="I29"/>
  <c r="H9"/>
  <c r="H14"/>
  <c r="H8"/>
  <c r="H19"/>
  <c r="H26"/>
  <c r="H29"/>
  <c r="H18"/>
  <c r="H36" s="1"/>
  <c r="G9"/>
  <c r="G14"/>
  <c r="G8" s="1"/>
  <c r="G19"/>
  <c r="G18" s="1"/>
  <c r="G26"/>
  <c r="G29"/>
  <c r="F9"/>
  <c r="F14"/>
  <c r="F8"/>
  <c r="F19"/>
  <c r="F26"/>
  <c r="F29"/>
  <c r="F18"/>
  <c r="E9"/>
  <c r="E14"/>
  <c r="E8" s="1"/>
  <c r="E36" s="1"/>
  <c r="E19"/>
  <c r="E18" s="1"/>
  <c r="E26"/>
  <c r="E29"/>
  <c r="L24" i="30"/>
  <c r="K24"/>
  <c r="J24"/>
  <c r="I24"/>
  <c r="H24"/>
  <c r="G24"/>
  <c r="F24"/>
  <c r="E24"/>
  <c r="L19"/>
  <c r="K19"/>
  <c r="J19"/>
  <c r="I19"/>
  <c r="H19"/>
  <c r="G19"/>
  <c r="F19"/>
  <c r="E19"/>
  <c r="L14"/>
  <c r="K14"/>
  <c r="J14"/>
  <c r="I14"/>
  <c r="H14"/>
  <c r="G14"/>
  <c r="F14"/>
  <c r="E14"/>
  <c r="L9"/>
  <c r="K9"/>
  <c r="J9"/>
  <c r="I9"/>
  <c r="H9"/>
  <c r="G9"/>
  <c r="F9"/>
  <c r="E9"/>
  <c r="L8"/>
  <c r="K8"/>
  <c r="J8"/>
  <c r="I8"/>
  <c r="H8"/>
  <c r="G8"/>
  <c r="F8"/>
  <c r="E8"/>
  <c r="I19" i="29"/>
  <c r="H19"/>
  <c r="G19"/>
  <c r="F19"/>
  <c r="I8" i="28"/>
  <c r="I13"/>
  <c r="I7"/>
  <c r="I18"/>
  <c r="I25"/>
  <c r="I28"/>
  <c r="I17" s="1"/>
  <c r="I35" s="1"/>
  <c r="H8"/>
  <c r="H13"/>
  <c r="H7" s="1"/>
  <c r="H18"/>
  <c r="H25"/>
  <c r="H28"/>
  <c r="G8"/>
  <c r="G13"/>
  <c r="G18"/>
  <c r="G25"/>
  <c r="G28"/>
  <c r="F8"/>
  <c r="F13"/>
  <c r="F7" s="1"/>
  <c r="F18"/>
  <c r="F25"/>
  <c r="F28"/>
  <c r="I23" i="27"/>
  <c r="H23"/>
  <c r="G23"/>
  <c r="F23"/>
  <c r="I18"/>
  <c r="H18"/>
  <c r="G18"/>
  <c r="F18"/>
  <c r="I13"/>
  <c r="H13"/>
  <c r="G13"/>
  <c r="F13"/>
  <c r="I8"/>
  <c r="H8"/>
  <c r="G8"/>
  <c r="F8"/>
  <c r="I7"/>
  <c r="H7"/>
  <c r="G7"/>
  <c r="F7"/>
  <c r="B12" i="126"/>
  <c r="B29" i="26"/>
  <c r="D35"/>
  <c r="D34"/>
  <c r="G14" i="7"/>
  <c r="G13"/>
  <c r="G12"/>
  <c r="G11"/>
  <c r="G10"/>
  <c r="G9"/>
  <c r="G8"/>
  <c r="G7"/>
  <c r="B27"/>
  <c r="B26"/>
  <c r="B25"/>
  <c r="B24"/>
  <c r="B23"/>
  <c r="H27" i="2"/>
  <c r="G27"/>
  <c r="F27"/>
  <c r="E27"/>
  <c r="F10" i="60"/>
  <c r="E12"/>
  <c r="E17"/>
  <c r="E27"/>
  <c r="E37"/>
  <c r="A2" i="105"/>
  <c r="E9"/>
  <c r="E11"/>
  <c r="E12"/>
  <c r="E22"/>
  <c r="B2" i="38"/>
  <c r="H40" i="126"/>
  <c r="F28"/>
  <c r="H41"/>
  <c r="H42"/>
  <c r="H43"/>
  <c r="F18"/>
  <c r="F13"/>
  <c r="G6" i="149"/>
  <c r="B2" i="104"/>
  <c r="E10" i="127"/>
  <c r="A34" i="126"/>
  <c r="A35"/>
  <c r="A37"/>
  <c r="A39"/>
  <c r="B63" i="1"/>
  <c r="B64"/>
  <c r="B60"/>
  <c r="D64"/>
  <c r="D60"/>
  <c r="D6" i="149"/>
  <c r="E6"/>
  <c r="F6"/>
  <c r="C6"/>
  <c r="D63" i="1"/>
  <c r="H34" i="126"/>
  <c r="H35"/>
  <c r="H33"/>
  <c r="H23"/>
  <c r="A42"/>
  <c r="L10" i="143"/>
  <c r="C35" i="61"/>
  <c r="F38" i="25"/>
  <c r="E38"/>
  <c r="D38"/>
  <c r="C38"/>
  <c r="B38"/>
  <c r="I38" i="24"/>
  <c r="B38"/>
  <c r="A2" i="135"/>
  <c r="B2" i="107"/>
  <c r="A3" i="136"/>
  <c r="B2" i="103"/>
  <c r="B2" i="102"/>
  <c r="Q7"/>
  <c r="R7"/>
  <c r="Q8"/>
  <c r="R8"/>
  <c r="Q9"/>
  <c r="R9"/>
  <c r="Q10"/>
  <c r="R10"/>
  <c r="Q11"/>
  <c r="R11"/>
  <c r="Q12"/>
  <c r="R12"/>
  <c r="Q13"/>
  <c r="R13"/>
  <c r="Q14"/>
  <c r="R14"/>
  <c r="Q15"/>
  <c r="R15"/>
  <c r="Q16"/>
  <c r="R16"/>
  <c r="Q17"/>
  <c r="R17"/>
  <c r="Q18"/>
  <c r="R18"/>
  <c r="Q19"/>
  <c r="R19"/>
  <c r="Q20"/>
  <c r="R20"/>
  <c r="Q21"/>
  <c r="R21"/>
  <c r="Q22"/>
  <c r="R22"/>
  <c r="Q23"/>
  <c r="R23"/>
  <c r="B2" i="101"/>
  <c r="B2" i="100"/>
  <c r="C7"/>
  <c r="C8"/>
  <c r="C9"/>
  <c r="C11"/>
  <c r="C12"/>
  <c r="C13"/>
  <c r="C14"/>
  <c r="C16"/>
  <c r="C19"/>
  <c r="A2" i="99"/>
  <c r="R6"/>
  <c r="E6"/>
  <c r="M7"/>
  <c r="R7"/>
  <c r="I7" s="1"/>
  <c r="R8"/>
  <c r="E8" s="1"/>
  <c r="K9"/>
  <c r="R9"/>
  <c r="E9" s="1"/>
  <c r="R10"/>
  <c r="E10" s="1"/>
  <c r="K11"/>
  <c r="O11"/>
  <c r="Q11"/>
  <c r="R11"/>
  <c r="I11" s="1"/>
  <c r="R12"/>
  <c r="E12" s="1"/>
  <c r="Q13"/>
  <c r="R13"/>
  <c r="I13" s="1"/>
  <c r="E13"/>
  <c r="G13"/>
  <c r="R14"/>
  <c r="E14" s="1"/>
  <c r="M15"/>
  <c r="O15"/>
  <c r="R15"/>
  <c r="E15" s="1"/>
  <c r="R16"/>
  <c r="E16" s="1"/>
  <c r="K17"/>
  <c r="M17"/>
  <c r="Q17"/>
  <c r="R17"/>
  <c r="I17" s="1"/>
  <c r="R18"/>
  <c r="E18" s="1"/>
  <c r="K19"/>
  <c r="M19"/>
  <c r="R19"/>
  <c r="E19" s="1"/>
  <c r="R20"/>
  <c r="E20" s="1"/>
  <c r="M21"/>
  <c r="O21"/>
  <c r="Q21"/>
  <c r="R21"/>
  <c r="E21" s="1"/>
  <c r="I21"/>
  <c r="G21"/>
  <c r="O22"/>
  <c r="R22"/>
  <c r="E22"/>
  <c r="K23"/>
  <c r="M23"/>
  <c r="O23"/>
  <c r="Q23"/>
  <c r="R23"/>
  <c r="I23"/>
  <c r="R24"/>
  <c r="E24"/>
  <c r="M25"/>
  <c r="O25"/>
  <c r="Q25"/>
  <c r="R25"/>
  <c r="E25" s="1"/>
  <c r="R26"/>
  <c r="E26" s="1"/>
  <c r="O27"/>
  <c r="R27"/>
  <c r="M27" s="1"/>
  <c r="G27"/>
  <c r="R28"/>
  <c r="E28"/>
  <c r="R29"/>
  <c r="I29" s="1"/>
  <c r="G29"/>
  <c r="R30"/>
  <c r="E30" s="1"/>
  <c r="O31"/>
  <c r="R31"/>
  <c r="E31"/>
  <c r="A2" i="98"/>
  <c r="B5"/>
  <c r="B6"/>
  <c r="B7"/>
  <c r="B8"/>
  <c r="B9"/>
  <c r="B10"/>
  <c r="B11"/>
  <c r="B12"/>
  <c r="B13"/>
  <c r="B14"/>
  <c r="B15"/>
  <c r="B16"/>
  <c r="B17"/>
  <c r="B18"/>
  <c r="B20"/>
  <c r="B21"/>
  <c r="A2" i="84"/>
  <c r="B11"/>
  <c r="B12"/>
  <c r="B17"/>
  <c r="B27"/>
  <c r="B37"/>
  <c r="B2" i="43"/>
  <c r="M10"/>
  <c r="B2" i="81"/>
  <c r="E4"/>
  <c r="G4"/>
  <c r="I4"/>
  <c r="K4"/>
  <c r="M4"/>
  <c r="D7"/>
  <c r="D8"/>
  <c r="D9"/>
  <c r="D10"/>
  <c r="D11"/>
  <c r="D12"/>
  <c r="D13"/>
  <c r="D14"/>
  <c r="D15"/>
  <c r="D16"/>
  <c r="N17"/>
  <c r="B21"/>
  <c r="E23"/>
  <c r="G23"/>
  <c r="I23"/>
  <c r="K23"/>
  <c r="M23"/>
  <c r="C2" i="137"/>
  <c r="D5"/>
  <c r="E5"/>
  <c r="F5"/>
  <c r="G5"/>
  <c r="H5"/>
  <c r="I5"/>
  <c r="J5"/>
  <c r="K5"/>
  <c r="L5"/>
  <c r="M5"/>
  <c r="H11"/>
  <c r="M11"/>
  <c r="M12"/>
  <c r="B15"/>
  <c r="D17"/>
  <c r="F17"/>
  <c r="H17"/>
  <c r="J17"/>
  <c r="L17"/>
  <c r="D31"/>
  <c r="F31"/>
  <c r="H31"/>
  <c r="J31"/>
  <c r="L31"/>
  <c r="M32"/>
  <c r="B2" i="78"/>
  <c r="C5"/>
  <c r="D5"/>
  <c r="E5"/>
  <c r="F5"/>
  <c r="G5"/>
  <c r="H5"/>
  <c r="I5"/>
  <c r="J5"/>
  <c r="K5"/>
  <c r="L5"/>
  <c r="G16"/>
  <c r="H16"/>
  <c r="I16"/>
  <c r="J16"/>
  <c r="K16"/>
  <c r="L16"/>
  <c r="C21"/>
  <c r="D21"/>
  <c r="E21"/>
  <c r="F21"/>
  <c r="G21"/>
  <c r="H21"/>
  <c r="I21"/>
  <c r="J21"/>
  <c r="K21"/>
  <c r="L21"/>
  <c r="G32"/>
  <c r="L32"/>
  <c r="L33"/>
  <c r="A2" i="93"/>
  <c r="A25"/>
  <c r="B2" i="143"/>
  <c r="B2" i="127"/>
  <c r="G10"/>
  <c r="E11"/>
  <c r="I12"/>
  <c r="I13"/>
  <c r="I14"/>
  <c r="I15"/>
  <c r="I16"/>
  <c r="I17"/>
  <c r="I18"/>
  <c r="I19"/>
  <c r="I20"/>
  <c r="I21"/>
  <c r="B2" i="90"/>
  <c r="H11"/>
  <c r="K11"/>
  <c r="N11"/>
  <c r="C18"/>
  <c r="A2" i="128"/>
  <c r="A22"/>
  <c r="A2" i="87"/>
  <c r="A3" i="85"/>
  <c r="D5"/>
  <c r="E5"/>
  <c r="F5"/>
  <c r="A31"/>
  <c r="A2" i="77"/>
  <c r="B11"/>
  <c r="B12"/>
  <c r="C12"/>
  <c r="D12"/>
  <c r="E12"/>
  <c r="F12"/>
  <c r="G12"/>
  <c r="B17"/>
  <c r="C17"/>
  <c r="D17"/>
  <c r="E17"/>
  <c r="F17"/>
  <c r="G17"/>
  <c r="B27"/>
  <c r="C27"/>
  <c r="D27"/>
  <c r="E27"/>
  <c r="F27"/>
  <c r="G27"/>
  <c r="B37"/>
  <c r="C37"/>
  <c r="D37"/>
  <c r="E37"/>
  <c r="F37"/>
  <c r="F10"/>
  <c r="G37"/>
  <c r="A2" i="75"/>
  <c r="B4"/>
  <c r="C4"/>
  <c r="D4"/>
  <c r="E4"/>
  <c r="F4"/>
  <c r="C24"/>
  <c r="E24"/>
  <c r="F13"/>
  <c r="F24" s="1"/>
  <c r="A17"/>
  <c r="B19"/>
  <c r="C19"/>
  <c r="D19"/>
  <c r="E19"/>
  <c r="F19"/>
  <c r="B24"/>
  <c r="D24"/>
  <c r="B2" i="144"/>
  <c r="K7"/>
  <c r="L7"/>
  <c r="M7"/>
  <c r="N7"/>
  <c r="K8"/>
  <c r="L8"/>
  <c r="M8"/>
  <c r="N8"/>
  <c r="E9"/>
  <c r="F9"/>
  <c r="G9"/>
  <c r="H9"/>
  <c r="J9"/>
  <c r="K9"/>
  <c r="L9"/>
  <c r="M9"/>
  <c r="N9"/>
  <c r="B13"/>
  <c r="K18"/>
  <c r="L18"/>
  <c r="M18"/>
  <c r="N18"/>
  <c r="K19"/>
  <c r="L19"/>
  <c r="M19"/>
  <c r="N19"/>
  <c r="C20"/>
  <c r="D20"/>
  <c r="E20"/>
  <c r="F20"/>
  <c r="G20"/>
  <c r="H20"/>
  <c r="I20"/>
  <c r="J20"/>
  <c r="K20"/>
  <c r="L20"/>
  <c r="M20"/>
  <c r="N20"/>
  <c r="C24"/>
  <c r="A2" i="69"/>
  <c r="I12"/>
  <c r="B2" i="67"/>
  <c r="K10"/>
  <c r="A2" i="65"/>
  <c r="A16"/>
  <c r="B19"/>
  <c r="C19"/>
  <c r="D19"/>
  <c r="E19"/>
  <c r="F19"/>
  <c r="F21"/>
  <c r="F26"/>
  <c r="F34"/>
  <c r="F39"/>
  <c r="F43"/>
  <c r="B2" i="62"/>
  <c r="F11"/>
  <c r="J11"/>
  <c r="N11"/>
  <c r="U11"/>
  <c r="C20"/>
  <c r="A2" i="61"/>
  <c r="C31"/>
  <c r="D31"/>
  <c r="E31"/>
  <c r="F31"/>
  <c r="G31"/>
  <c r="C32"/>
  <c r="D32"/>
  <c r="E32"/>
  <c r="F32"/>
  <c r="G32"/>
  <c r="C33"/>
  <c r="D33"/>
  <c r="E33"/>
  <c r="F33"/>
  <c r="G33"/>
  <c r="C34"/>
  <c r="D34"/>
  <c r="E34"/>
  <c r="F34"/>
  <c r="G34"/>
  <c r="D35"/>
  <c r="D47" s="1"/>
  <c r="D73" i="1" s="1"/>
  <c r="E47" i="61"/>
  <c r="F35"/>
  <c r="F47" s="1"/>
  <c r="G35"/>
  <c r="G47" s="1"/>
  <c r="C43"/>
  <c r="D43"/>
  <c r="E43"/>
  <c r="F43"/>
  <c r="G43"/>
  <c r="C44"/>
  <c r="D44"/>
  <c r="E44"/>
  <c r="F44"/>
  <c r="G44"/>
  <c r="C45"/>
  <c r="D45"/>
  <c r="E45"/>
  <c r="F45"/>
  <c r="G45"/>
  <c r="C46"/>
  <c r="D46"/>
  <c r="E46"/>
  <c r="F46"/>
  <c r="G46"/>
  <c r="C47"/>
  <c r="A2" i="60"/>
  <c r="B11"/>
  <c r="B12"/>
  <c r="C12"/>
  <c r="D12"/>
  <c r="G12"/>
  <c r="H12"/>
  <c r="I12"/>
  <c r="I27"/>
  <c r="I37"/>
  <c r="I17"/>
  <c r="B17"/>
  <c r="B27"/>
  <c r="B37"/>
  <c r="C17"/>
  <c r="C27"/>
  <c r="C37"/>
  <c r="D17"/>
  <c r="D27"/>
  <c r="D37"/>
  <c r="G17"/>
  <c r="H17"/>
  <c r="H27"/>
  <c r="H37"/>
  <c r="G27"/>
  <c r="G37"/>
  <c r="G43"/>
  <c r="A2" i="59"/>
  <c r="G10"/>
  <c r="G15"/>
  <c r="G26"/>
  <c r="A2" i="56"/>
  <c r="F10"/>
  <c r="A15"/>
  <c r="A28"/>
  <c r="B2" i="54"/>
  <c r="L11"/>
  <c r="B19"/>
  <c r="B2" i="53"/>
  <c r="D4"/>
  <c r="E4"/>
  <c r="F4"/>
  <c r="G4"/>
  <c r="H4"/>
  <c r="H14"/>
  <c r="A2" i="52"/>
  <c r="C5"/>
  <c r="D5"/>
  <c r="E5"/>
  <c r="F5"/>
  <c r="G5"/>
  <c r="I5"/>
  <c r="J5"/>
  <c r="K5"/>
  <c r="L5"/>
  <c r="M5"/>
  <c r="B2" i="51"/>
  <c r="D4"/>
  <c r="E4"/>
  <c r="F4"/>
  <c r="G4"/>
  <c r="H4"/>
  <c r="I4"/>
  <c r="J4"/>
  <c r="K4"/>
  <c r="L4"/>
  <c r="M4"/>
  <c r="M18"/>
  <c r="M30"/>
  <c r="A2" i="50"/>
  <c r="B4"/>
  <c r="D4"/>
  <c r="F4"/>
  <c r="H4"/>
  <c r="J4"/>
  <c r="A19"/>
  <c r="A2" i="49"/>
  <c r="C4"/>
  <c r="D4"/>
  <c r="E4"/>
  <c r="F4"/>
  <c r="G4"/>
  <c r="A2" i="114"/>
  <c r="C4"/>
  <c r="D4"/>
  <c r="E4"/>
  <c r="F4"/>
  <c r="G4"/>
  <c r="G7"/>
  <c r="G15" s="1"/>
  <c r="G19"/>
  <c r="G25"/>
  <c r="G30"/>
  <c r="G38"/>
  <c r="A2" i="45"/>
  <c r="C4"/>
  <c r="D4"/>
  <c r="E4"/>
  <c r="F4"/>
  <c r="G4"/>
  <c r="G7"/>
  <c r="G15" s="1"/>
  <c r="G19"/>
  <c r="G25"/>
  <c r="G30"/>
  <c r="G38"/>
  <c r="B2" i="130"/>
  <c r="O8"/>
  <c r="M9"/>
  <c r="N9"/>
  <c r="O9" s="1"/>
  <c r="C18"/>
  <c r="B2" i="83"/>
  <c r="B6"/>
  <c r="B7"/>
  <c r="B8"/>
  <c r="B9"/>
  <c r="B10"/>
  <c r="B2" i="42"/>
  <c r="C10"/>
  <c r="H10"/>
  <c r="C11"/>
  <c r="H12"/>
  <c r="H13"/>
  <c r="H14"/>
  <c r="H15"/>
  <c r="H16"/>
  <c r="C17"/>
  <c r="D18"/>
  <c r="A2" i="40"/>
  <c r="B11"/>
  <c r="B12"/>
  <c r="C12"/>
  <c r="D12"/>
  <c r="B17"/>
  <c r="B27"/>
  <c r="B37"/>
  <c r="C17"/>
  <c r="C27"/>
  <c r="C37"/>
  <c r="D17"/>
  <c r="D27"/>
  <c r="D37"/>
  <c r="A2" i="39"/>
  <c r="B11"/>
  <c r="B12"/>
  <c r="B17"/>
  <c r="B27"/>
  <c r="B37"/>
  <c r="B10"/>
  <c r="C43"/>
  <c r="A2" i="37"/>
  <c r="B7"/>
  <c r="C7"/>
  <c r="D7"/>
  <c r="E7"/>
  <c r="F7"/>
  <c r="G7"/>
  <c r="H7"/>
  <c r="I7"/>
  <c r="J7"/>
  <c r="K7"/>
  <c r="L7"/>
  <c r="M7"/>
  <c r="O7"/>
  <c r="P7"/>
  <c r="Q7"/>
  <c r="R7"/>
  <c r="S7"/>
  <c r="T7"/>
  <c r="U7"/>
  <c r="V7"/>
  <c r="W7"/>
  <c r="B12"/>
  <c r="C12"/>
  <c r="D12"/>
  <c r="E12"/>
  <c r="F12"/>
  <c r="G12"/>
  <c r="H12"/>
  <c r="I12"/>
  <c r="J12"/>
  <c r="K12"/>
  <c r="L12"/>
  <c r="O12"/>
  <c r="P12"/>
  <c r="Q12"/>
  <c r="R12"/>
  <c r="S12"/>
  <c r="T12"/>
  <c r="U12"/>
  <c r="V12"/>
  <c r="B22"/>
  <c r="C22"/>
  <c r="D22"/>
  <c r="E22"/>
  <c r="F22"/>
  <c r="G22"/>
  <c r="H22"/>
  <c r="I22"/>
  <c r="J22"/>
  <c r="K22"/>
  <c r="L22"/>
  <c r="M22"/>
  <c r="O22"/>
  <c r="P22"/>
  <c r="Q22"/>
  <c r="R22"/>
  <c r="R38" s="1"/>
  <c r="S22"/>
  <c r="T22"/>
  <c r="U22"/>
  <c r="V22"/>
  <c r="W22"/>
  <c r="B32"/>
  <c r="C32"/>
  <c r="D32"/>
  <c r="E32"/>
  <c r="F32"/>
  <c r="G32"/>
  <c r="H32"/>
  <c r="I32"/>
  <c r="J32"/>
  <c r="K32"/>
  <c r="L32"/>
  <c r="M32"/>
  <c r="O32"/>
  <c r="O38" s="1"/>
  <c r="P32"/>
  <c r="Q32"/>
  <c r="R32"/>
  <c r="S32"/>
  <c r="T32"/>
  <c r="V32"/>
  <c r="W32"/>
  <c r="B2" i="35"/>
  <c r="F5"/>
  <c r="G5"/>
  <c r="H5"/>
  <c r="I5"/>
  <c r="J5"/>
  <c r="J19"/>
  <c r="F5" i="34"/>
  <c r="G5"/>
  <c r="H5"/>
  <c r="I5"/>
  <c r="J5"/>
  <c r="J8"/>
  <c r="J13"/>
  <c r="J7" s="1"/>
  <c r="J18"/>
  <c r="J25"/>
  <c r="J28"/>
  <c r="J36"/>
  <c r="A2" i="33"/>
  <c r="E5"/>
  <c r="F5"/>
  <c r="G5"/>
  <c r="H5"/>
  <c r="I5"/>
  <c r="I8"/>
  <c r="I13"/>
  <c r="I18"/>
  <c r="I23"/>
  <c r="B2" i="32"/>
  <c r="F5"/>
  <c r="H5"/>
  <c r="J5"/>
  <c r="L5"/>
  <c r="N5"/>
  <c r="N20"/>
  <c r="A2" i="31"/>
  <c r="E5"/>
  <c r="G5"/>
  <c r="I5"/>
  <c r="K5"/>
  <c r="M5"/>
  <c r="M9"/>
  <c r="M14"/>
  <c r="N9"/>
  <c r="N14"/>
  <c r="M19"/>
  <c r="N19"/>
  <c r="M26"/>
  <c r="N26"/>
  <c r="N29"/>
  <c r="M29"/>
  <c r="N37"/>
  <c r="A2" i="30"/>
  <c r="E5"/>
  <c r="G5"/>
  <c r="I5"/>
  <c r="K5"/>
  <c r="M5"/>
  <c r="M9"/>
  <c r="N9"/>
  <c r="M14"/>
  <c r="M19"/>
  <c r="M24"/>
  <c r="N14"/>
  <c r="N19"/>
  <c r="N24"/>
  <c r="N8" s="1"/>
  <c r="B2" i="29"/>
  <c r="F5"/>
  <c r="G5"/>
  <c r="H5"/>
  <c r="I5"/>
  <c r="J5"/>
  <c r="J19"/>
  <c r="B2" i="28"/>
  <c r="F5"/>
  <c r="G5"/>
  <c r="H5"/>
  <c r="I5"/>
  <c r="J5"/>
  <c r="J8"/>
  <c r="J7"/>
  <c r="J18"/>
  <c r="J17" s="1"/>
  <c r="J25"/>
  <c r="J36"/>
  <c r="B2" i="27"/>
  <c r="F5"/>
  <c r="G5"/>
  <c r="H5"/>
  <c r="I5"/>
  <c r="J5"/>
  <c r="J8"/>
  <c r="J13"/>
  <c r="J18"/>
  <c r="J23"/>
  <c r="A2" i="126"/>
  <c r="H7"/>
  <c r="H8"/>
  <c r="H9"/>
  <c r="B13"/>
  <c r="B18"/>
  <c r="B28"/>
  <c r="D13"/>
  <c r="D18"/>
  <c r="D28"/>
  <c r="D38"/>
  <c r="H14"/>
  <c r="H15"/>
  <c r="H16"/>
  <c r="H17"/>
  <c r="H19"/>
  <c r="H20"/>
  <c r="H21"/>
  <c r="H22"/>
  <c r="H24"/>
  <c r="H25"/>
  <c r="H26"/>
  <c r="H27"/>
  <c r="H29"/>
  <c r="H30"/>
  <c r="H31"/>
  <c r="H32"/>
  <c r="H36"/>
  <c r="A14"/>
  <c r="A15"/>
  <c r="A16"/>
  <c r="A17"/>
  <c r="A18"/>
  <c r="A19"/>
  <c r="A20"/>
  <c r="A21"/>
  <c r="A22"/>
  <c r="A23"/>
  <c r="A24"/>
  <c r="A25"/>
  <c r="A26"/>
  <c r="A27"/>
  <c r="A28"/>
  <c r="A29"/>
  <c r="A30"/>
  <c r="A31"/>
  <c r="A32"/>
  <c r="A33"/>
  <c r="A38"/>
  <c r="A40"/>
  <c r="A41"/>
  <c r="A43"/>
  <c r="A2" i="26"/>
  <c r="D6"/>
  <c r="D7"/>
  <c r="D8"/>
  <c r="D9"/>
  <c r="D10"/>
  <c r="D11"/>
  <c r="B14"/>
  <c r="B19"/>
  <c r="B39"/>
  <c r="C14"/>
  <c r="C19"/>
  <c r="C29"/>
  <c r="C39"/>
  <c r="D15"/>
  <c r="D16"/>
  <c r="D17"/>
  <c r="D18"/>
  <c r="D20"/>
  <c r="D21"/>
  <c r="D22"/>
  <c r="D23"/>
  <c r="D24"/>
  <c r="D25"/>
  <c r="D26"/>
  <c r="D27"/>
  <c r="D28"/>
  <c r="D30"/>
  <c r="D31"/>
  <c r="D32"/>
  <c r="D33"/>
  <c r="D40"/>
  <c r="D41"/>
  <c r="D42"/>
  <c r="D43"/>
  <c r="D44"/>
  <c r="B13"/>
  <c r="A2" i="25"/>
  <c r="B12"/>
  <c r="A13"/>
  <c r="B13"/>
  <c r="B28"/>
  <c r="B18"/>
  <c r="C13"/>
  <c r="D13"/>
  <c r="E13"/>
  <c r="F13"/>
  <c r="A14"/>
  <c r="A15"/>
  <c r="A16"/>
  <c r="A17"/>
  <c r="A18"/>
  <c r="C18"/>
  <c r="C28"/>
  <c r="D18"/>
  <c r="D28"/>
  <c r="E18"/>
  <c r="E28"/>
  <c r="F28"/>
  <c r="A19"/>
  <c r="A20"/>
  <c r="A21"/>
  <c r="A22"/>
  <c r="A23"/>
  <c r="A24"/>
  <c r="A25"/>
  <c r="A26"/>
  <c r="A27"/>
  <c r="A28"/>
  <c r="A29"/>
  <c r="A30"/>
  <c r="A31"/>
  <c r="A32"/>
  <c r="A33"/>
  <c r="A38"/>
  <c r="A39"/>
  <c r="A40"/>
  <c r="A41"/>
  <c r="A42"/>
  <c r="A43"/>
  <c r="A2" i="24"/>
  <c r="B12"/>
  <c r="B13"/>
  <c r="C13"/>
  <c r="D13"/>
  <c r="D11" s="1"/>
  <c r="F13"/>
  <c r="G13"/>
  <c r="H13"/>
  <c r="I13"/>
  <c r="I18"/>
  <c r="I28"/>
  <c r="E14"/>
  <c r="E15"/>
  <c r="E16"/>
  <c r="E17"/>
  <c r="B18"/>
  <c r="C18"/>
  <c r="D18"/>
  <c r="F18"/>
  <c r="G18"/>
  <c r="H18"/>
  <c r="E19"/>
  <c r="E20"/>
  <c r="E21"/>
  <c r="E22"/>
  <c r="E23"/>
  <c r="E24"/>
  <c r="E25"/>
  <c r="E26"/>
  <c r="E27"/>
  <c r="B28"/>
  <c r="C28"/>
  <c r="D28"/>
  <c r="F28"/>
  <c r="G28"/>
  <c r="H28"/>
  <c r="E29"/>
  <c r="E30"/>
  <c r="E31"/>
  <c r="E32"/>
  <c r="E33"/>
  <c r="E34"/>
  <c r="E35"/>
  <c r="E36"/>
  <c r="C38"/>
  <c r="D38"/>
  <c r="F38"/>
  <c r="G38"/>
  <c r="H38"/>
  <c r="E39"/>
  <c r="E40"/>
  <c r="E41"/>
  <c r="E42"/>
  <c r="E43"/>
  <c r="B2" i="23"/>
  <c r="C13"/>
  <c r="C14"/>
  <c r="D14"/>
  <c r="E14"/>
  <c r="F14"/>
  <c r="G14"/>
  <c r="H14"/>
  <c r="I14"/>
  <c r="J14"/>
  <c r="L14"/>
  <c r="M14"/>
  <c r="K15"/>
  <c r="K16"/>
  <c r="K17"/>
  <c r="K18"/>
  <c r="C19"/>
  <c r="D19"/>
  <c r="E19"/>
  <c r="F19"/>
  <c r="G19"/>
  <c r="H19"/>
  <c r="I19"/>
  <c r="J19"/>
  <c r="L19"/>
  <c r="M19"/>
  <c r="M36"/>
  <c r="M46"/>
  <c r="K20"/>
  <c r="K21"/>
  <c r="K22"/>
  <c r="K23"/>
  <c r="K24"/>
  <c r="K25"/>
  <c r="K26"/>
  <c r="K27"/>
  <c r="K28"/>
  <c r="C36"/>
  <c r="D36"/>
  <c r="E36"/>
  <c r="F36"/>
  <c r="G36"/>
  <c r="H36"/>
  <c r="I36"/>
  <c r="J36"/>
  <c r="L36"/>
  <c r="K37"/>
  <c r="K38"/>
  <c r="K39"/>
  <c r="K40"/>
  <c r="K41"/>
  <c r="K42"/>
  <c r="K43"/>
  <c r="K44"/>
  <c r="K45"/>
  <c r="C46"/>
  <c r="D46"/>
  <c r="E46"/>
  <c r="F46"/>
  <c r="G46"/>
  <c r="H46"/>
  <c r="I46"/>
  <c r="J46"/>
  <c r="J12" s="1"/>
  <c r="L46"/>
  <c r="K47"/>
  <c r="K48"/>
  <c r="K49"/>
  <c r="K50"/>
  <c r="K51"/>
  <c r="A2" i="141"/>
  <c r="D7"/>
  <c r="G7"/>
  <c r="H7"/>
  <c r="I7"/>
  <c r="J7" s="1"/>
  <c r="D8"/>
  <c r="G8"/>
  <c r="H8"/>
  <c r="I8"/>
  <c r="J8"/>
  <c r="D9"/>
  <c r="G9"/>
  <c r="G15" s="1"/>
  <c r="H9"/>
  <c r="I9"/>
  <c r="J9" s="1"/>
  <c r="D10"/>
  <c r="G10"/>
  <c r="H10"/>
  <c r="I10"/>
  <c r="J10"/>
  <c r="D11"/>
  <c r="G11"/>
  <c r="H11"/>
  <c r="I11"/>
  <c r="J11" s="1"/>
  <c r="D12"/>
  <c r="G12"/>
  <c r="H12"/>
  <c r="I12"/>
  <c r="J12"/>
  <c r="D13"/>
  <c r="G13"/>
  <c r="H13"/>
  <c r="I13"/>
  <c r="J13" s="1"/>
  <c r="D14"/>
  <c r="G14"/>
  <c r="H14"/>
  <c r="I14"/>
  <c r="J14" s="1"/>
  <c r="B15"/>
  <c r="C15"/>
  <c r="D15"/>
  <c r="E15"/>
  <c r="F15"/>
  <c r="H15"/>
  <c r="C7" i="142"/>
  <c r="D7"/>
  <c r="E7"/>
  <c r="F7"/>
  <c r="G7"/>
  <c r="H7" s="1"/>
  <c r="I7"/>
  <c r="J7"/>
  <c r="K7" s="1"/>
  <c r="L7"/>
  <c r="M7"/>
  <c r="Q7"/>
  <c r="R7"/>
  <c r="S7"/>
  <c r="T7"/>
  <c r="U7"/>
  <c r="V7" s="1"/>
  <c r="W7"/>
  <c r="X7"/>
  <c r="Y7" s="1"/>
  <c r="Z7"/>
  <c r="AA7"/>
  <c r="E8"/>
  <c r="H8"/>
  <c r="K8"/>
  <c r="N8"/>
  <c r="S8"/>
  <c r="V8"/>
  <c r="Y8"/>
  <c r="AB8"/>
  <c r="AC8"/>
  <c r="AD8"/>
  <c r="E9"/>
  <c r="H9"/>
  <c r="K9"/>
  <c r="N9"/>
  <c r="S9"/>
  <c r="V9"/>
  <c r="Y9"/>
  <c r="AB9"/>
  <c r="AC9"/>
  <c r="AE9" s="1"/>
  <c r="AD9"/>
  <c r="E10"/>
  <c r="H10"/>
  <c r="K10"/>
  <c r="N10"/>
  <c r="S10"/>
  <c r="V10"/>
  <c r="Y10"/>
  <c r="AB10"/>
  <c r="AC10"/>
  <c r="AD10"/>
  <c r="AE10"/>
  <c r="E11"/>
  <c r="H11"/>
  <c r="K11"/>
  <c r="N11"/>
  <c r="S11"/>
  <c r="V11"/>
  <c r="Y11"/>
  <c r="AB11"/>
  <c r="AC11"/>
  <c r="AD11"/>
  <c r="AE11" s="1"/>
  <c r="C12"/>
  <c r="D12"/>
  <c r="E12" s="1"/>
  <c r="F12"/>
  <c r="G12"/>
  <c r="I12"/>
  <c r="J12"/>
  <c r="K12"/>
  <c r="L12"/>
  <c r="M12"/>
  <c r="N12" s="1"/>
  <c r="Q12"/>
  <c r="R12"/>
  <c r="S12" s="1"/>
  <c r="T12"/>
  <c r="U12"/>
  <c r="W12"/>
  <c r="X12"/>
  <c r="Y12"/>
  <c r="Z12"/>
  <c r="AA12"/>
  <c r="AB12" s="1"/>
  <c r="E13"/>
  <c r="H13"/>
  <c r="K13"/>
  <c r="N13"/>
  <c r="S13"/>
  <c r="V13"/>
  <c r="Y13"/>
  <c r="AB13"/>
  <c r="AC13"/>
  <c r="AD13"/>
  <c r="AE13" s="1"/>
  <c r="E14"/>
  <c r="H14"/>
  <c r="K14"/>
  <c r="N14"/>
  <c r="S14"/>
  <c r="V14"/>
  <c r="Y14"/>
  <c r="AB14"/>
  <c r="AC14"/>
  <c r="AD14"/>
  <c r="E15"/>
  <c r="H15"/>
  <c r="K15"/>
  <c r="N15"/>
  <c r="S15"/>
  <c r="V15"/>
  <c r="Y15"/>
  <c r="AB15"/>
  <c r="AC15"/>
  <c r="AD15"/>
  <c r="AE15"/>
  <c r="E16"/>
  <c r="H16"/>
  <c r="K16"/>
  <c r="N16"/>
  <c r="S16"/>
  <c r="V16"/>
  <c r="Y16"/>
  <c r="AB16"/>
  <c r="AC16"/>
  <c r="AD16"/>
  <c r="AE16" s="1"/>
  <c r="E17"/>
  <c r="H17"/>
  <c r="K17"/>
  <c r="N17"/>
  <c r="S17"/>
  <c r="V17"/>
  <c r="Y17"/>
  <c r="AB17"/>
  <c r="AC17"/>
  <c r="AD17"/>
  <c r="AE17" s="1"/>
  <c r="E18"/>
  <c r="H18"/>
  <c r="K18"/>
  <c r="N18"/>
  <c r="S18"/>
  <c r="V18"/>
  <c r="Y18"/>
  <c r="AB18"/>
  <c r="AC18"/>
  <c r="AD18"/>
  <c r="E19"/>
  <c r="H19"/>
  <c r="K19"/>
  <c r="N19"/>
  <c r="S19"/>
  <c r="V19"/>
  <c r="Y19"/>
  <c r="AB19"/>
  <c r="AC19"/>
  <c r="AD19"/>
  <c r="AE19"/>
  <c r="E20"/>
  <c r="H20"/>
  <c r="K20"/>
  <c r="N20"/>
  <c r="S20"/>
  <c r="V20"/>
  <c r="Y20"/>
  <c r="AB20"/>
  <c r="AC20"/>
  <c r="AD20"/>
  <c r="AE20" s="1"/>
  <c r="E21"/>
  <c r="H21"/>
  <c r="K21"/>
  <c r="N21"/>
  <c r="S21"/>
  <c r="V21"/>
  <c r="Y21"/>
  <c r="AB21"/>
  <c r="AC21"/>
  <c r="AD21"/>
  <c r="AE21" s="1"/>
  <c r="C22"/>
  <c r="D22"/>
  <c r="F22"/>
  <c r="G22"/>
  <c r="H22"/>
  <c r="I22"/>
  <c r="J22"/>
  <c r="K22" s="1"/>
  <c r="L22"/>
  <c r="M22"/>
  <c r="N22" s="1"/>
  <c r="Q22"/>
  <c r="R22"/>
  <c r="T22"/>
  <c r="U22"/>
  <c r="V22"/>
  <c r="W22"/>
  <c r="X22"/>
  <c r="Y22" s="1"/>
  <c r="Z22"/>
  <c r="AA22"/>
  <c r="AB22" s="1"/>
  <c r="E23"/>
  <c r="H23"/>
  <c r="K23"/>
  <c r="N23"/>
  <c r="S23"/>
  <c r="V23"/>
  <c r="Y23"/>
  <c r="AB23"/>
  <c r="AC23"/>
  <c r="AD23"/>
  <c r="E24"/>
  <c r="H24"/>
  <c r="K24"/>
  <c r="N24"/>
  <c r="S24"/>
  <c r="V24"/>
  <c r="Y24"/>
  <c r="AB24"/>
  <c r="AC24"/>
  <c r="AD24"/>
  <c r="E25"/>
  <c r="H25"/>
  <c r="K25"/>
  <c r="N25"/>
  <c r="S25"/>
  <c r="V25"/>
  <c r="Y25"/>
  <c r="AB25"/>
  <c r="AC25"/>
  <c r="AD25"/>
  <c r="AE25"/>
  <c r="E26"/>
  <c r="H26"/>
  <c r="K26"/>
  <c r="N26"/>
  <c r="S26"/>
  <c r="V26"/>
  <c r="Y26"/>
  <c r="AB26"/>
  <c r="AC26"/>
  <c r="AD26"/>
  <c r="AE26" s="1"/>
  <c r="E27"/>
  <c r="H27"/>
  <c r="K27"/>
  <c r="N27"/>
  <c r="S27"/>
  <c r="V27"/>
  <c r="Y27"/>
  <c r="AB27"/>
  <c r="AC27"/>
  <c r="AD27"/>
  <c r="AE27" s="1"/>
  <c r="E28"/>
  <c r="H28"/>
  <c r="K28"/>
  <c r="N28"/>
  <c r="S28"/>
  <c r="V28"/>
  <c r="Y28"/>
  <c r="AB28"/>
  <c r="AC28"/>
  <c r="AD28"/>
  <c r="E29"/>
  <c r="H29"/>
  <c r="K29"/>
  <c r="N29"/>
  <c r="S29"/>
  <c r="V29"/>
  <c r="Y29"/>
  <c r="AB29"/>
  <c r="AC29"/>
  <c r="AD29"/>
  <c r="AE29"/>
  <c r="E30"/>
  <c r="H30"/>
  <c r="K30"/>
  <c r="N30"/>
  <c r="S30"/>
  <c r="V30"/>
  <c r="Y30"/>
  <c r="AB30"/>
  <c r="AC30"/>
  <c r="AD30"/>
  <c r="AE30" s="1"/>
  <c r="E31"/>
  <c r="H31"/>
  <c r="K31"/>
  <c r="N31"/>
  <c r="S31"/>
  <c r="V31"/>
  <c r="Y31"/>
  <c r="AB31"/>
  <c r="AC31"/>
  <c r="AD31"/>
  <c r="AE31" s="1"/>
  <c r="C32"/>
  <c r="D32"/>
  <c r="F32"/>
  <c r="G32"/>
  <c r="H32"/>
  <c r="I32"/>
  <c r="J32"/>
  <c r="K32" s="1"/>
  <c r="L32"/>
  <c r="M32"/>
  <c r="N32" s="1"/>
  <c r="Q32"/>
  <c r="R32"/>
  <c r="T32"/>
  <c r="U32"/>
  <c r="V32"/>
  <c r="W32"/>
  <c r="X32"/>
  <c r="Y32" s="1"/>
  <c r="Z32"/>
  <c r="AA32"/>
  <c r="AB32" s="1"/>
  <c r="E33"/>
  <c r="H33"/>
  <c r="K33"/>
  <c r="N33"/>
  <c r="S33"/>
  <c r="V33"/>
  <c r="Y33"/>
  <c r="AB33"/>
  <c r="AC33"/>
  <c r="AD33"/>
  <c r="E34"/>
  <c r="H34"/>
  <c r="K34"/>
  <c r="N34"/>
  <c r="S34"/>
  <c r="V34"/>
  <c r="Y34"/>
  <c r="AB34"/>
  <c r="AC34"/>
  <c r="AD34"/>
  <c r="AE34"/>
  <c r="E35"/>
  <c r="H35"/>
  <c r="K35"/>
  <c r="N35"/>
  <c r="S35"/>
  <c r="V35"/>
  <c r="Y35"/>
  <c r="AB35"/>
  <c r="AC35"/>
  <c r="AD35"/>
  <c r="AE35" s="1"/>
  <c r="E36"/>
  <c r="H36"/>
  <c r="K36"/>
  <c r="N36"/>
  <c r="S36"/>
  <c r="V36"/>
  <c r="Y36"/>
  <c r="AB36"/>
  <c r="AC36"/>
  <c r="AD36"/>
  <c r="AE36" s="1"/>
  <c r="E37"/>
  <c r="H37"/>
  <c r="K37"/>
  <c r="N37"/>
  <c r="S37"/>
  <c r="V37"/>
  <c r="Y37"/>
  <c r="AB37"/>
  <c r="AC37"/>
  <c r="AD37"/>
  <c r="C38"/>
  <c r="AC38" s="1"/>
  <c r="D38"/>
  <c r="E38"/>
  <c r="F38"/>
  <c r="G38"/>
  <c r="H38" s="1"/>
  <c r="I38"/>
  <c r="J38"/>
  <c r="K38" s="1"/>
  <c r="L38"/>
  <c r="M38"/>
  <c r="Q38"/>
  <c r="R38"/>
  <c r="S38"/>
  <c r="T38"/>
  <c r="U38"/>
  <c r="V38" s="1"/>
  <c r="W38"/>
  <c r="X38"/>
  <c r="Y38" s="1"/>
  <c r="Z38"/>
  <c r="AA38"/>
  <c r="AB38"/>
  <c r="AD38"/>
  <c r="G7" i="140"/>
  <c r="G9"/>
  <c r="G15" s="1"/>
  <c r="G10"/>
  <c r="G11"/>
  <c r="G12"/>
  <c r="G13"/>
  <c r="D15"/>
  <c r="E7" s="1"/>
  <c r="A2" i="19"/>
  <c r="B7"/>
  <c r="C7"/>
  <c r="E7"/>
  <c r="F7"/>
  <c r="D8"/>
  <c r="G8"/>
  <c r="D9"/>
  <c r="G9"/>
  <c r="D10"/>
  <c r="G10"/>
  <c r="D11"/>
  <c r="D7" s="1"/>
  <c r="G11"/>
  <c r="B12"/>
  <c r="C12"/>
  <c r="E12"/>
  <c r="F12"/>
  <c r="D13"/>
  <c r="G13"/>
  <c r="D14"/>
  <c r="G14"/>
  <c r="D15"/>
  <c r="G15"/>
  <c r="D16"/>
  <c r="G16"/>
  <c r="D17"/>
  <c r="G17"/>
  <c r="D18"/>
  <c r="G18"/>
  <c r="D19"/>
  <c r="G19"/>
  <c r="D20"/>
  <c r="G20"/>
  <c r="D21"/>
  <c r="G21"/>
  <c r="B22"/>
  <c r="C22"/>
  <c r="E22"/>
  <c r="F22"/>
  <c r="D23"/>
  <c r="G23"/>
  <c r="D24"/>
  <c r="G24"/>
  <c r="D25"/>
  <c r="G25"/>
  <c r="D26"/>
  <c r="G26"/>
  <c r="D27"/>
  <c r="G27"/>
  <c r="D28"/>
  <c r="G28"/>
  <c r="D29"/>
  <c r="G29"/>
  <c r="D30"/>
  <c r="G30"/>
  <c r="D31"/>
  <c r="G31"/>
  <c r="B32"/>
  <c r="C32"/>
  <c r="C39" s="1"/>
  <c r="E32"/>
  <c r="F32"/>
  <c r="G32" s="1"/>
  <c r="D33"/>
  <c r="G33"/>
  <c r="D34"/>
  <c r="G34"/>
  <c r="D35"/>
  <c r="G35"/>
  <c r="D36"/>
  <c r="G36"/>
  <c r="D37"/>
  <c r="G37"/>
  <c r="B39"/>
  <c r="E39"/>
  <c r="D40"/>
  <c r="G40"/>
  <c r="D41"/>
  <c r="A2" i="18"/>
  <c r="F10"/>
  <c r="F11"/>
  <c r="D12"/>
  <c r="E12"/>
  <c r="F14"/>
  <c r="F15"/>
  <c r="D16"/>
  <c r="E16"/>
  <c r="F18"/>
  <c r="F19"/>
  <c r="D20"/>
  <c r="E20"/>
  <c r="D22"/>
  <c r="E22"/>
  <c r="D23"/>
  <c r="E23"/>
  <c r="D24"/>
  <c r="E24"/>
  <c r="F31"/>
  <c r="F32"/>
  <c r="D33"/>
  <c r="E33"/>
  <c r="F35"/>
  <c r="F36"/>
  <c r="D37"/>
  <c r="E37"/>
  <c r="F39"/>
  <c r="F40"/>
  <c r="D41"/>
  <c r="E41"/>
  <c r="F43"/>
  <c r="F44"/>
  <c r="D45"/>
  <c r="E45"/>
  <c r="D47"/>
  <c r="D49" s="1"/>
  <c r="E47"/>
  <c r="F47"/>
  <c r="D48"/>
  <c r="E48"/>
  <c r="F48" s="1"/>
  <c r="B2" i="17"/>
  <c r="B8"/>
  <c r="H12" i="100"/>
  <c r="C8" i="17"/>
  <c r="E8"/>
  <c r="F8" s="1"/>
  <c r="G8"/>
  <c r="H8" s="1"/>
  <c r="I8"/>
  <c r="J8" s="1"/>
  <c r="K8"/>
  <c r="L8" s="1"/>
  <c r="M8"/>
  <c r="O8"/>
  <c r="Q8"/>
  <c r="F9"/>
  <c r="H9"/>
  <c r="J9"/>
  <c r="L9"/>
  <c r="S9"/>
  <c r="D9"/>
  <c r="F10"/>
  <c r="H10"/>
  <c r="J10"/>
  <c r="L10"/>
  <c r="S10"/>
  <c r="R10"/>
  <c r="F11"/>
  <c r="H11"/>
  <c r="J11"/>
  <c r="L11"/>
  <c r="S11"/>
  <c r="D11"/>
  <c r="F12"/>
  <c r="H12"/>
  <c r="J12"/>
  <c r="L12"/>
  <c r="S12"/>
  <c r="R12"/>
  <c r="C13"/>
  <c r="E13"/>
  <c r="F13" s="1"/>
  <c r="G13"/>
  <c r="H13" s="1"/>
  <c r="I13"/>
  <c r="J13" s="1"/>
  <c r="K13"/>
  <c r="L13" s="1"/>
  <c r="M13"/>
  <c r="O13"/>
  <c r="Q13"/>
  <c r="F14"/>
  <c r="H14"/>
  <c r="J14"/>
  <c r="L14"/>
  <c r="S14"/>
  <c r="R14"/>
  <c r="F15"/>
  <c r="H15"/>
  <c r="J15"/>
  <c r="L15"/>
  <c r="S15"/>
  <c r="F16"/>
  <c r="H16"/>
  <c r="J16"/>
  <c r="L16"/>
  <c r="S16"/>
  <c r="R16" s="1"/>
  <c r="F17"/>
  <c r="H17"/>
  <c r="J17"/>
  <c r="L17"/>
  <c r="S17"/>
  <c r="D17" s="1"/>
  <c r="F18"/>
  <c r="H18"/>
  <c r="J18"/>
  <c r="L18"/>
  <c r="S18"/>
  <c r="R18" s="1"/>
  <c r="F19"/>
  <c r="H19"/>
  <c r="J19"/>
  <c r="L19"/>
  <c r="S19"/>
  <c r="D19" s="1"/>
  <c r="F20"/>
  <c r="H20"/>
  <c r="J20"/>
  <c r="L20"/>
  <c r="S20"/>
  <c r="R20" s="1"/>
  <c r="F21"/>
  <c r="H21"/>
  <c r="J21"/>
  <c r="L21"/>
  <c r="S21"/>
  <c r="D21" s="1"/>
  <c r="F22"/>
  <c r="H22"/>
  <c r="J22"/>
  <c r="L22"/>
  <c r="S22"/>
  <c r="R22" s="1"/>
  <c r="C30"/>
  <c r="E30"/>
  <c r="F30" s="1"/>
  <c r="G30"/>
  <c r="H30" s="1"/>
  <c r="I30"/>
  <c r="J30" s="1"/>
  <c r="K30"/>
  <c r="L30" s="1"/>
  <c r="M30"/>
  <c r="O30"/>
  <c r="Q30"/>
  <c r="F31"/>
  <c r="H31"/>
  <c r="J31"/>
  <c r="L31"/>
  <c r="S31"/>
  <c r="R31" s="1"/>
  <c r="F32"/>
  <c r="H32"/>
  <c r="J32"/>
  <c r="L32"/>
  <c r="S32"/>
  <c r="F33"/>
  <c r="H33"/>
  <c r="J33"/>
  <c r="L33"/>
  <c r="S33"/>
  <c r="R33" s="1"/>
  <c r="D33"/>
  <c r="F34"/>
  <c r="H34"/>
  <c r="J34"/>
  <c r="L34"/>
  <c r="S34"/>
  <c r="F35"/>
  <c r="H35"/>
  <c r="J35"/>
  <c r="L35"/>
  <c r="S35"/>
  <c r="R35" s="1"/>
  <c r="F36"/>
  <c r="H36"/>
  <c r="J36"/>
  <c r="L36"/>
  <c r="S36"/>
  <c r="F37"/>
  <c r="H37"/>
  <c r="J37"/>
  <c r="L37"/>
  <c r="S37"/>
  <c r="R37" s="1"/>
  <c r="F38"/>
  <c r="H38"/>
  <c r="J38"/>
  <c r="L38"/>
  <c r="S38"/>
  <c r="F39"/>
  <c r="H39"/>
  <c r="J39"/>
  <c r="L39"/>
  <c r="S39"/>
  <c r="R39" s="1"/>
  <c r="C40"/>
  <c r="C46" s="1"/>
  <c r="E40"/>
  <c r="F40"/>
  <c r="G40"/>
  <c r="H40"/>
  <c r="I40"/>
  <c r="J40"/>
  <c r="K40"/>
  <c r="L40"/>
  <c r="M40"/>
  <c r="O40"/>
  <c r="O46" s="1"/>
  <c r="Q40"/>
  <c r="F41"/>
  <c r="H41"/>
  <c r="J41"/>
  <c r="L41"/>
  <c r="S41"/>
  <c r="D41" s="1"/>
  <c r="F42"/>
  <c r="H42"/>
  <c r="J42"/>
  <c r="L42"/>
  <c r="S42"/>
  <c r="R42" s="1"/>
  <c r="F43"/>
  <c r="H43"/>
  <c r="J43"/>
  <c r="L43"/>
  <c r="S43"/>
  <c r="D43" s="1"/>
  <c r="F44"/>
  <c r="H44"/>
  <c r="J44"/>
  <c r="L44"/>
  <c r="S44"/>
  <c r="R44" s="1"/>
  <c r="F45"/>
  <c r="H45"/>
  <c r="J45"/>
  <c r="L45"/>
  <c r="S45"/>
  <c r="D45" s="1"/>
  <c r="E46"/>
  <c r="G46"/>
  <c r="H46" s="1"/>
  <c r="I46"/>
  <c r="K46"/>
  <c r="L46" s="1"/>
  <c r="M46"/>
  <c r="Q46"/>
  <c r="A2" i="16"/>
  <c r="C7"/>
  <c r="D7"/>
  <c r="E8"/>
  <c r="G8" s="1"/>
  <c r="E9"/>
  <c r="F9" s="1"/>
  <c r="G9"/>
  <c r="C10"/>
  <c r="D10"/>
  <c r="E11"/>
  <c r="F11" s="1"/>
  <c r="G11"/>
  <c r="E12"/>
  <c r="E13"/>
  <c r="F13" s="1"/>
  <c r="E14"/>
  <c r="F14" s="1"/>
  <c r="G14"/>
  <c r="E15"/>
  <c r="F15" s="1"/>
  <c r="G15"/>
  <c r="E16"/>
  <c r="F16"/>
  <c r="G16"/>
  <c r="E17"/>
  <c r="F17" s="1"/>
  <c r="E18"/>
  <c r="F18" s="1"/>
  <c r="G18"/>
  <c r="E19"/>
  <c r="F19" s="1"/>
  <c r="G19"/>
  <c r="E20"/>
  <c r="F20"/>
  <c r="G20"/>
  <c r="E21"/>
  <c r="F21" s="1"/>
  <c r="E22"/>
  <c r="F22" s="1"/>
  <c r="G22"/>
  <c r="E23"/>
  <c r="F23" s="1"/>
  <c r="G23"/>
  <c r="E24"/>
  <c r="F24"/>
  <c r="G24"/>
  <c r="E25"/>
  <c r="F25" s="1"/>
  <c r="E26"/>
  <c r="F26" s="1"/>
  <c r="G26"/>
  <c r="E27"/>
  <c r="F27" s="1"/>
  <c r="G27"/>
  <c r="E28"/>
  <c r="F28"/>
  <c r="G28"/>
  <c r="C35"/>
  <c r="D35"/>
  <c r="E36"/>
  <c r="E37"/>
  <c r="F37"/>
  <c r="G37"/>
  <c r="E38"/>
  <c r="F38" s="1"/>
  <c r="E39"/>
  <c r="F39" s="1"/>
  <c r="G39"/>
  <c r="E40"/>
  <c r="F40" s="1"/>
  <c r="G40"/>
  <c r="E41"/>
  <c r="F41"/>
  <c r="G41"/>
  <c r="E42"/>
  <c r="F42" s="1"/>
  <c r="E43"/>
  <c r="F43" s="1"/>
  <c r="G43"/>
  <c r="E44"/>
  <c r="F44" s="1"/>
  <c r="G44"/>
  <c r="E45"/>
  <c r="F45"/>
  <c r="G45"/>
  <c r="E46"/>
  <c r="F46" s="1"/>
  <c r="E47"/>
  <c r="F47" s="1"/>
  <c r="G47"/>
  <c r="E48"/>
  <c r="F48" s="1"/>
  <c r="G48"/>
  <c r="E49"/>
  <c r="F49"/>
  <c r="G49"/>
  <c r="E50"/>
  <c r="F50" s="1"/>
  <c r="E51"/>
  <c r="F51" s="1"/>
  <c r="G51"/>
  <c r="E52"/>
  <c r="F52" s="1"/>
  <c r="G52"/>
  <c r="E53"/>
  <c r="F53"/>
  <c r="G53"/>
  <c r="E54"/>
  <c r="F54" s="1"/>
  <c r="E55"/>
  <c r="F55" s="1"/>
  <c r="G55"/>
  <c r="E56"/>
  <c r="F56" s="1"/>
  <c r="G56"/>
  <c r="E57"/>
  <c r="F57"/>
  <c r="G57"/>
  <c r="E58"/>
  <c r="F58" s="1"/>
  <c r="E59"/>
  <c r="F59" s="1"/>
  <c r="G59"/>
  <c r="E60"/>
  <c r="F60" s="1"/>
  <c r="G60"/>
  <c r="E61"/>
  <c r="F61"/>
  <c r="G61"/>
  <c r="E62"/>
  <c r="F62" s="1"/>
  <c r="E63"/>
  <c r="F63" s="1"/>
  <c r="G63"/>
  <c r="E64"/>
  <c r="F64" s="1"/>
  <c r="G64"/>
  <c r="E65"/>
  <c r="F65"/>
  <c r="G65"/>
  <c r="E66"/>
  <c r="F66" s="1"/>
  <c r="E67"/>
  <c r="F67" s="1"/>
  <c r="G67"/>
  <c r="E68"/>
  <c r="F68" s="1"/>
  <c r="G68"/>
  <c r="C75"/>
  <c r="D75"/>
  <c r="D93" s="1"/>
  <c r="E76"/>
  <c r="E77"/>
  <c r="F77" s="1"/>
  <c r="E78"/>
  <c r="F78" s="1"/>
  <c r="G78"/>
  <c r="E79"/>
  <c r="F79" s="1"/>
  <c r="G79"/>
  <c r="E80"/>
  <c r="F80"/>
  <c r="G80"/>
  <c r="E81"/>
  <c r="F81" s="1"/>
  <c r="E82"/>
  <c r="F82" s="1"/>
  <c r="G82"/>
  <c r="E83"/>
  <c r="F83" s="1"/>
  <c r="G83"/>
  <c r="E84"/>
  <c r="F84"/>
  <c r="G84"/>
  <c r="E85"/>
  <c r="F85" s="1"/>
  <c r="E86"/>
  <c r="F86" s="1"/>
  <c r="G86"/>
  <c r="E87"/>
  <c r="F87" s="1"/>
  <c r="G87"/>
  <c r="E88"/>
  <c r="F88"/>
  <c r="G88"/>
  <c r="E89"/>
  <c r="F89" s="1"/>
  <c r="E90"/>
  <c r="F90" s="1"/>
  <c r="G90"/>
  <c r="E91"/>
  <c r="F91" s="1"/>
  <c r="G91"/>
  <c r="E92"/>
  <c r="F92"/>
  <c r="G92"/>
  <c r="C93"/>
  <c r="B2" i="131"/>
  <c r="G8"/>
  <c r="M8"/>
  <c r="O8"/>
  <c r="Q8"/>
  <c r="S8"/>
  <c r="G9"/>
  <c r="M9"/>
  <c r="O9"/>
  <c r="Q9"/>
  <c r="S9" s="1"/>
  <c r="G10"/>
  <c r="M10"/>
  <c r="O10"/>
  <c r="Q10"/>
  <c r="G11"/>
  <c r="M11"/>
  <c r="O11"/>
  <c r="Q11"/>
  <c r="S11"/>
  <c r="G12"/>
  <c r="M12"/>
  <c r="O12"/>
  <c r="Q12"/>
  <c r="S12" s="1"/>
  <c r="G13"/>
  <c r="M13"/>
  <c r="O13"/>
  <c r="Q13"/>
  <c r="S13" s="1"/>
  <c r="G14"/>
  <c r="M14"/>
  <c r="O14"/>
  <c r="Q14"/>
  <c r="G15"/>
  <c r="M15"/>
  <c r="O15"/>
  <c r="Q15"/>
  <c r="S15"/>
  <c r="G16"/>
  <c r="M16"/>
  <c r="O16"/>
  <c r="Q16"/>
  <c r="S16" s="1"/>
  <c r="G17"/>
  <c r="M17"/>
  <c r="O17"/>
  <c r="Q17"/>
  <c r="S17" s="1"/>
  <c r="G18"/>
  <c r="M18"/>
  <c r="O18"/>
  <c r="Q18"/>
  <c r="S18"/>
  <c r="G19"/>
  <c r="M19"/>
  <c r="O19"/>
  <c r="Q19"/>
  <c r="S19" s="1"/>
  <c r="G20"/>
  <c r="M20"/>
  <c r="O20"/>
  <c r="Q20"/>
  <c r="S20"/>
  <c r="G21"/>
  <c r="M21"/>
  <c r="O21"/>
  <c r="Q21"/>
  <c r="S21" s="1"/>
  <c r="G22"/>
  <c r="M22"/>
  <c r="O22"/>
  <c r="Q22"/>
  <c r="S22"/>
  <c r="G23"/>
  <c r="M23"/>
  <c r="O23"/>
  <c r="Q23"/>
  <c r="S23" s="1"/>
  <c r="G24"/>
  <c r="M24"/>
  <c r="O24"/>
  <c r="Q24"/>
  <c r="S24"/>
  <c r="G25"/>
  <c r="M25"/>
  <c r="O25"/>
  <c r="Q25"/>
  <c r="S25" s="1"/>
  <c r="C26"/>
  <c r="D8" s="1"/>
  <c r="E26"/>
  <c r="F18" s="1"/>
  <c r="F8"/>
  <c r="I26"/>
  <c r="J8" s="1"/>
  <c r="K26"/>
  <c r="L8" s="1"/>
  <c r="B2" i="148"/>
  <c r="G8"/>
  <c r="G26" s="1"/>
  <c r="H15" s="1"/>
  <c r="M8"/>
  <c r="O8"/>
  <c r="Q8"/>
  <c r="G9"/>
  <c r="M9"/>
  <c r="O9"/>
  <c r="Q9"/>
  <c r="S9"/>
  <c r="G10"/>
  <c r="M10"/>
  <c r="O10"/>
  <c r="Q10"/>
  <c r="S10" s="1"/>
  <c r="G11"/>
  <c r="M11"/>
  <c r="O11"/>
  <c r="Q11"/>
  <c r="S11" s="1"/>
  <c r="G12"/>
  <c r="M12"/>
  <c r="O12"/>
  <c r="Q12"/>
  <c r="G13"/>
  <c r="M13"/>
  <c r="O13"/>
  <c r="Q13"/>
  <c r="G14"/>
  <c r="M14"/>
  <c r="O14"/>
  <c r="Q14"/>
  <c r="S14"/>
  <c r="G15"/>
  <c r="M15"/>
  <c r="O15"/>
  <c r="Q15"/>
  <c r="G16"/>
  <c r="M16"/>
  <c r="O16"/>
  <c r="Q16"/>
  <c r="S16" s="1"/>
  <c r="G17"/>
  <c r="M17"/>
  <c r="O17"/>
  <c r="Q17"/>
  <c r="G18"/>
  <c r="M18"/>
  <c r="O18"/>
  <c r="Q18"/>
  <c r="S18"/>
  <c r="G19"/>
  <c r="M19"/>
  <c r="O19"/>
  <c r="Q19"/>
  <c r="G20"/>
  <c r="M20"/>
  <c r="O20"/>
  <c r="Q20"/>
  <c r="S20" s="1"/>
  <c r="G21"/>
  <c r="M21"/>
  <c r="O21"/>
  <c r="Q21"/>
  <c r="G22"/>
  <c r="M22"/>
  <c r="O22"/>
  <c r="Q22"/>
  <c r="S22"/>
  <c r="G23"/>
  <c r="M23"/>
  <c r="O23"/>
  <c r="Q23"/>
  <c r="G24"/>
  <c r="M24"/>
  <c r="O24"/>
  <c r="Q24"/>
  <c r="S24" s="1"/>
  <c r="G25"/>
  <c r="M25"/>
  <c r="O25"/>
  <c r="Q25"/>
  <c r="C26"/>
  <c r="D8" s="1"/>
  <c r="E26"/>
  <c r="F8"/>
  <c r="I26"/>
  <c r="J8" s="1"/>
  <c r="K26"/>
  <c r="L8" s="1"/>
  <c r="L26" s="1"/>
  <c r="B2" i="147"/>
  <c r="C7"/>
  <c r="D7"/>
  <c r="F7"/>
  <c r="G7"/>
  <c r="E8"/>
  <c r="H8"/>
  <c r="I8"/>
  <c r="J8"/>
  <c r="K8" s="1"/>
  <c r="E9"/>
  <c r="H9"/>
  <c r="I9"/>
  <c r="J9"/>
  <c r="E10"/>
  <c r="H10"/>
  <c r="I10"/>
  <c r="J10"/>
  <c r="E11"/>
  <c r="H11"/>
  <c r="I11"/>
  <c r="J11"/>
  <c r="K11" s="1"/>
  <c r="C12"/>
  <c r="D12"/>
  <c r="F12"/>
  <c r="G12"/>
  <c r="E13"/>
  <c r="H13"/>
  <c r="I13"/>
  <c r="J13"/>
  <c r="E14"/>
  <c r="H14"/>
  <c r="I14"/>
  <c r="K14" s="1"/>
  <c r="J14"/>
  <c r="E15"/>
  <c r="H15"/>
  <c r="I15"/>
  <c r="J15"/>
  <c r="K15" s="1"/>
  <c r="E16"/>
  <c r="H16"/>
  <c r="I16"/>
  <c r="J16"/>
  <c r="E17"/>
  <c r="H17"/>
  <c r="I17"/>
  <c r="J17"/>
  <c r="K17"/>
  <c r="E18"/>
  <c r="H18"/>
  <c r="I18"/>
  <c r="J18"/>
  <c r="K18" s="1"/>
  <c r="E19"/>
  <c r="H19"/>
  <c r="I19"/>
  <c r="J19"/>
  <c r="K19" s="1"/>
  <c r="E20"/>
  <c r="H20"/>
  <c r="I20"/>
  <c r="J20"/>
  <c r="E21"/>
  <c r="H21"/>
  <c r="I21"/>
  <c r="J21"/>
  <c r="K21"/>
  <c r="C22"/>
  <c r="D22"/>
  <c r="F22"/>
  <c r="G22"/>
  <c r="G38" s="1"/>
  <c r="E23"/>
  <c r="H23"/>
  <c r="I23"/>
  <c r="J23"/>
  <c r="E24"/>
  <c r="H24"/>
  <c r="I24"/>
  <c r="K24"/>
  <c r="J24"/>
  <c r="E25"/>
  <c r="H25"/>
  <c r="I25"/>
  <c r="J25"/>
  <c r="K25"/>
  <c r="E26"/>
  <c r="H26"/>
  <c r="I26"/>
  <c r="J26"/>
  <c r="E27"/>
  <c r="H27"/>
  <c r="I27"/>
  <c r="J27"/>
  <c r="K27" s="1"/>
  <c r="E28"/>
  <c r="H28"/>
  <c r="I28"/>
  <c r="J28"/>
  <c r="E29"/>
  <c r="H29"/>
  <c r="I29"/>
  <c r="J29"/>
  <c r="K29"/>
  <c r="E30"/>
  <c r="H30"/>
  <c r="I30"/>
  <c r="J30"/>
  <c r="K30" s="1"/>
  <c r="E31"/>
  <c r="H31"/>
  <c r="I31"/>
  <c r="J31"/>
  <c r="K31" s="1"/>
  <c r="C32"/>
  <c r="D32"/>
  <c r="F32"/>
  <c r="F38" s="1"/>
  <c r="G32"/>
  <c r="E33"/>
  <c r="H33"/>
  <c r="I33"/>
  <c r="J33"/>
  <c r="E34"/>
  <c r="H34"/>
  <c r="I34"/>
  <c r="J34"/>
  <c r="E35"/>
  <c r="E32" s="1"/>
  <c r="H35"/>
  <c r="I35"/>
  <c r="J35"/>
  <c r="K35"/>
  <c r="E36"/>
  <c r="H36"/>
  <c r="I36"/>
  <c r="J36"/>
  <c r="K36" s="1"/>
  <c r="E37"/>
  <c r="H37"/>
  <c r="I37"/>
  <c r="J37"/>
  <c r="K37" s="1"/>
  <c r="C38"/>
  <c r="B2" i="112"/>
  <c r="C7"/>
  <c r="D7"/>
  <c r="F7"/>
  <c r="G7"/>
  <c r="H7" s="1"/>
  <c r="E8"/>
  <c r="H8"/>
  <c r="K8"/>
  <c r="I8"/>
  <c r="J8"/>
  <c r="E9"/>
  <c r="H9"/>
  <c r="I9"/>
  <c r="J9"/>
  <c r="K9" s="1"/>
  <c r="E10"/>
  <c r="H10"/>
  <c r="I10"/>
  <c r="J10"/>
  <c r="K10" s="1"/>
  <c r="E11"/>
  <c r="H11"/>
  <c r="I11"/>
  <c r="J11"/>
  <c r="C12"/>
  <c r="D12"/>
  <c r="F12"/>
  <c r="G12"/>
  <c r="E13"/>
  <c r="H13"/>
  <c r="I13"/>
  <c r="J13"/>
  <c r="K13"/>
  <c r="E14"/>
  <c r="H14"/>
  <c r="I14"/>
  <c r="J14"/>
  <c r="E15"/>
  <c r="H15"/>
  <c r="I15"/>
  <c r="J15"/>
  <c r="E16"/>
  <c r="H16"/>
  <c r="I16"/>
  <c r="J16"/>
  <c r="K16" s="1"/>
  <c r="E17"/>
  <c r="H17"/>
  <c r="I17"/>
  <c r="J17"/>
  <c r="E18"/>
  <c r="H18"/>
  <c r="I18"/>
  <c r="J18"/>
  <c r="K18"/>
  <c r="E19"/>
  <c r="H19"/>
  <c r="I19"/>
  <c r="J19"/>
  <c r="K19" s="1"/>
  <c r="E20"/>
  <c r="H20"/>
  <c r="I20"/>
  <c r="J20"/>
  <c r="K20" s="1"/>
  <c r="E21"/>
  <c r="J21"/>
  <c r="K21"/>
  <c r="C22"/>
  <c r="D22"/>
  <c r="E22" s="1"/>
  <c r="F22"/>
  <c r="H22" s="1"/>
  <c r="G22"/>
  <c r="E23"/>
  <c r="H23"/>
  <c r="I23"/>
  <c r="J23"/>
  <c r="K23"/>
  <c r="E24"/>
  <c r="H24"/>
  <c r="I24"/>
  <c r="J24"/>
  <c r="K24" s="1"/>
  <c r="E25"/>
  <c r="H25"/>
  <c r="I25"/>
  <c r="J25"/>
  <c r="K25" s="1"/>
  <c r="E26"/>
  <c r="H26"/>
  <c r="I26"/>
  <c r="J26"/>
  <c r="E27"/>
  <c r="H27"/>
  <c r="I27"/>
  <c r="J27"/>
  <c r="K27"/>
  <c r="E28"/>
  <c r="H28"/>
  <c r="I28"/>
  <c r="J28"/>
  <c r="K28" s="1"/>
  <c r="E29"/>
  <c r="H29"/>
  <c r="I29"/>
  <c r="J29"/>
  <c r="K29" s="1"/>
  <c r="E30"/>
  <c r="H30"/>
  <c r="I30"/>
  <c r="J30"/>
  <c r="K30" s="1"/>
  <c r="E31"/>
  <c r="H31"/>
  <c r="I31"/>
  <c r="J31"/>
  <c r="C32"/>
  <c r="C38" s="1"/>
  <c r="D32"/>
  <c r="E32"/>
  <c r="F32"/>
  <c r="I32"/>
  <c r="G32"/>
  <c r="J32"/>
  <c r="E33"/>
  <c r="H33"/>
  <c r="I33"/>
  <c r="J33"/>
  <c r="K33" s="1"/>
  <c r="E34"/>
  <c r="H34"/>
  <c r="I34"/>
  <c r="J34"/>
  <c r="K34" s="1"/>
  <c r="E35"/>
  <c r="H35"/>
  <c r="I35"/>
  <c r="J35"/>
  <c r="E36"/>
  <c r="H36"/>
  <c r="I36"/>
  <c r="J36"/>
  <c r="K36"/>
  <c r="E37"/>
  <c r="H37"/>
  <c r="I37"/>
  <c r="J37"/>
  <c r="K37" s="1"/>
  <c r="B2" i="10"/>
  <c r="D9"/>
  <c r="F9"/>
  <c r="G9" s="1"/>
  <c r="I9"/>
  <c r="J9" s="1"/>
  <c r="D10"/>
  <c r="F10"/>
  <c r="G10" s="1"/>
  <c r="I10"/>
  <c r="J10" s="1"/>
  <c r="D11"/>
  <c r="F11"/>
  <c r="G11" s="1"/>
  <c r="I11"/>
  <c r="J11" s="1"/>
  <c r="D12"/>
  <c r="F12"/>
  <c r="G12" s="1"/>
  <c r="I12"/>
  <c r="J12" s="1"/>
  <c r="D13"/>
  <c r="F13"/>
  <c r="G13" s="1"/>
  <c r="I13"/>
  <c r="J13" s="1"/>
  <c r="D14"/>
  <c r="F14"/>
  <c r="G14" s="1"/>
  <c r="I14"/>
  <c r="J14" s="1"/>
  <c r="D15"/>
  <c r="F15"/>
  <c r="G15" s="1"/>
  <c r="I15"/>
  <c r="J15" s="1"/>
  <c r="D16"/>
  <c r="F16"/>
  <c r="G16" s="1"/>
  <c r="I16"/>
  <c r="J16" s="1"/>
  <c r="D17"/>
  <c r="F17"/>
  <c r="G17" s="1"/>
  <c r="I17"/>
  <c r="J17" s="1"/>
  <c r="D18"/>
  <c r="F18"/>
  <c r="G18" s="1"/>
  <c r="I18"/>
  <c r="J18" s="1"/>
  <c r="D19"/>
  <c r="F19"/>
  <c r="G19" s="1"/>
  <c r="I19"/>
  <c r="J19" s="1"/>
  <c r="D20"/>
  <c r="F20"/>
  <c r="G20" s="1"/>
  <c r="I20"/>
  <c r="J20" s="1"/>
  <c r="B2" i="9"/>
  <c r="C5"/>
  <c r="D5"/>
  <c r="E6"/>
  <c r="E7"/>
  <c r="E8"/>
  <c r="E9"/>
  <c r="C10"/>
  <c r="D10"/>
  <c r="E10"/>
  <c r="E11"/>
  <c r="E12"/>
  <c r="E13"/>
  <c r="E14"/>
  <c r="E15"/>
  <c r="E16"/>
  <c r="E17"/>
  <c r="E18"/>
  <c r="E19"/>
  <c r="C20"/>
  <c r="D20"/>
  <c r="E20"/>
  <c r="E21"/>
  <c r="E22"/>
  <c r="E23"/>
  <c r="E24"/>
  <c r="E25"/>
  <c r="E26"/>
  <c r="E27"/>
  <c r="E28"/>
  <c r="E29"/>
  <c r="C30"/>
  <c r="D30"/>
  <c r="E30"/>
  <c r="E31"/>
  <c r="E32"/>
  <c r="E33"/>
  <c r="E34"/>
  <c r="E35"/>
  <c r="B2" i="7"/>
  <c r="G15"/>
  <c r="G16"/>
  <c r="B20"/>
  <c r="A2" i="6"/>
  <c r="D8"/>
  <c r="E8"/>
  <c r="F8"/>
  <c r="G8"/>
  <c r="H8"/>
  <c r="I8"/>
  <c r="J8"/>
  <c r="K8"/>
  <c r="L8"/>
  <c r="M8"/>
  <c r="N8"/>
  <c r="O8"/>
  <c r="P8"/>
  <c r="Q8"/>
  <c r="R9"/>
  <c r="R10"/>
  <c r="R11"/>
  <c r="R12"/>
  <c r="D13"/>
  <c r="E13"/>
  <c r="F13"/>
  <c r="G13"/>
  <c r="H13"/>
  <c r="I13"/>
  <c r="I41" s="1"/>
  <c r="J13"/>
  <c r="K13"/>
  <c r="L13"/>
  <c r="M13"/>
  <c r="N13"/>
  <c r="O13"/>
  <c r="P13"/>
  <c r="Q13"/>
  <c r="R14"/>
  <c r="R15"/>
  <c r="R16"/>
  <c r="R17"/>
  <c r="R18"/>
  <c r="R19"/>
  <c r="R22"/>
  <c r="R23"/>
  <c r="R24"/>
  <c r="D25"/>
  <c r="E25"/>
  <c r="F25"/>
  <c r="G25"/>
  <c r="H25"/>
  <c r="I25"/>
  <c r="J25"/>
  <c r="K25"/>
  <c r="L25"/>
  <c r="M25"/>
  <c r="N25"/>
  <c r="O25"/>
  <c r="P25"/>
  <c r="Q25"/>
  <c r="R26"/>
  <c r="R27"/>
  <c r="R28"/>
  <c r="R29"/>
  <c r="R30"/>
  <c r="R31"/>
  <c r="R32"/>
  <c r="R33"/>
  <c r="R34"/>
  <c r="D35"/>
  <c r="E35"/>
  <c r="F35"/>
  <c r="G35"/>
  <c r="G41" s="1"/>
  <c r="D9" i="1" s="1"/>
  <c r="H35" i="6"/>
  <c r="H41" s="1"/>
  <c r="D8" i="1" s="1"/>
  <c r="I35" i="6"/>
  <c r="J35"/>
  <c r="J41" s="1"/>
  <c r="D10" i="1" s="1"/>
  <c r="K35" i="6"/>
  <c r="K41"/>
  <c r="L35"/>
  <c r="L41"/>
  <c r="D11" i="1" s="1"/>
  <c r="M35" i="6"/>
  <c r="N35"/>
  <c r="N41" s="1"/>
  <c r="O35"/>
  <c r="O41" s="1"/>
  <c r="P35"/>
  <c r="P41" s="1"/>
  <c r="Q35"/>
  <c r="R36"/>
  <c r="R37"/>
  <c r="R38"/>
  <c r="R39"/>
  <c r="R40"/>
  <c r="E41"/>
  <c r="Q41"/>
  <c r="B2" i="132"/>
  <c r="C4"/>
  <c r="E4"/>
  <c r="G4"/>
  <c r="I4"/>
  <c r="K4"/>
  <c r="B2" i="4"/>
  <c r="C4"/>
  <c r="E4"/>
  <c r="G4"/>
  <c r="I4"/>
  <c r="K4"/>
  <c r="C19"/>
  <c r="D19"/>
  <c r="E19"/>
  <c r="F19"/>
  <c r="G19"/>
  <c r="H19"/>
  <c r="I19"/>
  <c r="J19"/>
  <c r="K19"/>
  <c r="D27" i="1" s="1"/>
  <c r="L19" i="4"/>
  <c r="B2" i="2"/>
  <c r="B6"/>
  <c r="B10"/>
  <c r="E13"/>
  <c r="F13"/>
  <c r="G13"/>
  <c r="H13"/>
  <c r="I13"/>
  <c r="C13"/>
  <c r="C27"/>
  <c r="I27"/>
  <c r="D26" i="1" s="1"/>
  <c r="A1"/>
  <c r="D5"/>
  <c r="B6"/>
  <c r="D6"/>
  <c r="D7"/>
  <c r="B8"/>
  <c r="B9"/>
  <c r="B10"/>
  <c r="D12"/>
  <c r="D14"/>
  <c r="B17"/>
  <c r="D17"/>
  <c r="D23"/>
  <c r="D24" s="1"/>
  <c r="B26"/>
  <c r="D28"/>
  <c r="B30"/>
  <c r="B33"/>
  <c r="D33"/>
  <c r="D34"/>
  <c r="D35"/>
  <c r="B37"/>
  <c r="B38"/>
  <c r="B40"/>
  <c r="B43"/>
  <c r="D43"/>
  <c r="D44"/>
  <c r="D45"/>
  <c r="D46"/>
  <c r="D47"/>
  <c r="D48"/>
  <c r="B49"/>
  <c r="D49"/>
  <c r="D50"/>
  <c r="D51"/>
  <c r="B61"/>
  <c r="D61"/>
  <c r="B65"/>
  <c r="D65"/>
  <c r="B67"/>
  <c r="D67"/>
  <c r="B69"/>
  <c r="D70"/>
  <c r="D72"/>
  <c r="D74"/>
  <c r="B76"/>
  <c r="D76"/>
  <c r="B78"/>
  <c r="D78"/>
  <c r="D79"/>
  <c r="D80"/>
  <c r="D81"/>
  <c r="D82"/>
  <c r="D85"/>
  <c r="A10" i="124"/>
  <c r="A13"/>
  <c r="H23" i="100"/>
  <c r="H21"/>
  <c r="H19"/>
  <c r="H18"/>
  <c r="H16"/>
  <c r="H15"/>
  <c r="H9"/>
  <c r="H8"/>
  <c r="H7"/>
  <c r="H22"/>
  <c r="H20"/>
  <c r="H17"/>
  <c r="G20" i="114"/>
  <c r="G20" i="45"/>
  <c r="R11" i="62"/>
  <c r="G10" i="77"/>
  <c r="E10"/>
  <c r="C10"/>
  <c r="B10"/>
  <c r="F11" i="24"/>
  <c r="C11"/>
  <c r="B11"/>
  <c r="D38" i="1" s="1"/>
  <c r="L12" i="23"/>
  <c r="D40" i="1" s="1"/>
  <c r="G12" i="23"/>
  <c r="F41" i="6"/>
  <c r="D15" i="1" s="1"/>
  <c r="N38" i="17"/>
  <c r="R38"/>
  <c r="N36"/>
  <c r="R36"/>
  <c r="N34"/>
  <c r="R34"/>
  <c r="G38" i="112"/>
  <c r="K14"/>
  <c r="J7"/>
  <c r="K33" i="147"/>
  <c r="K23"/>
  <c r="K13"/>
  <c r="K9"/>
  <c r="L25" i="148"/>
  <c r="F25"/>
  <c r="L24"/>
  <c r="F24"/>
  <c r="L23"/>
  <c r="F23"/>
  <c r="L22"/>
  <c r="F22"/>
  <c r="L21"/>
  <c r="F21"/>
  <c r="L20"/>
  <c r="F20"/>
  <c r="L19"/>
  <c r="F19"/>
  <c r="L18"/>
  <c r="F18"/>
  <c r="L17"/>
  <c r="F17"/>
  <c r="L16"/>
  <c r="F16"/>
  <c r="L15"/>
  <c r="F15"/>
  <c r="L14"/>
  <c r="F14"/>
  <c r="L13"/>
  <c r="F13"/>
  <c r="L12"/>
  <c r="F12"/>
  <c r="L11"/>
  <c r="F11"/>
  <c r="L10"/>
  <c r="F10"/>
  <c r="L9"/>
  <c r="F9"/>
  <c r="J25" i="131"/>
  <c r="D25"/>
  <c r="J24"/>
  <c r="D24"/>
  <c r="J23"/>
  <c r="D23"/>
  <c r="J22"/>
  <c r="D22"/>
  <c r="J21"/>
  <c r="D21"/>
  <c r="J20"/>
  <c r="D20"/>
  <c r="J19"/>
  <c r="D19"/>
  <c r="J18"/>
  <c r="D18"/>
  <c r="J17"/>
  <c r="D17"/>
  <c r="J16"/>
  <c r="D16"/>
  <c r="J15"/>
  <c r="D15"/>
  <c r="J14"/>
  <c r="D14"/>
  <c r="J13"/>
  <c r="D13"/>
  <c r="J12"/>
  <c r="D12"/>
  <c r="J11"/>
  <c r="D11"/>
  <c r="J10"/>
  <c r="D10"/>
  <c r="J9"/>
  <c r="J26" s="1"/>
  <c r="D9"/>
  <c r="F76" i="16"/>
  <c r="F36"/>
  <c r="F12"/>
  <c r="F8"/>
  <c r="R45" i="17"/>
  <c r="N45"/>
  <c r="P44"/>
  <c r="R43"/>
  <c r="N43"/>
  <c r="P42"/>
  <c r="R41"/>
  <c r="N41"/>
  <c r="S40"/>
  <c r="P40" s="1"/>
  <c r="D38"/>
  <c r="D36"/>
  <c r="D34"/>
  <c r="S30"/>
  <c r="R30" s="1"/>
  <c r="N30"/>
  <c r="H35" i="34"/>
  <c r="F35"/>
  <c r="J25" i="148"/>
  <c r="D25"/>
  <c r="J24"/>
  <c r="D24"/>
  <c r="J23"/>
  <c r="D23"/>
  <c r="J22"/>
  <c r="D22"/>
  <c r="J21"/>
  <c r="D21"/>
  <c r="J20"/>
  <c r="D20"/>
  <c r="J19"/>
  <c r="D19"/>
  <c r="J18"/>
  <c r="D18"/>
  <c r="J17"/>
  <c r="D17"/>
  <c r="J16"/>
  <c r="D16"/>
  <c r="J15"/>
  <c r="D15"/>
  <c r="J14"/>
  <c r="D14"/>
  <c r="J13"/>
  <c r="D13"/>
  <c r="J12"/>
  <c r="D12"/>
  <c r="J11"/>
  <c r="D11"/>
  <c r="J10"/>
  <c r="D10"/>
  <c r="J9"/>
  <c r="D9"/>
  <c r="L17" i="131"/>
  <c r="F17"/>
  <c r="L16"/>
  <c r="F16"/>
  <c r="L15"/>
  <c r="F15"/>
  <c r="L14"/>
  <c r="F14"/>
  <c r="L13"/>
  <c r="F13"/>
  <c r="L12"/>
  <c r="F12"/>
  <c r="L11"/>
  <c r="F11"/>
  <c r="L10"/>
  <c r="F10"/>
  <c r="L9"/>
  <c r="F9"/>
  <c r="P45" i="17"/>
  <c r="P43"/>
  <c r="P41"/>
  <c r="N40"/>
  <c r="P38"/>
  <c r="P36"/>
  <c r="P34"/>
  <c r="P30"/>
  <c r="D30"/>
  <c r="J15" i="141"/>
  <c r="I35" i="34"/>
  <c r="G35"/>
  <c r="P39" i="17"/>
  <c r="P37"/>
  <c r="P35"/>
  <c r="P33"/>
  <c r="R32"/>
  <c r="N32"/>
  <c r="P31"/>
  <c r="P22"/>
  <c r="R21"/>
  <c r="N21"/>
  <c r="P20"/>
  <c r="R19"/>
  <c r="N19"/>
  <c r="P18"/>
  <c r="R17"/>
  <c r="N17"/>
  <c r="P16"/>
  <c r="R15"/>
  <c r="N15"/>
  <c r="P14"/>
  <c r="P12"/>
  <c r="R11"/>
  <c r="N11"/>
  <c r="P10"/>
  <c r="R9"/>
  <c r="N9"/>
  <c r="S8"/>
  <c r="E13" i="140"/>
  <c r="E12"/>
  <c r="E11"/>
  <c r="E10"/>
  <c r="E9"/>
  <c r="O30" i="99"/>
  <c r="K30"/>
  <c r="G30"/>
  <c r="O28"/>
  <c r="K28"/>
  <c r="G28"/>
  <c r="O26"/>
  <c r="K26"/>
  <c r="G26"/>
  <c r="O24"/>
  <c r="K24"/>
  <c r="G24"/>
  <c r="K22"/>
  <c r="G22"/>
  <c r="O20"/>
  <c r="K20"/>
  <c r="G20"/>
  <c r="O18"/>
  <c r="K18"/>
  <c r="G18"/>
  <c r="O16"/>
  <c r="K16"/>
  <c r="G16"/>
  <c r="O14"/>
  <c r="K14"/>
  <c r="G14"/>
  <c r="O12"/>
  <c r="K12"/>
  <c r="G12"/>
  <c r="O10"/>
  <c r="K10"/>
  <c r="G10"/>
  <c r="O8"/>
  <c r="K8"/>
  <c r="G8"/>
  <c r="O6"/>
  <c r="K6"/>
  <c r="G6"/>
  <c r="P32" i="17"/>
  <c r="D32"/>
  <c r="P21"/>
  <c r="P19"/>
  <c r="P17"/>
  <c r="P15"/>
  <c r="D15"/>
  <c r="P11"/>
  <c r="P9"/>
  <c r="E8" i="140"/>
  <c r="E15"/>
  <c r="AE33" i="142"/>
  <c r="AE23"/>
  <c r="K31" i="99"/>
  <c r="Q30"/>
  <c r="M30"/>
  <c r="I30"/>
  <c r="S30" s="1"/>
  <c r="O29"/>
  <c r="K29"/>
  <c r="Q28"/>
  <c r="M28"/>
  <c r="I28"/>
  <c r="K27"/>
  <c r="Q26"/>
  <c r="M26"/>
  <c r="I26"/>
  <c r="K25"/>
  <c r="Q24"/>
  <c r="M24"/>
  <c r="I24"/>
  <c r="S24"/>
  <c r="Q22"/>
  <c r="M22"/>
  <c r="I22"/>
  <c r="K21"/>
  <c r="S21" s="1"/>
  <c r="Q20"/>
  <c r="M20"/>
  <c r="I20"/>
  <c r="O19"/>
  <c r="Q18"/>
  <c r="M18"/>
  <c r="I18"/>
  <c r="O17"/>
  <c r="Q16"/>
  <c r="M16"/>
  <c r="I16"/>
  <c r="K15"/>
  <c r="Q14"/>
  <c r="M14"/>
  <c r="I14"/>
  <c r="O13"/>
  <c r="K13"/>
  <c r="Q12"/>
  <c r="M12"/>
  <c r="I12"/>
  <c r="Q10"/>
  <c r="M10"/>
  <c r="I10"/>
  <c r="O9"/>
  <c r="Q8"/>
  <c r="M8"/>
  <c r="I8"/>
  <c r="O7"/>
  <c r="K7"/>
  <c r="Q6"/>
  <c r="M6"/>
  <c r="I6"/>
  <c r="D8" i="17"/>
  <c r="N8"/>
  <c r="P8"/>
  <c r="R8"/>
  <c r="H10" i="100"/>
  <c r="B11" i="126"/>
  <c r="I10" i="127"/>
  <c r="F42" i="65"/>
  <c r="D69" i="1" s="1"/>
  <c r="G10" i="60"/>
  <c r="K32" i="112"/>
  <c r="D36" i="9"/>
  <c r="F38" i="112"/>
  <c r="H32"/>
  <c r="J22"/>
  <c r="K10" i="147"/>
  <c r="K7" s="1"/>
  <c r="Q26" i="148"/>
  <c r="R25" s="1"/>
  <c r="M26"/>
  <c r="N23" s="1"/>
  <c r="N13"/>
  <c r="H12"/>
  <c r="H10"/>
  <c r="H8"/>
  <c r="G40" i="18"/>
  <c r="G32"/>
  <c r="H13" i="148"/>
  <c r="R12"/>
  <c r="H11"/>
  <c r="N10"/>
  <c r="H9"/>
  <c r="R8"/>
  <c r="G26" i="131"/>
  <c r="G44" i="18"/>
  <c r="G36"/>
  <c r="E7" i="16"/>
  <c r="N44" i="17"/>
  <c r="N42"/>
  <c r="N39"/>
  <c r="N35"/>
  <c r="N31"/>
  <c r="N22"/>
  <c r="N20"/>
  <c r="N18"/>
  <c r="N16"/>
  <c r="N14"/>
  <c r="N12"/>
  <c r="N10"/>
  <c r="I31" i="99"/>
  <c r="I25"/>
  <c r="E23"/>
  <c r="I19"/>
  <c r="I15"/>
  <c r="E11"/>
  <c r="M9"/>
  <c r="I9"/>
  <c r="H11" i="100"/>
  <c r="Q26" i="131"/>
  <c r="F25"/>
  <c r="F24"/>
  <c r="F23"/>
  <c r="F22"/>
  <c r="F21"/>
  <c r="F20"/>
  <c r="F19"/>
  <c r="G76" i="16"/>
  <c r="G36"/>
  <c r="G12"/>
  <c r="D44" i="17"/>
  <c r="D42"/>
  <c r="D39"/>
  <c r="D35"/>
  <c r="D31"/>
  <c r="D22"/>
  <c r="D20"/>
  <c r="D18"/>
  <c r="D16"/>
  <c r="S13"/>
  <c r="D14"/>
  <c r="D12"/>
  <c r="D10"/>
  <c r="E49" i="18"/>
  <c r="F49" s="1"/>
  <c r="G31" i="99"/>
  <c r="Q31"/>
  <c r="M31"/>
  <c r="M29"/>
  <c r="G25"/>
  <c r="G23"/>
  <c r="S23" s="1"/>
  <c r="G19"/>
  <c r="S19"/>
  <c r="Q19"/>
  <c r="G15"/>
  <c r="S15" s="1"/>
  <c r="Q15"/>
  <c r="M13"/>
  <c r="S13" s="1"/>
  <c r="G11"/>
  <c r="M11"/>
  <c r="G9"/>
  <c r="Q9"/>
  <c r="H14" i="100"/>
  <c r="H13"/>
  <c r="H16" i="131"/>
  <c r="H14"/>
  <c r="H12"/>
  <c r="H10"/>
  <c r="H9"/>
  <c r="H8"/>
  <c r="H17"/>
  <c r="H15"/>
  <c r="H13"/>
  <c r="H11"/>
  <c r="F6" i="9"/>
  <c r="D18" i="1"/>
  <c r="D21" s="1"/>
  <c r="E36" i="9"/>
  <c r="D19" i="1" s="1"/>
  <c r="F35" i="9"/>
  <c r="F33"/>
  <c r="F31"/>
  <c r="F30" s="1"/>
  <c r="F28"/>
  <c r="F26"/>
  <c r="F24"/>
  <c r="F22"/>
  <c r="F18"/>
  <c r="F16"/>
  <c r="F14"/>
  <c r="F12"/>
  <c r="F9"/>
  <c r="F7"/>
  <c r="F34"/>
  <c r="F32"/>
  <c r="F29"/>
  <c r="F27"/>
  <c r="F25"/>
  <c r="F23"/>
  <c r="F21"/>
  <c r="F19"/>
  <c r="F17"/>
  <c r="F15"/>
  <c r="F13"/>
  <c r="F11"/>
  <c r="F10" s="1"/>
  <c r="F8"/>
  <c r="S31" i="99"/>
  <c r="G48" i="18"/>
  <c r="H19" i="131"/>
  <c r="H21"/>
  <c r="H23"/>
  <c r="H25"/>
  <c r="R11" i="148"/>
  <c r="R14"/>
  <c r="N16"/>
  <c r="R18"/>
  <c r="N20"/>
  <c r="R22"/>
  <c r="N24"/>
  <c r="R15"/>
  <c r="N17"/>
  <c r="R19"/>
  <c r="N21"/>
  <c r="R23"/>
  <c r="N25"/>
  <c r="P13" i="17"/>
  <c r="R13"/>
  <c r="S46"/>
  <c r="N46" s="1"/>
  <c r="D13"/>
  <c r="N13"/>
  <c r="R18" i="131"/>
  <c r="R19"/>
  <c r="R20"/>
  <c r="R21"/>
  <c r="R22"/>
  <c r="R23"/>
  <c r="R24"/>
  <c r="R25"/>
  <c r="R8"/>
  <c r="R16"/>
  <c r="R14"/>
  <c r="R12"/>
  <c r="R10"/>
  <c r="R9"/>
  <c r="R17"/>
  <c r="R15"/>
  <c r="R13"/>
  <c r="R11"/>
  <c r="F7" i="16"/>
  <c r="G7"/>
  <c r="S9" i="99"/>
  <c r="S11"/>
  <c r="H18" i="131"/>
  <c r="H20"/>
  <c r="H26" s="1"/>
  <c r="H22"/>
  <c r="H24"/>
  <c r="N14" i="148"/>
  <c r="R16"/>
  <c r="N18"/>
  <c r="R20"/>
  <c r="N22"/>
  <c r="R24"/>
  <c r="R13"/>
  <c r="N15"/>
  <c r="R17"/>
  <c r="N19"/>
  <c r="R21"/>
  <c r="P46" i="17"/>
  <c r="R46"/>
  <c r="D31" i="1" s="1"/>
  <c r="F5" i="9"/>
  <c r="D22" i="1"/>
  <c r="R26" i="131"/>
  <c r="W38" i="37" l="1"/>
  <c r="G11" i="24"/>
  <c r="H11"/>
  <c r="E18"/>
  <c r="D39" i="26"/>
  <c r="D29"/>
  <c r="B12"/>
  <c r="D19"/>
  <c r="D14"/>
  <c r="G21" i="59"/>
  <c r="J35" i="28"/>
  <c r="F11" i="126"/>
  <c r="H18"/>
  <c r="D11"/>
  <c r="V38" i="37"/>
  <c r="U38"/>
  <c r="T38"/>
  <c r="S38"/>
  <c r="Q38"/>
  <c r="P38"/>
  <c r="M38"/>
  <c r="L38"/>
  <c r="K38"/>
  <c r="J38"/>
  <c r="I38"/>
  <c r="H38"/>
  <c r="G38"/>
  <c r="F38"/>
  <c r="E38"/>
  <c r="D38"/>
  <c r="C38"/>
  <c r="B38"/>
  <c r="J17" i="34"/>
  <c r="J35"/>
  <c r="I7" i="33"/>
  <c r="N18" i="31"/>
  <c r="M8"/>
  <c r="J7" i="27"/>
  <c r="D10" i="77"/>
  <c r="B10" i="84"/>
  <c r="D84" i="1" s="1"/>
  <c r="I10" i="60"/>
  <c r="H10"/>
  <c r="F11" i="25"/>
  <c r="D11"/>
  <c r="C11"/>
  <c r="B11"/>
  <c r="S8" i="99"/>
  <c r="S12"/>
  <c r="S16"/>
  <c r="S20"/>
  <c r="D46" i="17"/>
  <c r="D30" i="1" s="1"/>
  <c r="F20" i="9"/>
  <c r="F36" s="1"/>
  <c r="S25" i="99"/>
  <c r="F26" i="131"/>
  <c r="R9" i="148"/>
  <c r="J46" i="17"/>
  <c r="F46"/>
  <c r="G36" i="31"/>
  <c r="I36"/>
  <c r="K36"/>
  <c r="S26" i="99"/>
  <c r="S28"/>
  <c r="S6"/>
  <c r="S10"/>
  <c r="S14"/>
  <c r="S18"/>
  <c r="S22"/>
  <c r="R40" i="17"/>
  <c r="D40"/>
  <c r="D26" i="131"/>
  <c r="R35" i="6"/>
  <c r="M41"/>
  <c r="D41"/>
  <c r="D13" i="1" s="1"/>
  <c r="R13" i="6"/>
  <c r="E5" i="9"/>
  <c r="D38" i="112"/>
  <c r="K35"/>
  <c r="K31"/>
  <c r="K26"/>
  <c r="K17"/>
  <c r="K11"/>
  <c r="K34" i="147"/>
  <c r="K32" s="1"/>
  <c r="D38"/>
  <c r="K28"/>
  <c r="K20"/>
  <c r="K16"/>
  <c r="K12" s="1"/>
  <c r="H12"/>
  <c r="I7"/>
  <c r="E7"/>
  <c r="H24" i="148"/>
  <c r="H20"/>
  <c r="H16"/>
  <c r="S12"/>
  <c r="S8"/>
  <c r="S14" i="131"/>
  <c r="S10"/>
  <c r="M26"/>
  <c r="G89" i="16"/>
  <c r="G85"/>
  <c r="G81"/>
  <c r="G77"/>
  <c r="G66"/>
  <c r="G62"/>
  <c r="G58"/>
  <c r="G54"/>
  <c r="G50"/>
  <c r="G46"/>
  <c r="G42"/>
  <c r="G38"/>
  <c r="G25"/>
  <c r="G21"/>
  <c r="G17"/>
  <c r="G13"/>
  <c r="D37" i="17"/>
  <c r="F45" i="18"/>
  <c r="F41"/>
  <c r="F37"/>
  <c r="F33"/>
  <c r="F24"/>
  <c r="F23"/>
  <c r="F22"/>
  <c r="F20"/>
  <c r="F16"/>
  <c r="F12"/>
  <c r="F39" i="19"/>
  <c r="D22"/>
  <c r="D12"/>
  <c r="N38" i="142"/>
  <c r="AE37"/>
  <c r="AD32"/>
  <c r="S32"/>
  <c r="E32"/>
  <c r="AE28"/>
  <c r="AD22"/>
  <c r="S22"/>
  <c r="E22"/>
  <c r="AE18"/>
  <c r="AE14"/>
  <c r="AC12"/>
  <c r="V12"/>
  <c r="H12"/>
  <c r="AD7"/>
  <c r="AB7"/>
  <c r="N7"/>
  <c r="I15" i="141"/>
  <c r="K46" i="23"/>
  <c r="K19"/>
  <c r="I12"/>
  <c r="K14"/>
  <c r="E12"/>
  <c r="C12"/>
  <c r="E38" i="24"/>
  <c r="E28"/>
  <c r="I11"/>
  <c r="E13"/>
  <c r="E11" i="25"/>
  <c r="M8" i="30"/>
  <c r="M18" i="31"/>
  <c r="M36" s="1"/>
  <c r="N8"/>
  <c r="N36" s="1"/>
  <c r="D10" i="40"/>
  <c r="B10"/>
  <c r="C10"/>
  <c r="E10" i="60"/>
  <c r="G17" i="28"/>
  <c r="D10" i="39"/>
  <c r="E42" i="65"/>
  <c r="J26" i="148"/>
  <c r="J38" i="112"/>
  <c r="R25" i="6"/>
  <c r="R8"/>
  <c r="E38" i="112"/>
  <c r="E12" i="147"/>
  <c r="I12"/>
  <c r="H7"/>
  <c r="H22" i="148"/>
  <c r="H18"/>
  <c r="H14"/>
  <c r="O26"/>
  <c r="O26" i="131"/>
  <c r="E35" i="16"/>
  <c r="G43" i="18"/>
  <c r="G39"/>
  <c r="G35"/>
  <c r="G31"/>
  <c r="G47" s="1"/>
  <c r="D32" i="19"/>
  <c r="D39" s="1"/>
  <c r="G22"/>
  <c r="G12"/>
  <c r="G7"/>
  <c r="AE38" i="142"/>
  <c r="AC32"/>
  <c r="AE32" s="1"/>
  <c r="AC22"/>
  <c r="AE22" s="1"/>
  <c r="AD12"/>
  <c r="AC7"/>
  <c r="AE7" s="1"/>
  <c r="K36" i="23"/>
  <c r="M12"/>
  <c r="H12"/>
  <c r="F12"/>
  <c r="D12"/>
  <c r="C12" i="26"/>
  <c r="H13" i="126"/>
  <c r="H11" s="1"/>
  <c r="C10" i="39"/>
  <c r="C10" i="60"/>
  <c r="D10"/>
  <c r="B10"/>
  <c r="E29" i="99"/>
  <c r="S29" s="1"/>
  <c r="Q29"/>
  <c r="G17"/>
  <c r="G7"/>
  <c r="F17" i="28"/>
  <c r="G7"/>
  <c r="H17"/>
  <c r="H35" s="1"/>
  <c r="F36" i="31"/>
  <c r="R9" i="62"/>
  <c r="D41" i="1"/>
  <c r="R41" i="6"/>
  <c r="G45" i="18"/>
  <c r="G33"/>
  <c r="G41"/>
  <c r="G37"/>
  <c r="S11" i="62"/>
  <c r="S9"/>
  <c r="S10"/>
  <c r="S8"/>
  <c r="I7" i="112"/>
  <c r="E7"/>
  <c r="K7" s="1"/>
  <c r="N18" i="131"/>
  <c r="N19"/>
  <c r="N20"/>
  <c r="N21"/>
  <c r="N22"/>
  <c r="N23"/>
  <c r="N24"/>
  <c r="N25"/>
  <c r="N8"/>
  <c r="N8" i="148"/>
  <c r="R10"/>
  <c r="R26" s="1"/>
  <c r="N12"/>
  <c r="N9"/>
  <c r="N11"/>
  <c r="K22" i="112"/>
  <c r="I22"/>
  <c r="K15"/>
  <c r="K12" s="1"/>
  <c r="H12"/>
  <c r="H38" s="1"/>
  <c r="K38" s="1"/>
  <c r="I32" i="147"/>
  <c r="H32"/>
  <c r="E22"/>
  <c r="E38" s="1"/>
  <c r="I22"/>
  <c r="P23" i="148"/>
  <c r="P19"/>
  <c r="P15"/>
  <c r="G20" i="18"/>
  <c r="G16"/>
  <c r="G12"/>
  <c r="G39" i="19"/>
  <c r="G41" s="1"/>
  <c r="F35" i="28"/>
  <c r="K26" i="147"/>
  <c r="K22" s="1"/>
  <c r="J22"/>
  <c r="P14" i="148"/>
  <c r="P16"/>
  <c r="P18"/>
  <c r="P20"/>
  <c r="P22"/>
  <c r="P24"/>
  <c r="P18" i="131"/>
  <c r="P19"/>
  <c r="P20"/>
  <c r="P21"/>
  <c r="P22"/>
  <c r="P23"/>
  <c r="P24"/>
  <c r="P25"/>
  <c r="J12" i="112"/>
  <c r="I12"/>
  <c r="E12"/>
  <c r="J32" i="147"/>
  <c r="H22"/>
  <c r="F26" i="148"/>
  <c r="D26"/>
  <c r="P8" i="131"/>
  <c r="G35" i="28"/>
  <c r="J12" i="147"/>
  <c r="H25" i="148"/>
  <c r="H23"/>
  <c r="H21"/>
  <c r="H19"/>
  <c r="H17"/>
  <c r="L25" i="131"/>
  <c r="L24"/>
  <c r="L23"/>
  <c r="L22"/>
  <c r="L21"/>
  <c r="L20"/>
  <c r="L19"/>
  <c r="L18"/>
  <c r="E75" i="16"/>
  <c r="E10"/>
  <c r="E27" i="99"/>
  <c r="E17"/>
  <c r="S17" s="1"/>
  <c r="J7" i="147"/>
  <c r="S25" i="148"/>
  <c r="S23"/>
  <c r="S21"/>
  <c r="S19"/>
  <c r="S17"/>
  <c r="S15"/>
  <c r="S13"/>
  <c r="N37" i="17"/>
  <c r="N33"/>
  <c r="AE24" i="142"/>
  <c r="AE8"/>
  <c r="I27" i="99"/>
  <c r="Q27"/>
  <c r="E7"/>
  <c r="Q7"/>
  <c r="D12" i="26" l="1"/>
  <c r="F35" i="16"/>
  <c r="G35"/>
  <c r="P12" i="148"/>
  <c r="P10"/>
  <c r="P11"/>
  <c r="P8"/>
  <c r="P9"/>
  <c r="G10" i="18"/>
  <c r="G18"/>
  <c r="G14"/>
  <c r="G22" s="1"/>
  <c r="N17" i="131"/>
  <c r="N16"/>
  <c r="N15"/>
  <c r="N14"/>
  <c r="N13"/>
  <c r="N12"/>
  <c r="N11"/>
  <c r="N10"/>
  <c r="N9"/>
  <c r="L26"/>
  <c r="H26" i="148"/>
  <c r="K38" i="147"/>
  <c r="I38"/>
  <c r="N26" i="131"/>
  <c r="K12" i="23"/>
  <c r="D37" i="1" s="1"/>
  <c r="AE12" i="142"/>
  <c r="P17" i="131"/>
  <c r="P15"/>
  <c r="P13"/>
  <c r="P11"/>
  <c r="P9"/>
  <c r="P16"/>
  <c r="P14"/>
  <c r="P12"/>
  <c r="P10"/>
  <c r="G11" i="18"/>
  <c r="G19"/>
  <c r="G15"/>
  <c r="T10" i="131"/>
  <c r="S26"/>
  <c r="P13" i="148"/>
  <c r="P17"/>
  <c r="P21"/>
  <c r="P25"/>
  <c r="E11" i="24"/>
  <c r="D39" i="1" s="1"/>
  <c r="S26" i="148"/>
  <c r="T13" s="1"/>
  <c r="F75" i="16"/>
  <c r="G75"/>
  <c r="T17" i="148"/>
  <c r="T25"/>
  <c r="S7" i="99"/>
  <c r="T15" i="148"/>
  <c r="T23"/>
  <c r="S27" i="99"/>
  <c r="P26" i="131"/>
  <c r="J38" i="147"/>
  <c r="G24" i="18"/>
  <c r="H38" i="147"/>
  <c r="I38" i="112"/>
  <c r="N26" i="148"/>
  <c r="G49" i="18"/>
  <c r="G10" i="16"/>
  <c r="F10"/>
  <c r="E93"/>
  <c r="P26" i="148"/>
  <c r="T19" i="131" l="1"/>
  <c r="T21"/>
  <c r="T23"/>
  <c r="T25"/>
  <c r="T15"/>
  <c r="T11"/>
  <c r="T8"/>
  <c r="T18"/>
  <c r="T20"/>
  <c r="T22"/>
  <c r="T24"/>
  <c r="T17"/>
  <c r="T13"/>
  <c r="T9"/>
  <c r="T16"/>
  <c r="T12"/>
  <c r="T19" i="148"/>
  <c r="T21"/>
  <c r="G23" i="18"/>
  <c r="T14" i="131"/>
  <c r="F93" i="16"/>
  <c r="G93"/>
  <c r="T24" i="148"/>
  <c r="T20"/>
  <c r="T16"/>
  <c r="T12"/>
  <c r="T10"/>
  <c r="T11"/>
  <c r="T8"/>
  <c r="T22"/>
  <c r="T18"/>
  <c r="T14"/>
  <c r="T9"/>
  <c r="T26" i="131" l="1"/>
  <c r="T26" i="148"/>
</calcChain>
</file>

<file path=xl/comments1.xml><?xml version="1.0" encoding="utf-8"?>
<comments xmlns="http://schemas.openxmlformats.org/spreadsheetml/2006/main">
  <authors>
    <author>HANDBOOK</author>
  </authors>
  <commentList>
    <comment ref="E9" authorId="0">
      <text>
        <r>
          <rPr>
            <b/>
            <sz val="8"/>
            <color indexed="81"/>
            <rFont val="Tahoma"/>
            <family val="2"/>
          </rPr>
          <t>HANDBOOK:</t>
        </r>
        <r>
          <rPr>
            <sz val="8"/>
            <color indexed="81"/>
            <rFont val="Tahoma"/>
            <family val="2"/>
          </rPr>
          <t xml:space="preserve">
MODIFIED FIG 51921</t>
        </r>
      </text>
    </comment>
    <comment ref="E10" authorId="0">
      <text>
        <r>
          <rPr>
            <b/>
            <sz val="8"/>
            <color indexed="81"/>
            <rFont val="Tahoma"/>
            <family val="2"/>
          </rPr>
          <t>HANDBOOK:</t>
        </r>
        <r>
          <rPr>
            <sz val="8"/>
            <color indexed="81"/>
            <rFont val="Tahoma"/>
            <family val="2"/>
          </rPr>
          <t xml:space="preserve">
MODIFIED FIG 51921</t>
        </r>
      </text>
    </comment>
  </commentList>
</comments>
</file>

<file path=xl/sharedStrings.xml><?xml version="1.0" encoding="utf-8"?>
<sst xmlns="http://schemas.openxmlformats.org/spreadsheetml/2006/main" count="7033" uniqueCount="1713">
  <si>
    <t>No. of Deaths</t>
  </si>
  <si>
    <t>Sub-Division/ C.D.Block/ M/ N.A.</t>
  </si>
  <si>
    <t>Sub-Division/
 C.D.Block/
 M/ N.A.</t>
  </si>
  <si>
    <t>2) Medical Officer, B.S.F., Seemanagar</t>
  </si>
  <si>
    <t>Dy. C.M.O.H.-II, Nadia</t>
  </si>
  <si>
    <t>(c) I.C.S.E./ C.B.S.E./ Anglo-Indian &amp; Missionaries etc.</t>
  </si>
  <si>
    <t>1) D.I. of Schools(Primary)</t>
  </si>
  <si>
    <t>2) D.I. of Schools(Secondary)</t>
  </si>
  <si>
    <t>3) Education cell under each Municipality/ Corporation/ Local Body</t>
  </si>
  <si>
    <t>4) Each of ICSE, CBSE &amp; Railway Institution</t>
  </si>
  <si>
    <t>Engineering/ Technical Schools</t>
  </si>
  <si>
    <t>Uttampur</t>
  </si>
  <si>
    <t>Harindanga</t>
  </si>
  <si>
    <t>Bamanpukur</t>
  </si>
  <si>
    <t>Tiorkhali</t>
  </si>
  <si>
    <t>Char Maijdia</t>
  </si>
  <si>
    <t>Char Brahmanagar</t>
  </si>
  <si>
    <t>Majdia</t>
  </si>
  <si>
    <t>Engineering/ Medical/ Technical Colleges</t>
  </si>
  <si>
    <t>(a) Medical(Allopathic, Dental, Homeopathic, Ayurvedic) Colleges</t>
  </si>
  <si>
    <t>(b) Engineering Colleges(Govt.+ Private)</t>
  </si>
  <si>
    <t>(c) Management Colleges(Govt.+ Private)</t>
  </si>
  <si>
    <t>(d) Polytechnics(Govt.+ Private)</t>
  </si>
  <si>
    <t>(e) Institute of Pharmacy/ Opthalmology</t>
  </si>
  <si>
    <t>(b) Nursing Training Colleges(B.Sc.)</t>
  </si>
  <si>
    <t>(a) Teachers' Training(B.Ed.+Phy.Ed.) Colleges</t>
  </si>
  <si>
    <t>Other Colleges/ Institutions</t>
  </si>
  <si>
    <t>Anganwadi(education) Centres under I.C.D.S.</t>
  </si>
  <si>
    <t>Social Welfare Homes under M.E.E. Deptt.</t>
  </si>
  <si>
    <t>(b) Junior Govt. Polytechnics</t>
  </si>
  <si>
    <t>(a) Teachers' Training(B.Ed.+ Phy.Ed.) Colleges</t>
  </si>
  <si>
    <t>(a) D.I.(Primary + Junior Basic)</t>
  </si>
  <si>
    <t>(b) Municipalities/ Corporations/ Local bodies etc.</t>
  </si>
  <si>
    <t>Director</t>
  </si>
  <si>
    <t xml:space="preserve">                       </t>
  </si>
  <si>
    <t>5.3(a)</t>
  </si>
  <si>
    <t>(Degree Celsius)</t>
  </si>
  <si>
    <t>(Number in thousand)</t>
  </si>
  <si>
    <t xml:space="preserve">           P.C. = Percentage to respective total population</t>
  </si>
  <si>
    <t>5.3(b)</t>
  </si>
  <si>
    <t>5.3(c)</t>
  </si>
  <si>
    <t>5.3(d)</t>
  </si>
  <si>
    <t>5.3(e)</t>
  </si>
  <si>
    <t>Total
 No.of Doctors</t>
  </si>
  <si>
    <t>5.5(a)</t>
  </si>
  <si>
    <t>8.2(a)</t>
  </si>
  <si>
    <t>9.2(a)</t>
  </si>
  <si>
    <t>9.2(b)</t>
  </si>
  <si>
    <t>11.1(a)</t>
  </si>
  <si>
    <t>Progress in Tourism</t>
  </si>
  <si>
    <t>Dhubulia</t>
  </si>
  <si>
    <t>Paddy(Aman fine)</t>
  </si>
  <si>
    <t>1286*</t>
  </si>
  <si>
    <t xml:space="preserve"> Source : </t>
  </si>
  <si>
    <t>Paddy(Common)</t>
  </si>
  <si>
    <t>Rice(Aman fine)</t>
  </si>
  <si>
    <t>Khesari</t>
  </si>
  <si>
    <t>Nitrogen(N)</t>
  </si>
  <si>
    <t>Phosphate(P)</t>
  </si>
  <si>
    <t>Potash(K)</t>
  </si>
  <si>
    <t>Source : Superintendent of Agri. Marketing Office, Nadia</t>
  </si>
  <si>
    <t>Type of 
society/ Year</t>
  </si>
  <si>
    <t>Loans due from individuals &amp; other societies
(Rs. in thousand)</t>
  </si>
  <si>
    <t>Source : Asstt. Registrar of Co-operative Societies, Nadia</t>
  </si>
  <si>
    <t>Urid(Deshi)</t>
  </si>
  <si>
    <t>Cauli flower</t>
  </si>
  <si>
    <t>Egg(Hen)</t>
  </si>
  <si>
    <t>Cow(Milk)</t>
  </si>
  <si>
    <t>Mustard(Red)</t>
  </si>
  <si>
    <t>Jute(T.D. 5)</t>
  </si>
  <si>
    <t xml:space="preserve">Linseed </t>
  </si>
  <si>
    <t>Gur(Cane)</t>
  </si>
  <si>
    <t>Madhyamik Siksha Kendras</t>
  </si>
  <si>
    <t>Jan Shikshan Sansthan</t>
  </si>
  <si>
    <t>.</t>
  </si>
  <si>
    <t>3.3a</t>
  </si>
  <si>
    <t>Working Capital
( ' 000 Rs.)</t>
  </si>
  <si>
    <t>Goat(Alive)</t>
  </si>
  <si>
    <t>Bethuadahari</t>
  </si>
  <si>
    <t>Per 100</t>
  </si>
  <si>
    <t>12 Kg.</t>
  </si>
  <si>
    <t xml:space="preserve">Birnagar </t>
  </si>
  <si>
    <t xml:space="preserve">Kalyani </t>
  </si>
  <si>
    <t xml:space="preserve">Gayeshpur </t>
  </si>
  <si>
    <t>Sergeant/Armed S.I.</t>
  </si>
  <si>
    <t>29.04.1869</t>
  </si>
  <si>
    <t>29.10.1965</t>
  </si>
  <si>
    <t xml:space="preserve"> 13.10.1993</t>
  </si>
  <si>
    <t>26.06.1997</t>
  </si>
  <si>
    <t xml:space="preserve"> 11.01.1993</t>
  </si>
  <si>
    <t>Nabadwip</t>
  </si>
  <si>
    <t xml:space="preserve">Co-operative Societies in the Blocks </t>
  </si>
  <si>
    <t>HANDBOOK FOR THE YEAR</t>
  </si>
  <si>
    <t>4.1(a)</t>
  </si>
  <si>
    <t>4.1(c)</t>
  </si>
  <si>
    <t>4.2(a)</t>
  </si>
  <si>
    <t>4.2(b)</t>
  </si>
  <si>
    <t>4.2(c)</t>
  </si>
  <si>
    <t>4.3(a)</t>
  </si>
  <si>
    <t>4.3(b)</t>
  </si>
  <si>
    <t>4.3(c)</t>
  </si>
  <si>
    <t>House- holds</t>
  </si>
  <si>
    <t>4.1(b)</t>
  </si>
  <si>
    <t>Base : Triennium ending crop year 1981-82 = 100</t>
  </si>
  <si>
    <t>Cereals</t>
  </si>
  <si>
    <t>Productivity</t>
  </si>
  <si>
    <t xml:space="preserve">Description </t>
  </si>
  <si>
    <t>Year</t>
  </si>
  <si>
    <t>Unit</t>
  </si>
  <si>
    <t xml:space="preserve"> Particulars</t>
  </si>
  <si>
    <t>District Head Quarters</t>
  </si>
  <si>
    <t>Number</t>
  </si>
  <si>
    <t>Inhabited Villages</t>
  </si>
  <si>
    <t>Municipal Corporation</t>
  </si>
  <si>
    <t>Municipality</t>
  </si>
  <si>
    <t>Gram Panchayat</t>
  </si>
  <si>
    <t>Gram Sansad</t>
  </si>
  <si>
    <t>Area and Population :</t>
  </si>
  <si>
    <t xml:space="preserve">Area </t>
  </si>
  <si>
    <t>Population</t>
  </si>
  <si>
    <t>Class 
of Offence</t>
  </si>
  <si>
    <t>"</t>
  </si>
  <si>
    <t xml:space="preserve">                    Female</t>
  </si>
  <si>
    <t xml:space="preserve">                    Rural</t>
  </si>
  <si>
    <t xml:space="preserve">                    Urban</t>
  </si>
  <si>
    <t>m.m.</t>
  </si>
  <si>
    <t>Temperature : Maximum</t>
  </si>
  <si>
    <t>Degree Celsius</t>
  </si>
  <si>
    <t>Workers :</t>
  </si>
  <si>
    <t>Total workers</t>
  </si>
  <si>
    <t>Non-workers</t>
  </si>
  <si>
    <t>Agriculture and Irrigation:</t>
  </si>
  <si>
    <t>Cropped area</t>
  </si>
  <si>
    <t>Distribution of Rural &amp; Urban Population by sex, 2001</t>
  </si>
  <si>
    <t>Distribution of Population by sex &amp; by age group, 2001</t>
  </si>
  <si>
    <t>Total beds</t>
  </si>
  <si>
    <t>* All Continuing Education
   Programme of Nadia 
   district were declared 
   closed on 30.09.2009 
   by National Mission 
   Authority, New Delhi</t>
  </si>
  <si>
    <t>3)</t>
  </si>
  <si>
    <t>District Social Welfare Officer, Nadia</t>
  </si>
  <si>
    <t>District Panchayat &amp; R.D. Office, Nadia</t>
  </si>
  <si>
    <t>District Welfare Officer, Backward Classes Welfare,</t>
  </si>
  <si>
    <t>General College</t>
  </si>
  <si>
    <t>Industry:</t>
  </si>
  <si>
    <t>Employment in:</t>
  </si>
  <si>
    <t>Electricity :</t>
  </si>
  <si>
    <t>Co-operative Societies :</t>
  </si>
  <si>
    <t>Societies</t>
  </si>
  <si>
    <t>Members</t>
  </si>
  <si>
    <t>Working Capital</t>
  </si>
  <si>
    <t>Commercial Bank</t>
  </si>
  <si>
    <t>Transport &amp; Communication:</t>
  </si>
  <si>
    <t>Post Offices</t>
  </si>
  <si>
    <t>Surfaced</t>
  </si>
  <si>
    <t>Finance :</t>
  </si>
  <si>
    <t>Latitude</t>
  </si>
  <si>
    <t>Longitude</t>
  </si>
  <si>
    <t xml:space="preserve"> North</t>
  </si>
  <si>
    <t>STUDY CENTRES OF OPEN UNIVERSITIES</t>
  </si>
  <si>
    <t>Recognised Sanskrit Tols</t>
  </si>
  <si>
    <t>South</t>
  </si>
  <si>
    <t xml:space="preserve"> East  </t>
  </si>
  <si>
    <t>West</t>
  </si>
  <si>
    <t>Name of district head quarters</t>
  </si>
  <si>
    <t>(1)</t>
  </si>
  <si>
    <t>(2)</t>
  </si>
  <si>
    <t>(3)</t>
  </si>
  <si>
    <t>(4)</t>
  </si>
  <si>
    <t>(5)</t>
  </si>
  <si>
    <t>(6)</t>
  </si>
  <si>
    <t>(7)</t>
  </si>
  <si>
    <t>Mandays employed
(In thousand)</t>
  </si>
  <si>
    <t>Fixed Capital
(Rs. in Lakh)</t>
  </si>
  <si>
    <t>Invested Capital
(Rs. in Lakh)</t>
  </si>
  <si>
    <t>Emoluments
(Rs. in Lakh)</t>
  </si>
  <si>
    <t xml:space="preserve">Value of Input
(Rs. in Lakh) </t>
  </si>
  <si>
    <t>Value of Output
(Rs. in Lakh)</t>
  </si>
  <si>
    <t>Net Value Added
(Rs. in Lakh)</t>
  </si>
  <si>
    <t>Net Income
(Rs. in Lakh)</t>
  </si>
  <si>
    <t>TABLE 8.3 (Concld.)</t>
  </si>
  <si>
    <t>Year
(Census)</t>
  </si>
  <si>
    <t>Popu-
lation</t>
  </si>
  <si>
    <t>2) Directorate of Agri., Govt. of W.B.</t>
  </si>
  <si>
    <t>1Acre :</t>
  </si>
  <si>
    <t xml:space="preserve"> 0.404686 hectare</t>
  </si>
  <si>
    <t>Ind. = Industry</t>
  </si>
  <si>
    <t>Scheduled Caste</t>
  </si>
  <si>
    <t>Scheduled Tribe</t>
  </si>
  <si>
    <t>(f) Institute of Radiology / Pathology / Bio-Chemistry / Laboratory Technology / Radiography / Physiotherapy / Radiotherapy / ECG</t>
  </si>
  <si>
    <t>Engineering/ Medical / Technical Colleges</t>
  </si>
  <si>
    <t>Engineering / Technical Schools</t>
  </si>
  <si>
    <t>Other Colleges / Institutions</t>
  </si>
  <si>
    <t>(2011)</t>
  </si>
  <si>
    <t>1) Census of India, 2001 &amp; 2011</t>
  </si>
  <si>
    <t>Area  
(Sq. Km.)
(2001)</t>
  </si>
  <si>
    <t>Source : Census of India, 2011</t>
  </si>
  <si>
    <t>Month</t>
  </si>
  <si>
    <t>Normal</t>
  </si>
  <si>
    <t>Actual</t>
  </si>
  <si>
    <t>January</t>
  </si>
  <si>
    <t>February</t>
  </si>
  <si>
    <t>March</t>
  </si>
  <si>
    <t>April</t>
  </si>
  <si>
    <t>May</t>
  </si>
  <si>
    <t>June</t>
  </si>
  <si>
    <t>July</t>
  </si>
  <si>
    <t>August</t>
  </si>
  <si>
    <t>September</t>
  </si>
  <si>
    <t>October</t>
  </si>
  <si>
    <t>November</t>
  </si>
  <si>
    <t>December</t>
  </si>
  <si>
    <t>Total</t>
  </si>
  <si>
    <t>(8)</t>
  </si>
  <si>
    <t>(9)</t>
  </si>
  <si>
    <t>(10)</t>
  </si>
  <si>
    <t>(11)</t>
  </si>
  <si>
    <t xml:space="preserve">     (Degree Celsius)</t>
  </si>
  <si>
    <t>Mean</t>
  </si>
  <si>
    <t>For the year</t>
  </si>
  <si>
    <t>Tehatta</t>
  </si>
  <si>
    <t>Panchayat</t>
  </si>
  <si>
    <t>Samity</t>
  </si>
  <si>
    <t>Gram</t>
  </si>
  <si>
    <t>(2001)</t>
  </si>
  <si>
    <t>(Number)</t>
  </si>
  <si>
    <t>Town</t>
  </si>
  <si>
    <t>No.</t>
  </si>
  <si>
    <t>Ward</t>
  </si>
  <si>
    <t>Notified Area</t>
  </si>
  <si>
    <t>Census Town</t>
  </si>
  <si>
    <t xml:space="preserve">Year </t>
  </si>
  <si>
    <t>Constituency</t>
  </si>
  <si>
    <t>Assembly</t>
  </si>
  <si>
    <t>Parliamentary</t>
  </si>
  <si>
    <t>(Millimetre)</t>
  </si>
  <si>
    <t>* Included in "Others"</t>
  </si>
  <si>
    <t>Krishnaangar-II</t>
  </si>
  <si>
    <t>Professional Tax</t>
  </si>
  <si>
    <t>Minor Offences</t>
  </si>
  <si>
    <t>Renewal
 Premium</t>
  </si>
  <si>
    <t>Year (as
 on the last
 Friday of
 June)</t>
  </si>
  <si>
    <t xml:space="preserve">Sub-Division/
 C.D.Block </t>
  </si>
  <si>
    <t>Mulberry
 (MT)</t>
  </si>
  <si>
    <t>Eri
 (thousand
 kahan)</t>
  </si>
  <si>
    <t>Muga
 (thousand
 kahan)</t>
  </si>
  <si>
    <t>Tasar 
(thousand
 kahan)</t>
  </si>
  <si>
    <t>Index with 1901 as base</t>
  </si>
  <si>
    <t>Male</t>
  </si>
  <si>
    <t>No. of mouzas having drinking water facilities</t>
  </si>
  <si>
    <t>Hired Workers</t>
  </si>
  <si>
    <t>Female</t>
  </si>
  <si>
    <t>Urban</t>
  </si>
  <si>
    <t>Rural</t>
  </si>
  <si>
    <t>P.C.</t>
  </si>
  <si>
    <t>(12)</t>
  </si>
  <si>
    <t>(13)</t>
  </si>
  <si>
    <t>(14)</t>
  </si>
  <si>
    <t>(15)</t>
  </si>
  <si>
    <t>(16)</t>
  </si>
  <si>
    <t>No. of fertilizer depots</t>
  </si>
  <si>
    <t>No. of 
seed stores</t>
  </si>
  <si>
    <t>No. of fair
 price shops</t>
  </si>
  <si>
    <t>2) Fish Farmer's Development Agencies(F.F.D.A.), Nadia</t>
  </si>
  <si>
    <t>(17)</t>
  </si>
  <si>
    <t>(19)</t>
  </si>
  <si>
    <t>(18)</t>
  </si>
  <si>
    <t>0-4</t>
  </si>
  <si>
    <t>5-9</t>
  </si>
  <si>
    <t>10-14</t>
  </si>
  <si>
    <t>Super/ Director of the respective
 (L.S.G./ Private) Hospitals</t>
  </si>
  <si>
    <t>15-19</t>
  </si>
  <si>
    <t>20-24</t>
  </si>
  <si>
    <t>25-29</t>
  </si>
  <si>
    <t>30-34</t>
  </si>
  <si>
    <t>35-39</t>
  </si>
  <si>
    <t>40-44</t>
  </si>
  <si>
    <t>45-49</t>
  </si>
  <si>
    <t>50-54</t>
  </si>
  <si>
    <t>55-59</t>
  </si>
  <si>
    <t>60-64</t>
  </si>
  <si>
    <t>65-69</t>
  </si>
  <si>
    <t>All Ages</t>
  </si>
  <si>
    <t>70-74</t>
  </si>
  <si>
    <t>75-79</t>
  </si>
  <si>
    <t>80+</t>
  </si>
  <si>
    <t xml:space="preserve">Male </t>
  </si>
  <si>
    <t xml:space="preserve">Number </t>
  </si>
  <si>
    <t>PC to TW</t>
  </si>
  <si>
    <t>Cultivators</t>
  </si>
  <si>
    <t>DISTRICT STATISTICAL HANDBOOK</t>
  </si>
  <si>
    <t>PREFACE</t>
  </si>
  <si>
    <t>Dated, Kolkata</t>
  </si>
  <si>
    <t>Bureau of Applied Economics &amp; Statistics</t>
  </si>
  <si>
    <t xml:space="preserve">   Government of West Bengal</t>
  </si>
  <si>
    <t>Hectare</t>
  </si>
  <si>
    <t>Forest owned by Corporate Bodies</t>
  </si>
  <si>
    <t xml:space="preserve">Health &amp; Family Welfare Deptt., Govt. of West Bengal </t>
  </si>
  <si>
    <t xml:space="preserve"> No. of Medical Institutions in</t>
  </si>
  <si>
    <t>Forest owned by Private Individuals</t>
  </si>
  <si>
    <t>Class of Total Workers</t>
  </si>
  <si>
    <t>Other Workers</t>
  </si>
  <si>
    <t>Main workers</t>
  </si>
  <si>
    <t>Marginal workers</t>
  </si>
  <si>
    <t>Total Population</t>
  </si>
  <si>
    <t>Category</t>
  </si>
  <si>
    <t>Total Workers :</t>
  </si>
  <si>
    <t>(a)</t>
  </si>
  <si>
    <t>Main workers :</t>
  </si>
  <si>
    <t xml:space="preserve">Total </t>
  </si>
  <si>
    <t>(b)</t>
  </si>
  <si>
    <t>Marginal workers :</t>
  </si>
  <si>
    <t>Non-workers :</t>
  </si>
  <si>
    <t>A.</t>
  </si>
  <si>
    <t>Cultivators :</t>
  </si>
  <si>
    <t>Agricultural Labourers :</t>
  </si>
  <si>
    <t>Household Industry Workers :</t>
  </si>
  <si>
    <t>Other Workers :</t>
  </si>
  <si>
    <t>Total Workers : (1+2+3+4) = (a+b)</t>
  </si>
  <si>
    <t xml:space="preserve">      Total</t>
  </si>
  <si>
    <t xml:space="preserve">      Rural</t>
  </si>
  <si>
    <t xml:space="preserve">      Urban</t>
  </si>
  <si>
    <t>Others</t>
  </si>
  <si>
    <t>TABLE 3.3(a)</t>
  </si>
  <si>
    <t>Religion not stated</t>
  </si>
  <si>
    <t>Disability</t>
  </si>
  <si>
    <t xml:space="preserve">Sources : </t>
  </si>
  <si>
    <t>TABLE 13.1 (Concld.)</t>
  </si>
  <si>
    <t>2.0 hectares and above but less than 4.0 hectares</t>
  </si>
  <si>
    <t>4.0 hectares and above but less than 10.0 hectares</t>
  </si>
  <si>
    <t>Rapeseed &amp; Mustard</t>
  </si>
  <si>
    <t xml:space="preserve">    </t>
  </si>
  <si>
    <t>Public</t>
  </si>
  <si>
    <t>Private</t>
  </si>
  <si>
    <t>Vasectomy</t>
  </si>
  <si>
    <t>Tubectomy</t>
  </si>
  <si>
    <t>I.U.D.</t>
  </si>
  <si>
    <t>Cases treated</t>
  </si>
  <si>
    <t xml:space="preserve"> Tehatta Sub-div.</t>
  </si>
  <si>
    <t>2002-03</t>
  </si>
  <si>
    <t>TT(PW)</t>
  </si>
  <si>
    <t>DPT</t>
  </si>
  <si>
    <t>Polio</t>
  </si>
  <si>
    <t>BCG</t>
  </si>
  <si>
    <t>Measles</t>
  </si>
  <si>
    <t>Indoor</t>
  </si>
  <si>
    <t>Outdoor</t>
  </si>
  <si>
    <t>(a) D.I.(Primary+Junior Basic)</t>
  </si>
  <si>
    <t>LANGUAGE</t>
  </si>
  <si>
    <t>(ii)</t>
  </si>
  <si>
    <t>(iii)</t>
  </si>
  <si>
    <t>(i)</t>
  </si>
  <si>
    <t>(iv)</t>
  </si>
  <si>
    <t>Page No.</t>
  </si>
  <si>
    <t>6) Colleges of each University</t>
  </si>
  <si>
    <t>(a) Junior Technical Schools</t>
  </si>
  <si>
    <t>All PTTI &amp; Nursing Training Institutes</t>
  </si>
  <si>
    <t>(b) Certificate oriented Nursing Training Schools</t>
  </si>
  <si>
    <t>Murutia
Thanapara</t>
  </si>
  <si>
    <t>Notified Area 
Authority</t>
  </si>
  <si>
    <t>Govt.
Canal</t>
  </si>
  <si>
    <t>Qtl.</t>
  </si>
  <si>
    <t>In bales per hectare</t>
  </si>
  <si>
    <t>Source : Meteorological Department, Govt. of India</t>
  </si>
  <si>
    <t>Source : Census of India, 1991 &amp; 2001</t>
  </si>
  <si>
    <t>Source : Census of India, 2001</t>
  </si>
  <si>
    <t xml:space="preserve">           PC to TW = Percentage to respective total workers</t>
  </si>
  <si>
    <t>4) Medical Officer, Mary Immaculate Hospital, Krishnanagar &amp; Chapra</t>
  </si>
  <si>
    <t>Mean Maximum and Mean Minimum Temperature by month</t>
  </si>
  <si>
    <t>Maximum and Minimum Temperature by month</t>
  </si>
  <si>
    <t>Distribution of Population by sex in different towns</t>
  </si>
  <si>
    <t>Distribution of Population over different categories of workers and non-workers</t>
  </si>
  <si>
    <t>Distribution of Population over different categories of workers and non-workers by sex</t>
  </si>
  <si>
    <t>Scheduled Caste and Scheduled Tribe Population by sex</t>
  </si>
  <si>
    <t>Disabled Persons by type of disability &amp; by sex</t>
  </si>
  <si>
    <t>Medical Facilities</t>
  </si>
  <si>
    <t>Patients treated in Hospitals, Health Centres and Sub-centres</t>
  </si>
  <si>
    <t>Area, Population and Density of Population</t>
  </si>
  <si>
    <t>General Educational Institutions by type</t>
  </si>
  <si>
    <t>Professional &amp; Technical Educational Institutions by type</t>
  </si>
  <si>
    <t xml:space="preserve">Special &amp; Non-formal Educational Institutions by type </t>
  </si>
  <si>
    <t>5) Medical Officer, Police Hospital, Krishnanagar</t>
  </si>
  <si>
    <t>6) Superintendent of Correctional Home, Krishnanagar</t>
  </si>
  <si>
    <t>7) Suvendu Memorial Trust, Nadia</t>
  </si>
  <si>
    <t>8)  S.M.C. Shikharpur Nadia</t>
  </si>
  <si>
    <t>9) S.R.M.&amp; C. Welfare Society, Santipur, Nadia</t>
  </si>
  <si>
    <t xml:space="preserve">Constable * </t>
  </si>
  <si>
    <t xml:space="preserve">Note : </t>
  </si>
  <si>
    <t>per sq. km.</t>
  </si>
  <si>
    <t>Source : Superintendent of Police, Nadia</t>
  </si>
  <si>
    <t>1) Asstt. Director, District Fisheries Office, Nadia</t>
  </si>
  <si>
    <t>Source : Lead Bank Officer, Krishnanagar, Nadia</t>
  </si>
  <si>
    <t>(a) D.I.(Secondary)</t>
  </si>
  <si>
    <t>Year 
(as on 31st March)</t>
  </si>
  <si>
    <t>2.1(b)</t>
  </si>
  <si>
    <t>Teachers' Training &amp; Nursing Training Colleges</t>
  </si>
  <si>
    <t xml:space="preserve">   Population served per Bank office</t>
  </si>
  <si>
    <t>(a) Law Colleges</t>
  </si>
  <si>
    <t>(b) Music Colleges</t>
  </si>
  <si>
    <t>(d) Art Colleges</t>
  </si>
  <si>
    <t>Source : C.M.O.H., Nadia</t>
  </si>
  <si>
    <t>During the Year</t>
  </si>
  <si>
    <t>31.10.2013 (P)</t>
  </si>
  <si>
    <t>Upto the Year</t>
  </si>
  <si>
    <t>Note :  TT    = Tetanus Toxoid</t>
  </si>
  <si>
    <t>Super/ Director of the respective(L.S.G./ Private) Hospitals</t>
  </si>
  <si>
    <t>(e) Autonomous Research Institutions of Special Importance</t>
  </si>
  <si>
    <t>(c) Nutrition &amp; Home Science Colleges</t>
  </si>
  <si>
    <t>Sishu Siksha Kendras</t>
  </si>
  <si>
    <t>Adult High Schools</t>
  </si>
  <si>
    <t>Ekalabya Schools</t>
  </si>
  <si>
    <t>(d) Railway (ER / SER) / DVC etc.</t>
  </si>
  <si>
    <t>Deposits
(Rs. in Crore)</t>
  </si>
  <si>
    <t>Advances
(Rs. in Crore)</t>
  </si>
  <si>
    <t>Reformatory or Certified Institutions or Welfare Homes under Social Welfare Deptt. for the Juveniles or destitute children or the children of  red-light areas</t>
  </si>
  <si>
    <t>Non-formal Education Centres</t>
  </si>
  <si>
    <t>Anganwadi (education) Centres under I.C.D.S.</t>
  </si>
  <si>
    <t>TABLE 18.1</t>
  </si>
  <si>
    <t>TABLE 1.2</t>
  </si>
  <si>
    <t>TABLE 1.1</t>
  </si>
  <si>
    <t>Centres of Rabindra Mukta Vidyalaya</t>
  </si>
  <si>
    <t>TABLE 2.1(a)</t>
  </si>
  <si>
    <t>TABLE 2.2</t>
  </si>
  <si>
    <t xml:space="preserve">TABLE 2.3   </t>
  </si>
  <si>
    <t>TABLE 2.4(a)</t>
  </si>
  <si>
    <t>TABLE 2.4(b)</t>
  </si>
  <si>
    <t>TABLE 2.5(a)</t>
  </si>
  <si>
    <t>TABLE 2.5(b)</t>
  </si>
  <si>
    <t>TABLE 2.6</t>
  </si>
  <si>
    <t>TABLE 2.7</t>
  </si>
  <si>
    <t>TABLE 2.8</t>
  </si>
  <si>
    <t>TABLE 2.9</t>
  </si>
  <si>
    <t>TABLE 2.10(a)</t>
  </si>
  <si>
    <t>TABLE 2.11</t>
  </si>
  <si>
    <t>TABLE 2.10</t>
  </si>
  <si>
    <t>TABLE 3.1</t>
  </si>
  <si>
    <t>TABLE 3.2</t>
  </si>
  <si>
    <t>Zilla Parishad</t>
  </si>
  <si>
    <t>Gram Panchayat &amp; Panchayat Samity</t>
  </si>
  <si>
    <t>TABLE 3.2(a)</t>
  </si>
  <si>
    <t>TABLE 3.3</t>
  </si>
  <si>
    <t>TABLE 4.1(a)</t>
  </si>
  <si>
    <t>TABLE 4.1(b)</t>
  </si>
  <si>
    <t>TABLE 4.1(c)</t>
  </si>
  <si>
    <t>TABLE 4.2(a)</t>
  </si>
  <si>
    <t>TABLE 4.2(b)</t>
  </si>
  <si>
    <t>TABLE 4.2(c)</t>
  </si>
  <si>
    <t>Post &amp; Telegraph Offices in the district of Nadia</t>
  </si>
  <si>
    <t>TABLE 4.3(a)</t>
  </si>
  <si>
    <t>TABLE 4.3(b)</t>
  </si>
  <si>
    <t>TABLE 4.3(c)</t>
  </si>
  <si>
    <t>TABLE 4.4</t>
  </si>
  <si>
    <t>TABLE 4.5</t>
  </si>
  <si>
    <t>TABLE 4.6</t>
  </si>
  <si>
    <t>TABLE 4.7</t>
  </si>
  <si>
    <t>TABLE 4.8</t>
  </si>
  <si>
    <t>TABLE 5.1</t>
  </si>
  <si>
    <t>TABLE 5.2</t>
  </si>
  <si>
    <t>TABLE 5.3</t>
  </si>
  <si>
    <t>TABLE 5.3(a)</t>
  </si>
  <si>
    <t>TABLE 5.3(d)</t>
  </si>
  <si>
    <t>TABLE 5.3(e)</t>
  </si>
  <si>
    <t>TABLE 5.4</t>
  </si>
  <si>
    <t>TABLE 5.5(a)</t>
  </si>
  <si>
    <t>TABLE 5.5</t>
  </si>
  <si>
    <t>TABLE 5.8</t>
  </si>
  <si>
    <t>TABLE 5.6</t>
  </si>
  <si>
    <t>TABLE 5.7</t>
  </si>
  <si>
    <t>TABLE 6.1</t>
  </si>
  <si>
    <t>TABLE 6.2</t>
  </si>
  <si>
    <t>Total Tax
 Collected (Rs.)</t>
  </si>
  <si>
    <t>30.11.2010</t>
  </si>
  <si>
    <t>30.11.2011</t>
  </si>
  <si>
    <t>TABLE 7.1</t>
  </si>
  <si>
    <t>TABLE 7.2</t>
  </si>
  <si>
    <t>TABLE 8.2</t>
  </si>
  <si>
    <t>TABLE 8.1</t>
  </si>
  <si>
    <t>TABLE 8.3</t>
  </si>
  <si>
    <t>TABLE 8.4</t>
  </si>
  <si>
    <t>TABLE 9.1</t>
  </si>
  <si>
    <t>TABLE 9.2(b)</t>
  </si>
  <si>
    <t>TABLE 9.2</t>
  </si>
  <si>
    <t>TABLE 10.1</t>
  </si>
  <si>
    <t>TABLE 10.2</t>
  </si>
  <si>
    <t>TABLE 10.3</t>
  </si>
  <si>
    <t>TABLE 11.1(a)</t>
  </si>
  <si>
    <t>TABLE 11.2</t>
  </si>
  <si>
    <t>TABLE 11.4</t>
  </si>
  <si>
    <t>TABLE 13.2</t>
  </si>
  <si>
    <t>TABLE 13.3</t>
  </si>
  <si>
    <t>TABLE 14.2</t>
  </si>
  <si>
    <t>TABLE 14.1</t>
  </si>
  <si>
    <t>TABLE 15.1</t>
  </si>
  <si>
    <t>TABLE 15.2</t>
  </si>
  <si>
    <t>TABLE 17.1</t>
  </si>
  <si>
    <t>TABLE 17.2</t>
  </si>
  <si>
    <t>TABLE 18.2</t>
  </si>
  <si>
    <t>TABLE 18.3</t>
  </si>
  <si>
    <t xml:space="preserve"> TABLE 20.2</t>
  </si>
  <si>
    <t>TABLE 1.3</t>
  </si>
  <si>
    <t>TABLE 1.4</t>
  </si>
  <si>
    <t>TABLE 2.1</t>
  </si>
  <si>
    <t>TABLE 7.3</t>
  </si>
  <si>
    <t>TABLE 11.3</t>
  </si>
  <si>
    <t>TABLE 12.2</t>
  </si>
  <si>
    <t>TABLE 12.5</t>
  </si>
  <si>
    <t xml:space="preserve">TABLE 12.6                                                                            </t>
  </si>
  <si>
    <t>TABLE  12.7</t>
  </si>
  <si>
    <t>TABLE 12.4</t>
  </si>
  <si>
    <t>TABLE 12.3</t>
  </si>
  <si>
    <t xml:space="preserve">TABLE 12.1 </t>
  </si>
  <si>
    <t>BLOCK LEVEL STATISTICS</t>
  </si>
  <si>
    <t>Agricultural Meteorologist,</t>
  </si>
  <si>
    <t>8) Education cell under Zilla Parishad</t>
  </si>
  <si>
    <t>9) Each Sanskrit Tol</t>
  </si>
  <si>
    <t>Institutions</t>
  </si>
  <si>
    <t>Students</t>
  </si>
  <si>
    <t>Teachers</t>
  </si>
  <si>
    <t>(20)</t>
  </si>
  <si>
    <t>(21)</t>
  </si>
  <si>
    <t>(22)</t>
  </si>
  <si>
    <t>Description</t>
  </si>
  <si>
    <t>Hospitals</t>
  </si>
  <si>
    <t>2005-06</t>
  </si>
  <si>
    <t>Total deliveries performed</t>
  </si>
  <si>
    <t>Upto 5 years</t>
  </si>
  <si>
    <t>Above 5 years</t>
  </si>
  <si>
    <t>Daily</t>
  </si>
  <si>
    <t>Weekly</t>
  </si>
  <si>
    <t>Fortnightly</t>
  </si>
  <si>
    <t>Monthly</t>
  </si>
  <si>
    <t>Bengali</t>
  </si>
  <si>
    <t>English</t>
  </si>
  <si>
    <t>Hindi</t>
  </si>
  <si>
    <t>Urdu</t>
  </si>
  <si>
    <t>Reporting Area</t>
  </si>
  <si>
    <t>Forest Area</t>
  </si>
  <si>
    <t>Barren &amp; unculturable land</t>
  </si>
  <si>
    <t>Permanent pastures &amp; other grazing land</t>
  </si>
  <si>
    <t>Source : Census of India,  2001 &amp; 2011</t>
  </si>
  <si>
    <t>Beds per lakh of Population (Census 2011)</t>
  </si>
  <si>
    <t>Current fallow</t>
  </si>
  <si>
    <t>Net area sown</t>
  </si>
  <si>
    <t>Marginal</t>
  </si>
  <si>
    <t>Small</t>
  </si>
  <si>
    <t>Semi-medium</t>
  </si>
  <si>
    <t>Medium</t>
  </si>
  <si>
    <t>Large</t>
  </si>
  <si>
    <t>S   I   Z   E    -    C   L   A   S   S</t>
  </si>
  <si>
    <t>(Area in hectare)</t>
  </si>
  <si>
    <t xml:space="preserve">Tehatta Sub-Div. </t>
  </si>
  <si>
    <t>Tehatla Sub-Div.</t>
  </si>
  <si>
    <t xml:space="preserve"> Kalyani Sub-Div.</t>
  </si>
  <si>
    <t>Below 1.0 hectare</t>
  </si>
  <si>
    <t xml:space="preserve">          DPT  = Diphtheria Pertussis Tetanus</t>
  </si>
  <si>
    <t>10.0 hectares and above. It includes mostly institutional holdings</t>
  </si>
  <si>
    <t xml:space="preserve">Foodgrains : </t>
  </si>
  <si>
    <t>1.</t>
  </si>
  <si>
    <t>2.</t>
  </si>
  <si>
    <t>3.</t>
  </si>
  <si>
    <t>4.</t>
  </si>
  <si>
    <t>5.</t>
  </si>
  <si>
    <t>6.</t>
  </si>
  <si>
    <t>7.</t>
  </si>
  <si>
    <t>8.</t>
  </si>
  <si>
    <t>Crops</t>
  </si>
  <si>
    <t>Rice</t>
  </si>
  <si>
    <t>Aus</t>
  </si>
  <si>
    <t>Aman</t>
  </si>
  <si>
    <t>Boro</t>
  </si>
  <si>
    <t>Wheat</t>
  </si>
  <si>
    <t>Barley</t>
  </si>
  <si>
    <t>Maize</t>
  </si>
  <si>
    <t>Other Cereals</t>
  </si>
  <si>
    <t>Total Cereals</t>
  </si>
  <si>
    <t>Tur</t>
  </si>
  <si>
    <t>Other Pulses</t>
  </si>
  <si>
    <t>Total Pulses</t>
  </si>
  <si>
    <t>Total Foodgrains</t>
  </si>
  <si>
    <t>ADAC -   Animal Development Aid Centre</t>
  </si>
  <si>
    <t>ABAHC - Additional Block Animal Health Centre</t>
  </si>
  <si>
    <t>DVH -  District Veterinary Hospital</t>
  </si>
  <si>
    <t>Ranaghat-I           Ranaghat-II</t>
  </si>
  <si>
    <t>1
2</t>
  </si>
  <si>
    <t>3
4</t>
  </si>
  <si>
    <t>9
10</t>
  </si>
  <si>
    <t>14
15</t>
  </si>
  <si>
    <t>Other Oil seeds</t>
  </si>
  <si>
    <t>Total Oil seeds</t>
  </si>
  <si>
    <t>Jute</t>
  </si>
  <si>
    <t>Mesta</t>
  </si>
  <si>
    <t>Karimpur
Hogolbaria</t>
  </si>
  <si>
    <t>2.4(a)</t>
  </si>
  <si>
    <t>2.4(b)</t>
  </si>
  <si>
    <t>Sugarcane</t>
  </si>
  <si>
    <t>Potato</t>
  </si>
  <si>
    <t>Tobacco</t>
  </si>
  <si>
    <t>Tea</t>
  </si>
  <si>
    <t>Chillies (dry)</t>
  </si>
  <si>
    <t>Ginger</t>
  </si>
  <si>
    <t>Total Miscellaneous crops</t>
  </si>
  <si>
    <t>(Thousand hectares)</t>
  </si>
  <si>
    <t>Sources :</t>
  </si>
  <si>
    <t>2) B.A.E.&amp; S., Govt. of W.B.</t>
  </si>
  <si>
    <t>Upto</t>
  </si>
  <si>
    <t>(Thousand tonnes)</t>
  </si>
  <si>
    <t>(Kilogram per hectare)</t>
  </si>
  <si>
    <t>** Govt. Institutions only</t>
  </si>
  <si>
    <t>Total Revenue Receipt</t>
  </si>
  <si>
    <t>Max</t>
  </si>
  <si>
    <t>Min</t>
  </si>
  <si>
    <t>District Total  (2011)</t>
  </si>
  <si>
    <t>Visual</t>
  </si>
  <si>
    <t>Speech</t>
  </si>
  <si>
    <t>Hearing</t>
  </si>
  <si>
    <t>Locomotor</t>
  </si>
  <si>
    <t>Literacy Rate by sex in rural and urban areas</t>
  </si>
  <si>
    <t>(Per cent)</t>
  </si>
  <si>
    <t>(Commercial &amp; Gramin) (No. in ' 000)*</t>
  </si>
  <si>
    <t>* As per Census 2011 Population</t>
  </si>
  <si>
    <t>* In bales / hectare</t>
  </si>
  <si>
    <t>District</t>
  </si>
  <si>
    <t>West Bengal</t>
  </si>
  <si>
    <t>Fruits</t>
  </si>
  <si>
    <t>Mango</t>
  </si>
  <si>
    <t>Banana</t>
  </si>
  <si>
    <t>Pineapple</t>
  </si>
  <si>
    <t>Papaya</t>
  </si>
  <si>
    <t>Guava</t>
  </si>
  <si>
    <t>Jackfruit</t>
  </si>
  <si>
    <t>Litchi</t>
  </si>
  <si>
    <t>Mandarin Orange</t>
  </si>
  <si>
    <t>Other Citrus</t>
  </si>
  <si>
    <t>Sapota</t>
  </si>
  <si>
    <t>B.</t>
  </si>
  <si>
    <t>Vegetables</t>
  </si>
  <si>
    <t>Tomato</t>
  </si>
  <si>
    <t>Cabbage</t>
  </si>
  <si>
    <t>Cauliflower</t>
  </si>
  <si>
    <t>Peas</t>
  </si>
  <si>
    <t>Brinjal</t>
  </si>
  <si>
    <t>Onion</t>
  </si>
  <si>
    <t>Cucurbits</t>
  </si>
  <si>
    <t>Ladies Finger</t>
  </si>
  <si>
    <t>Radish</t>
  </si>
  <si>
    <t>-</t>
  </si>
  <si>
    <t>Krishnagar-I</t>
  </si>
  <si>
    <t>Krishnagar(M)</t>
  </si>
  <si>
    <t>Krishnagar-II</t>
  </si>
  <si>
    <t>3) Tea Board</t>
  </si>
  <si>
    <t>Production</t>
  </si>
  <si>
    <t>Rose</t>
  </si>
  <si>
    <t>Chrysanthemum</t>
  </si>
  <si>
    <t>Gladiolus</t>
  </si>
  <si>
    <t>Tuberose</t>
  </si>
  <si>
    <t>Marigold</t>
  </si>
  <si>
    <t>Jasmine</t>
  </si>
  <si>
    <t>Seasonal Flower</t>
  </si>
  <si>
    <t>Item</t>
  </si>
  <si>
    <t>Reserved forest</t>
  </si>
  <si>
    <t>Protected forest</t>
  </si>
  <si>
    <t>Unclassed state forest</t>
  </si>
  <si>
    <t>Khas forest</t>
  </si>
  <si>
    <t xml:space="preserve">Timber </t>
  </si>
  <si>
    <t>Fuel</t>
  </si>
  <si>
    <t>Krishnananagar-I</t>
  </si>
  <si>
    <t>Pole</t>
  </si>
  <si>
    <t>Revenue</t>
  </si>
  <si>
    <t>Expenditure</t>
  </si>
  <si>
    <t>Tank</t>
  </si>
  <si>
    <t>HDTW</t>
  </si>
  <si>
    <t>MDTW</t>
  </si>
  <si>
    <t>LDTW</t>
  </si>
  <si>
    <t>STW</t>
  </si>
  <si>
    <t>RLI</t>
  </si>
  <si>
    <t>ODW</t>
  </si>
  <si>
    <t>Area irrigated by</t>
  </si>
  <si>
    <t xml:space="preserve">MDTW = </t>
  </si>
  <si>
    <t xml:space="preserve">LDTW = </t>
  </si>
  <si>
    <t xml:space="preserve">STW = </t>
  </si>
  <si>
    <t xml:space="preserve">RLI = </t>
  </si>
  <si>
    <t>ODW =</t>
  </si>
  <si>
    <t>High capacity Deep Tubewell</t>
  </si>
  <si>
    <t>Middle capacity Deep Tubewell</t>
  </si>
  <si>
    <t>Low capacity Deep Tubewell</t>
  </si>
  <si>
    <t>Shallow Tubewell</t>
  </si>
  <si>
    <t>River Lift Irrigation</t>
  </si>
  <si>
    <t>Open Dug Well</t>
  </si>
  <si>
    <t>Capacity (MT)</t>
  </si>
  <si>
    <t>No.of Cultivators benefitted</t>
  </si>
  <si>
    <t>Cattle :</t>
  </si>
  <si>
    <t>Sources : As in Table No. 4.1(a), 4.1(b), 4.1(c)</t>
  </si>
  <si>
    <t xml:space="preserve">  Sub-Division/ 
C.D.Block/ M/ N.A. </t>
  </si>
  <si>
    <t>Source : Directorate of Agriculture(Evaluation), Govt. of W.B.</t>
  </si>
  <si>
    <t>Source : Land &amp; Land Reforms Deptt., Govt. of W.B.</t>
  </si>
  <si>
    <t>1) Directorate of Agriculture, Govt. of W.B.</t>
  </si>
  <si>
    <t>2) B.A.E.&amp; S., Govt. of  W.B.</t>
  </si>
  <si>
    <t>Name of Fruits/ Vegetables</t>
  </si>
  <si>
    <t>Cows</t>
  </si>
  <si>
    <t>Young Stock</t>
  </si>
  <si>
    <t>Buffaloes :</t>
  </si>
  <si>
    <t>Goats</t>
  </si>
  <si>
    <t>Pigs</t>
  </si>
  <si>
    <t>Fowls</t>
  </si>
  <si>
    <t>Ducks</t>
  </si>
  <si>
    <t>BAHC</t>
  </si>
  <si>
    <t>ABAHC</t>
  </si>
  <si>
    <t>ADAC</t>
  </si>
  <si>
    <t>MAHC</t>
  </si>
  <si>
    <t>Veterinary personnel</t>
  </si>
  <si>
    <t>MAHC  -  Mobile Animal Health Centre</t>
  </si>
  <si>
    <t>SAHC  -  State Animal Health Centre</t>
  </si>
  <si>
    <t>District 2001</t>
  </si>
  <si>
    <t>Central Bank</t>
  </si>
  <si>
    <t>GENERAL UNIVERSITIES (excluding completely Technical Universities)</t>
  </si>
  <si>
    <t xml:space="preserve">           </t>
  </si>
  <si>
    <t>Ranaghat-II</t>
  </si>
  <si>
    <t>All Credit Societies (1 + 2 + 3 + 4)</t>
  </si>
  <si>
    <t>Employment situation:</t>
  </si>
  <si>
    <t>Total of All Credit &amp; Non-Credit Societies (5 + 6)</t>
  </si>
  <si>
    <t>Name of the Subdivisions and Blocks &amp; Municipalities</t>
  </si>
  <si>
    <t>Urban / Metropolitan</t>
  </si>
  <si>
    <t>2013-14</t>
  </si>
  <si>
    <t>5434*</t>
  </si>
  <si>
    <t>6839 **</t>
  </si>
  <si>
    <t>705**</t>
  </si>
  <si>
    <t>25*</t>
  </si>
  <si>
    <r>
      <t>#</t>
    </r>
    <r>
      <rPr>
        <sz val="9"/>
        <rFont val="Arial"/>
        <family val="2"/>
      </rPr>
      <t xml:space="preserve"> As per Census Population 2011</t>
    </r>
  </si>
  <si>
    <t>* As per Census Population 2001</t>
  </si>
  <si>
    <t>(a) "Rural" includes all centres having population of 10,000 or less</t>
  </si>
  <si>
    <t>(b) "Semi-urban" includes all centres with population over 10,000 and upto 1 lakh</t>
  </si>
  <si>
    <t>(c) "Urban" includes all centres with population over 1 lakh and upto 10 lakhs</t>
  </si>
  <si>
    <t>New Business</t>
  </si>
  <si>
    <t>Loan Distributed</t>
  </si>
  <si>
    <t>-*</t>
  </si>
  <si>
    <t>1st year's premium including 1st premium</t>
  </si>
  <si>
    <t xml:space="preserve">AIC  - Artificial Insemination Centre </t>
  </si>
  <si>
    <t>Employment</t>
  </si>
  <si>
    <t>Table 8.2(a)</t>
  </si>
  <si>
    <t>Domestic</t>
  </si>
  <si>
    <t>Industrial</t>
  </si>
  <si>
    <t>Public lighting</t>
  </si>
  <si>
    <t>NIC '08
 Code</t>
  </si>
  <si>
    <t>Manufacture of Food Products</t>
  </si>
  <si>
    <t>Manufacture of Tobacco Products</t>
  </si>
  <si>
    <t>Manufacture of Textiles</t>
  </si>
  <si>
    <t>Manufacture of coke and refined petroleum products</t>
  </si>
  <si>
    <t>Manufacture of pharmaceuticals, medicinal chemical and botanical products</t>
  </si>
  <si>
    <t>Manufacture of other non-metallic mineral products</t>
  </si>
  <si>
    <t>Manufacture of computer, electronic and optical products</t>
  </si>
  <si>
    <t>Manufacture of electrical equipment</t>
  </si>
  <si>
    <t>Manufacture of wood and products of wood and cork, except furniture; manufacture of articles of straw and plaiting materials</t>
  </si>
  <si>
    <t>Manufacture of fabricated metal products, except machinery and equipment</t>
  </si>
  <si>
    <t>Wholesale and retail trade and repair of motor vehicles and motorcycles</t>
  </si>
  <si>
    <t>All Establishments</t>
  </si>
  <si>
    <t xml:space="preserve">Agricultural irrigation &amp; dewatering    </t>
  </si>
  <si>
    <t>*</t>
  </si>
  <si>
    <t>TABLE  5.1(b)</t>
  </si>
  <si>
    <t>TABLE  5.1(a)</t>
  </si>
  <si>
    <t xml:space="preserve">TABLE  5.3(c)  </t>
  </si>
  <si>
    <t>TABLE  5.3(b)</t>
  </si>
  <si>
    <t>Cocoons production</t>
  </si>
  <si>
    <t>Mulberry</t>
  </si>
  <si>
    <t>Tasar</t>
  </si>
  <si>
    <t>Eri</t>
  </si>
  <si>
    <t>Muga</t>
  </si>
  <si>
    <t>Sector</t>
  </si>
  <si>
    <t>Sectors</t>
  </si>
  <si>
    <t>Agricultural</t>
  </si>
  <si>
    <t>Non-agricultural</t>
  </si>
  <si>
    <t>Ranaghat(M)</t>
  </si>
  <si>
    <t>Chakdaha</t>
  </si>
  <si>
    <t>Chakdaha(M)</t>
  </si>
  <si>
    <t>Kalyani(M)</t>
  </si>
  <si>
    <t>Haringhata</t>
  </si>
  <si>
    <t>Krishnanagar</t>
  </si>
  <si>
    <t>Mouzas</t>
  </si>
  <si>
    <t>No. of persons died</t>
  </si>
  <si>
    <t>Females employed</t>
  </si>
  <si>
    <t>Industrial supervisory</t>
  </si>
  <si>
    <t>Clerical</t>
  </si>
  <si>
    <t>Educational</t>
  </si>
  <si>
    <t>Unskilled</t>
  </si>
  <si>
    <t>All groups</t>
  </si>
  <si>
    <t>Fresh registration during the year</t>
  </si>
  <si>
    <t>Placement effected during the year</t>
  </si>
  <si>
    <t>Vacancies notified during the year</t>
  </si>
  <si>
    <t>On live-register at the end of the year</t>
  </si>
  <si>
    <t>Old-age assistance</t>
  </si>
  <si>
    <t>Recipients (No.)</t>
  </si>
  <si>
    <t>Widow assistance</t>
  </si>
  <si>
    <t>Handicapped assistance</t>
  </si>
  <si>
    <t>Superintendent</t>
  </si>
  <si>
    <t>Murder</t>
  </si>
  <si>
    <t>Dacoity</t>
  </si>
  <si>
    <t>Robbery</t>
  </si>
  <si>
    <t>Burglary</t>
  </si>
  <si>
    <t>Rioting</t>
  </si>
  <si>
    <t>Theft</t>
  </si>
  <si>
    <t>Offences against women</t>
  </si>
  <si>
    <t>Offences Reported</t>
  </si>
  <si>
    <t>Cases Tried</t>
  </si>
  <si>
    <t>Persons Convicted</t>
  </si>
  <si>
    <t>Persons Acquitted</t>
  </si>
  <si>
    <t xml:space="preserve">Karimpur-I </t>
  </si>
  <si>
    <t>Category of police force</t>
  </si>
  <si>
    <t xml:space="preserve">Karimpur-I   </t>
  </si>
  <si>
    <t>Ranaghat Sub-Div.</t>
  </si>
  <si>
    <t>S.D.P.O.</t>
  </si>
  <si>
    <t>Inspector</t>
  </si>
  <si>
    <t>Sub-Inspector</t>
  </si>
  <si>
    <t>J.C.O.</t>
  </si>
  <si>
    <t>Naik</t>
  </si>
  <si>
    <t>Name of Zilla Parishad</t>
  </si>
  <si>
    <t>No. of factories</t>
  </si>
  <si>
    <t>No. of Employees</t>
  </si>
  <si>
    <t>Source : Bureau of Applied Economics &amp; Statistics, Govt. of W.B.</t>
  </si>
  <si>
    <t>Coopers' Camp(N.A.)</t>
  </si>
  <si>
    <t>Irrigation and Waterways Directorate, 
Govt. of W.B.</t>
  </si>
  <si>
    <t>4946*</t>
  </si>
  <si>
    <t>4960*</t>
  </si>
  <si>
    <t>* Excluding private bodies</t>
  </si>
  <si>
    <r>
      <t>**</t>
    </r>
    <r>
      <rPr>
        <vertAlign val="superscript"/>
        <sz val="9"/>
        <rFont val="Arial"/>
        <family val="2"/>
      </rPr>
      <t xml:space="preserve"> </t>
    </r>
    <r>
      <rPr>
        <sz val="9"/>
        <rFont val="Arial"/>
        <family val="2"/>
      </rPr>
      <t>Included with Ranaghat(M)</t>
    </r>
  </si>
  <si>
    <t>Asstt. Engineer, (Agri Mech.) &amp; (Agri. Irri.), 
Nadia</t>
  </si>
  <si>
    <t>No. of Vehicles</t>
  </si>
  <si>
    <t>No. of Trips conducted</t>
  </si>
  <si>
    <t>No. of Tourists 
Staying in 
Tourist 
Lodges</t>
  </si>
  <si>
    <t>Name of Municipality/ Notified Area</t>
  </si>
  <si>
    <t>Local Bodies</t>
  </si>
  <si>
    <t>Rural Hospitals</t>
  </si>
  <si>
    <t xml:space="preserve"> Block Primary Health 
Centres</t>
  </si>
  <si>
    <t xml:space="preserve">Primary Health
 Centres </t>
  </si>
  <si>
    <t>Date of Establishment</t>
  </si>
  <si>
    <t>Receipts</t>
  </si>
  <si>
    <t>Land Revenue</t>
  </si>
  <si>
    <t>Auto Rick-shaw</t>
  </si>
  <si>
    <t>TABLE 13.1</t>
  </si>
  <si>
    <t>Stamp Revenue &amp; Registration Fees</t>
  </si>
  <si>
    <t>Excise Revenue</t>
  </si>
  <si>
    <t>' 000 Hectares</t>
  </si>
  <si>
    <t>Taxes on Vehicles</t>
  </si>
  <si>
    <t>Electricity Duty</t>
  </si>
  <si>
    <t>Entertain-
ment Tax</t>
  </si>
  <si>
    <t>Culturable waste land</t>
  </si>
  <si>
    <t>Commodity</t>
  </si>
  <si>
    <t>Market</t>
  </si>
  <si>
    <t xml:space="preserve">                        (Number)</t>
  </si>
  <si>
    <t>Principal Market Yard</t>
  </si>
  <si>
    <t xml:space="preserve">Month </t>
  </si>
  <si>
    <t>Annual average</t>
  </si>
  <si>
    <t>Modified ration shop</t>
  </si>
  <si>
    <t>249351(I)</t>
  </si>
  <si>
    <t>610 (I)</t>
  </si>
  <si>
    <t>16056 (I)</t>
  </si>
  <si>
    <t>(Kilometre)</t>
  </si>
  <si>
    <t>P.W.D.</t>
  </si>
  <si>
    <t>National Highways</t>
  </si>
  <si>
    <t>State Highways</t>
  </si>
  <si>
    <t>District Roads</t>
  </si>
  <si>
    <t>Village Roads</t>
  </si>
  <si>
    <t>Sl.
No.</t>
  </si>
  <si>
    <t>No. of
 Members</t>
  </si>
  <si>
    <t>No. of
 Ferry 
Services</t>
  </si>
  <si>
    <t>Mass Literacy Centre 
 (Continuing Education Programme)</t>
  </si>
  <si>
    <t>Police
 Station</t>
  </si>
  <si>
    <t>Area under 
Non-agricultural use</t>
  </si>
  <si>
    <t>(Population in Number)</t>
  </si>
  <si>
    <t>Family Welfare Centres</t>
  </si>
  <si>
    <t>Municipal
 Corporation</t>
  </si>
  <si>
    <t>Tehatta Sub- Div.</t>
  </si>
  <si>
    <t>Age
 group (Years)</t>
  </si>
  <si>
    <t>Age not
 stated</t>
  </si>
  <si>
    <t>Other Live-stock</t>
  </si>
  <si>
    <t xml:space="preserve">Total
 Population </t>
  </si>
  <si>
    <t>P.C. of rural population to total population</t>
  </si>
  <si>
    <t>Hindu</t>
  </si>
  <si>
    <t>Muslim</t>
  </si>
  <si>
    <t>Christian</t>
  </si>
  <si>
    <t>Sikh</t>
  </si>
  <si>
    <t>Buddhist</t>
  </si>
  <si>
    <t>Jain</t>
  </si>
  <si>
    <t>District Magistrate, Nadia</t>
  </si>
  <si>
    <t>Agricultural Income Tax Officer, Nadia</t>
  </si>
  <si>
    <t>Sub-Divisional Officers, Tehatta, Ranaghat</t>
  </si>
  <si>
    <t>and Kalyani</t>
  </si>
  <si>
    <t>Goods Vehicles</t>
  </si>
  <si>
    <t>Motor car &amp; Jeep</t>
  </si>
  <si>
    <t>Motor cycle &amp; Scooter</t>
  </si>
  <si>
    <t>Taxi &amp; Contract Carriage</t>
  </si>
  <si>
    <t xml:space="preserve">                          Source : Agricultural Census, West Bengal</t>
  </si>
  <si>
    <t>Krishnanagar (P)</t>
  </si>
  <si>
    <t>(P)=Part</t>
  </si>
  <si>
    <t>2) Directorate of Panchayat, Govt. of W.B.</t>
  </si>
  <si>
    <t>3) L.S.G. Cell under D.M. Office, Nadia</t>
  </si>
  <si>
    <t>Population
(Number)</t>
  </si>
  <si>
    <t>Density of Population 
( per Sq. Km.)</t>
  </si>
  <si>
    <t>Gayeshpur</t>
  </si>
  <si>
    <t>Note : Total Workers = Main workers + Marginal workers</t>
  </si>
  <si>
    <t>Population by religion in the district of Nadia, 1991 and 2001</t>
  </si>
  <si>
    <t>Religious
 Community</t>
  </si>
  <si>
    <t>P.C. to total population of the district</t>
  </si>
  <si>
    <t>Population by religion and by sex in the district of Nadia, 2001</t>
  </si>
  <si>
    <t>Sub-Division / 
Town</t>
  </si>
  <si>
    <t>Sub-Division /
 C.D.Block / M / N.A.</t>
  </si>
  <si>
    <t>Other Departments of Govt. of West Bengal including State Govt. Undertaking</t>
  </si>
  <si>
    <t>Total No. 
of Beds</t>
  </si>
  <si>
    <t>Total
 No. of Doctors</t>
  </si>
  <si>
    <t>N.G.O. / Private Bodies
(Nursing Homes)</t>
  </si>
  <si>
    <t>N.G.O. / Private Bodies (Nursing Homes)</t>
  </si>
  <si>
    <t>Sub-Division /
C.D.Block / M / N.A.</t>
  </si>
  <si>
    <t>Teachers in different type of Professional &amp; Technical Educational Institutions in the district of Nadia</t>
  </si>
  <si>
    <t xml:space="preserve">Number of 
Cinema Houses </t>
  </si>
  <si>
    <t>Sitting Capacity (Number)</t>
  </si>
  <si>
    <t xml:space="preserve">      The present issue of the District Statistical Handbook seeks to provide statistical information on various socio-economic aspects of the district in a compact form. Attempts have been made to incorporate up-to-date information so that continuity of the time series of the data published in earlier issues is maintained. Data at the Block level have also been incorporated as far as available, so that those could be effectively used by planners, policymakers and researchers.
       I express my gratitude to the different offices situated in the district for active co-operation received from their end in timely supply of data. I like to put in my appreciation to the officials of the Handbook, Co-ordination &amp; Nucleus (Compilation) units of the Head Office and  District  office of the Bureau of Applied Economics &amp;   Statistics for their sincere and sustained effort in bringing out the publication.
      Suggestions for any improvement of the publication will be highly appreciated. </t>
  </si>
  <si>
    <t>Geographical Location</t>
  </si>
  <si>
    <t>Monthly Rainfall</t>
  </si>
  <si>
    <t>Nursing Home</t>
  </si>
  <si>
    <t xml:space="preserve">Rural </t>
  </si>
  <si>
    <t xml:space="preserve">Urban </t>
  </si>
  <si>
    <t>Tractor &amp; Trailer</t>
  </si>
  <si>
    <t>Note : Area in hectare, Production in Thousand MT &amp; Yield in Kg/hect</t>
  </si>
  <si>
    <t>Population by religion</t>
  </si>
  <si>
    <t>Achievement of Universal Immunization Programme</t>
  </si>
  <si>
    <t>Teachers in different type of General Educational Institutions</t>
  </si>
  <si>
    <t>Source : Live-stock Census Report, Govt. of W.B.</t>
  </si>
  <si>
    <t>1) Directorate of Rationing, Govt. of W.B.</t>
  </si>
  <si>
    <t>Reformatory or Certified Institutions or Welfare Homes under Social Welfare Deptt. for the Juveniles or destitute children or the children of red-light areas</t>
  </si>
  <si>
    <t>Cinema Houses</t>
  </si>
  <si>
    <t>Newspapers and Periodicals published</t>
  </si>
  <si>
    <t>Area and Production of Fruits and Vegetables</t>
  </si>
  <si>
    <t>District Total- 4</t>
  </si>
  <si>
    <t>Govt. of India including Central Govt. Undertaking</t>
  </si>
  <si>
    <t>(b) Junior Madrasahs</t>
  </si>
  <si>
    <t>(b) High Madrasahs</t>
  </si>
  <si>
    <t>(e) Senior Madrasahs</t>
  </si>
  <si>
    <t xml:space="preserve">* In 1000 bales of 180 kgs each </t>
  </si>
  <si>
    <t>Occupational Group</t>
  </si>
  <si>
    <t>Krishnagar Sub-Div.</t>
  </si>
  <si>
    <t>1) District Panchayat Officer, Nadia</t>
  </si>
  <si>
    <t>* Included with Ranaghat(M)</t>
  </si>
  <si>
    <t>Registered Working Factories (Daily Average)</t>
  </si>
  <si>
    <t>** State funded Literacy Programme</t>
  </si>
  <si>
    <t>6953.44**</t>
  </si>
  <si>
    <t>* Included with Ranaghat-I</t>
  </si>
  <si>
    <t>10</t>
  </si>
  <si>
    <t>11</t>
  </si>
  <si>
    <t>12</t>
  </si>
  <si>
    <t>13</t>
  </si>
  <si>
    <t>14</t>
  </si>
  <si>
    <t>16</t>
  </si>
  <si>
    <t>17</t>
  </si>
  <si>
    <t>19</t>
  </si>
  <si>
    <t>20</t>
  </si>
  <si>
    <t>21</t>
  </si>
  <si>
    <t>22</t>
  </si>
  <si>
    <t>23</t>
  </si>
  <si>
    <t>24</t>
  </si>
  <si>
    <t>25</t>
  </si>
  <si>
    <t>26</t>
  </si>
  <si>
    <t>27</t>
  </si>
  <si>
    <t>38</t>
  </si>
  <si>
    <t>45</t>
  </si>
  <si>
    <t>95</t>
  </si>
  <si>
    <t>Manufacture of  beverages</t>
  </si>
  <si>
    <t>Manufacture of rubber and plastics products</t>
  </si>
  <si>
    <t>Waste collection, treatment and disposal activities; materials recovery</t>
  </si>
  <si>
    <t>Repair of computers and personal and household goods</t>
  </si>
  <si>
    <t>Banking :</t>
  </si>
  <si>
    <t>Directorate of Agriculture, Govt.of W.B.</t>
  </si>
  <si>
    <t>Note : i) Under the schemes NOAPS(National Old-age 
             Pension scheme), NFBS (National Family 
             Benefit Scheme) etc.</t>
  </si>
  <si>
    <t xml:space="preserve">           ii) No separate quota has been allotted to 
              Birnagar(M), Taherpur(N.A.), Cooper's 
              Camp(N.A.), Kalyani(M) &amp; Gayeshpur(M). 
              Quota allotted by government are mainly 
              distributed in rural area of every block.</t>
  </si>
  <si>
    <t>31.10.2010</t>
  </si>
  <si>
    <t>16.12.2013</t>
  </si>
  <si>
    <t>As on</t>
  </si>
  <si>
    <t xml:space="preserve">
2.</t>
  </si>
  <si>
    <t>Chief Inspector of Factories, Govt. of  W.B.</t>
  </si>
  <si>
    <t>B.A.E.&amp; S., Govt. of  W.B.</t>
  </si>
  <si>
    <t>Employment in Registered Factories and State Government Offices in the district of Nadia</t>
  </si>
  <si>
    <t xml:space="preserve">Registered Factories
(Registered under Factory Act)
(as on 31st December)
</t>
  </si>
  <si>
    <t>2) District Social Welfare Officer, Nadia</t>
  </si>
  <si>
    <t>3) District Mass Education Extension Officer, Nadia</t>
  </si>
  <si>
    <t>4) District Programme Officer(ICDS), Nadia</t>
  </si>
  <si>
    <t>5) District Education Officer, Nadia</t>
  </si>
  <si>
    <t>6) District Social Education Officer, Nadia</t>
  </si>
  <si>
    <t>Institutions, Students and Teachers by Block, Municipality &amp; Notified Area</t>
  </si>
  <si>
    <t>General College &amp; University
(Excluding Open University)</t>
  </si>
  <si>
    <t>Year (as on 
31st March)</t>
  </si>
  <si>
    <t>1940(E)</t>
  </si>
  <si>
    <t>1984(E)</t>
  </si>
  <si>
    <t>Misc. Flower</t>
  </si>
  <si>
    <t>(f) Institute of Radiology / Pathology / Bio-Chemistry / 
    Laboratory Technology / Radiography / Physiotherapy / 
    Radiotherapy / ECG</t>
  </si>
  <si>
    <t>Working capital 
(Rs. in thousand)</t>
  </si>
  <si>
    <t>Branch Manager, L.I.C. of India, Krishnanagar-I, Krishnanagar-II,  
Nabadwip, Ranaghat and Kalyani Branchs</t>
  </si>
  <si>
    <t>Railway Traction &amp; 
Non-traction</t>
  </si>
  <si>
    <t>Sub-market Yard</t>
  </si>
  <si>
    <t xml:space="preserve">  Year (as on 31st March)</t>
  </si>
  <si>
    <t>Addl. Superintendent</t>
  </si>
  <si>
    <t>Dy. Superintendent</t>
  </si>
  <si>
    <t>Asstt. Sub-Inspector</t>
  </si>
  <si>
    <t xml:space="preserve">6) Assistant Commissioner, Commercial 
    Taxes, W.B.(Krishnanagar Charges) </t>
  </si>
  <si>
    <t xml:space="preserve">Notes : 1) </t>
  </si>
  <si>
    <t xml:space="preserve">2) </t>
  </si>
  <si>
    <t>1) B.A.E &amp; S., Govt. of W.B.</t>
  </si>
  <si>
    <t>Expendi-
ture
( ' 000 Rs.)</t>
  </si>
  <si>
    <t xml:space="preserve">Assistance to
 needy fishermen
( ' 000 Rs.)
</t>
  </si>
  <si>
    <t>Mental Illness</t>
  </si>
  <si>
    <t>Mental Retardation</t>
  </si>
  <si>
    <t>Other Disability</t>
  </si>
  <si>
    <t>Multiple Disability</t>
  </si>
  <si>
    <t>Population (2011)</t>
  </si>
  <si>
    <t>labourers (2011)</t>
  </si>
  <si>
    <t>Census of India, 2011</t>
  </si>
  <si>
    <t>Distribution of Rural &amp; Urban Population by sex, 2011</t>
  </si>
  <si>
    <t>Rice(Aman common)</t>
  </si>
  <si>
    <t>.-</t>
  </si>
  <si>
    <t>STW*</t>
  </si>
  <si>
    <t>Distribution of Population by sex &amp; by age group, 2011</t>
  </si>
  <si>
    <t xml:space="preserve">Net area available for pisciculture
(Hect.)
</t>
  </si>
  <si>
    <t xml:space="preserve">Net area under effective pisciculture
(Hect.)
</t>
  </si>
  <si>
    <t>1) Exe. Engr., PWD (Roads)</t>
  </si>
  <si>
    <t>3) B.D.O.s, Nadia</t>
  </si>
  <si>
    <t>Sub-
Division</t>
  </si>
  <si>
    <t>- *</t>
  </si>
  <si>
    <t>Public 
Library</t>
  </si>
  <si>
    <t>Free 
Reading Room</t>
  </si>
  <si>
    <t>Post and Telegraph Offices</t>
  </si>
  <si>
    <t>N.B.: C.D. Block / M.C./ M / N.A.-wise figures of area
         for Census 2011 are not available at present</t>
  </si>
  <si>
    <t>Police Stations and Out-posts</t>
  </si>
  <si>
    <t>Number of Seats in Municipal Corporations, Municipalities, Notified Areas and Panchayats</t>
  </si>
  <si>
    <t>Source : Dist. Panchayat &amp; R.D. Officer, Nadia</t>
  </si>
  <si>
    <t>Total Workers (TW)</t>
  </si>
  <si>
    <t>No. of Unreserved Constituencies</t>
  </si>
  <si>
    <t>Land under misc. tree groves not included in 'Net area sown'</t>
  </si>
  <si>
    <t>Fallow land other than Current fallow</t>
  </si>
  <si>
    <t>238 (P)</t>
  </si>
  <si>
    <t>15895 (P)</t>
  </si>
  <si>
    <t>No. of holdings</t>
  </si>
  <si>
    <t>Average Size of holdings (hectare)</t>
  </si>
  <si>
    <t>(Area in Hectare)</t>
  </si>
  <si>
    <t>Area of Land distributed 
(hectare)</t>
  </si>
  <si>
    <t>Number of Beneficiaries</t>
  </si>
  <si>
    <t>Area (Thousand hectares)</t>
  </si>
  <si>
    <t>Production (Thousand tonnes)</t>
  </si>
  <si>
    <t>Crore 
Cut Flower</t>
  </si>
  <si>
    <t>Thousand Cu. Metre</t>
  </si>
  <si>
    <t>Rs. in thousand</t>
  </si>
  <si>
    <t>Milk (Thousand tonnes)</t>
  </si>
  <si>
    <t>Egg (Number in thousand)</t>
  </si>
  <si>
    <t>Horses and Ponies</t>
  </si>
  <si>
    <t>BAHC - Block Animal Health Centre</t>
  </si>
  <si>
    <t>Note :-</t>
  </si>
  <si>
    <t>Loans repayment by individuals &amp; other societies
(Rs. in thousand)</t>
  </si>
  <si>
    <t>Semi-urban</t>
  </si>
  <si>
    <t>Directorate of Micro &amp; Small Scale Enterprises,
Govt. of W.B.</t>
  </si>
  <si>
    <t>(Thousand K.W.H.)</t>
  </si>
  <si>
    <t>Value of production (Thousand rupees)</t>
  </si>
  <si>
    <t>Source : Employment Exchange Offices, Krishnanagar, Ranaghat &amp; Kalyani</t>
  </si>
  <si>
    <t>Skilled &amp; Semi-skilled</t>
  </si>
  <si>
    <t>100 Lt.</t>
  </si>
  <si>
    <t>Musur(Small)</t>
  </si>
  <si>
    <t>Base : 2006-07 = 100</t>
  </si>
  <si>
    <t>Centre : Nadia - Murshidabad</t>
  </si>
  <si>
    <t>Source : Commissioner of Labour, Govt. of  W.B.</t>
  </si>
  <si>
    <t>* The decline in length of roads is due to transfer
  of authority of maintenance to other agencies.</t>
  </si>
  <si>
    <t>Pradhan Mantri  
Gram Sadak Yojana</t>
  </si>
  <si>
    <t>Length of Roads maintained by Municipalities &amp; Notified Areas</t>
  </si>
  <si>
    <t>2) Home(Transport) Deptt., Govt. of W.B.</t>
  </si>
  <si>
    <t>(Thousand rupees)</t>
  </si>
  <si>
    <t>Population, Receipt and Expenditure of Municipalities &amp; Notified Areas</t>
  </si>
  <si>
    <t>Agri. Income Tax</t>
  </si>
  <si>
    <t xml:space="preserve"> 1) B.D.O.s, Nadia</t>
  </si>
  <si>
    <t xml:space="preserve"> 2) A.D.O.s, Nadia</t>
  </si>
  <si>
    <t xml:space="preserve"> 3) Principal Agricultural Officer, Nadia</t>
  </si>
  <si>
    <t xml:space="preserve"> 4) Dist. Controller (F &amp; S), Nadia</t>
  </si>
  <si>
    <t>* According to Agricultural Census (W.B.), 2010-11</t>
  </si>
  <si>
    <t>3) Asstt. Engr. (Agri. Mech) &amp; (Agri. Irri.), Nadia</t>
  </si>
  <si>
    <t>2) Divisional Engr. (Irrigation), Nadia</t>
  </si>
  <si>
    <t>Distance of the nearest Rly. Stn. from the Block H.Q.
(K.M.)</t>
  </si>
  <si>
    <t>Source : All Block Development Officers, Nadia</t>
  </si>
  <si>
    <t>Receipt and Expenditure of Zilla Parishad</t>
  </si>
  <si>
    <t>Population by religion in the Blocks</t>
  </si>
  <si>
    <t>Commercial and Gramin Banks in the Blocks</t>
  </si>
  <si>
    <t>Progress of L.I.C.</t>
  </si>
  <si>
    <t>Progress of Commercial Banking</t>
  </si>
  <si>
    <t>Consumption of Electricity</t>
  </si>
  <si>
    <t>' 000 KWH</t>
  </si>
  <si>
    <t>Km.</t>
  </si>
  <si>
    <t>Revenue collected from different sources</t>
  </si>
  <si>
    <t>No. of 
Males</t>
  </si>
  <si>
    <t>Ranaghat &amp; Taherpur</t>
  </si>
  <si>
    <t>Dhantala &amp; Gangnapur</t>
  </si>
  <si>
    <t>Hospitals, Health Centres etc.</t>
  </si>
  <si>
    <t>' 000 Rs.</t>
  </si>
  <si>
    <t>Tehatta  Sub-Div.</t>
  </si>
  <si>
    <t>Type of Institution</t>
  </si>
  <si>
    <t>HDTW = High Capacity Deep Tubewell</t>
  </si>
  <si>
    <t>MDTW = Middle Capacity Deep Tubewell</t>
  </si>
  <si>
    <t>LDTW  = Low Capacity Deep Tubewell</t>
  </si>
  <si>
    <t>= Shallow Tubewell</t>
  </si>
  <si>
    <t>= River  Lift Irrigation</t>
  </si>
  <si>
    <t>Tehatta Sub-Division</t>
  </si>
  <si>
    <t>Krishnanagar Sub-Division</t>
  </si>
  <si>
    <t>Kalyani Sub-Division</t>
  </si>
  <si>
    <t>Ranaghat Sub-Division</t>
  </si>
  <si>
    <t xml:space="preserve">1) Dy. C.M.O.H.-I &amp; II, Nadia </t>
  </si>
  <si>
    <t>11) I.H.D.C., Ushagram Trust, Nadia</t>
  </si>
  <si>
    <t>No. of Family Welfare Centres</t>
  </si>
  <si>
    <t>Source :</t>
  </si>
  <si>
    <t>AIC (Incl. Pranibandhu &amp; Co-operatives)</t>
  </si>
  <si>
    <t>Prices  as on February (in Rs.)</t>
  </si>
  <si>
    <t>No. of accidents occurred</t>
  </si>
  <si>
    <t>Source : Dy. Director of Tourism, Nadia</t>
  </si>
  <si>
    <t>* Including Driver, Police Driver, Havildar Police Driver</t>
  </si>
  <si>
    <t>TABLE 18.1 (Concld.)</t>
  </si>
  <si>
    <t>TABLE 18.1 (Contd.)</t>
  </si>
  <si>
    <t>Name of
Block</t>
  </si>
  <si>
    <t>1) Principal Agricultural Officer, Nadia</t>
  </si>
  <si>
    <t xml:space="preserve">Manufacture of  wearing apparel </t>
  </si>
  <si>
    <t>(d) "Metropolitan" includes all centres with population over 10 lakhs</t>
  </si>
  <si>
    <t>Nadia</t>
  </si>
  <si>
    <t>Karimpur-I</t>
  </si>
  <si>
    <t>Karimpur-II</t>
  </si>
  <si>
    <t>Tehatta-II</t>
  </si>
  <si>
    <t>Tehatta-I</t>
  </si>
  <si>
    <t>Kaliganj</t>
  </si>
  <si>
    <t>Nakashipara</t>
  </si>
  <si>
    <t>Chapra</t>
  </si>
  <si>
    <t>Krishnaganj</t>
  </si>
  <si>
    <t>Krishnanagar-I</t>
  </si>
  <si>
    <t>Krishnanagar(M)</t>
  </si>
  <si>
    <t>Krishnanagar-II</t>
  </si>
  <si>
    <t xml:space="preserve">Nabadwip </t>
  </si>
  <si>
    <t>Nabadwip(M)</t>
  </si>
  <si>
    <t>Santipur</t>
  </si>
  <si>
    <t>Table No.</t>
  </si>
  <si>
    <t>Santipur(M)</t>
  </si>
  <si>
    <t>Hanskhali</t>
  </si>
  <si>
    <t>a) working factories</t>
  </si>
  <si>
    <t>b) average daily employment</t>
  </si>
  <si>
    <t>Commercial</t>
  </si>
  <si>
    <t>Statutory ration shop</t>
  </si>
  <si>
    <t>= Open Dug Well</t>
  </si>
  <si>
    <t>(K.M.)</t>
  </si>
  <si>
    <t>(23)</t>
  </si>
  <si>
    <t>(24)</t>
  </si>
  <si>
    <t>(25)</t>
  </si>
  <si>
    <t>(26)</t>
  </si>
  <si>
    <t>(27)</t>
  </si>
  <si>
    <t>(28)</t>
  </si>
  <si>
    <t>(29)</t>
  </si>
  <si>
    <t>(30)</t>
  </si>
  <si>
    <t>(31)</t>
  </si>
  <si>
    <t>(32)</t>
  </si>
  <si>
    <t>(33)</t>
  </si>
  <si>
    <t>(34)</t>
  </si>
  <si>
    <t>(35)</t>
  </si>
  <si>
    <t>(36)</t>
  </si>
  <si>
    <t>(38)</t>
  </si>
  <si>
    <t>(37)</t>
  </si>
  <si>
    <t>(39)</t>
  </si>
  <si>
    <t>(40)</t>
  </si>
  <si>
    <t>(41)</t>
  </si>
  <si>
    <t>Density of Population</t>
  </si>
  <si>
    <t>TABLE 3.1 (Concld.)</t>
  </si>
  <si>
    <t>(b) Municipalities/ local bodies etc.</t>
  </si>
  <si>
    <t>Musur</t>
  </si>
  <si>
    <t>(42)</t>
  </si>
  <si>
    <t>(43)</t>
  </si>
  <si>
    <t>(44)</t>
  </si>
  <si>
    <t>Mini Bus</t>
  </si>
  <si>
    <t>Stage Carriage</t>
  </si>
  <si>
    <t>No. of persons injured</t>
  </si>
  <si>
    <t>..</t>
  </si>
  <si>
    <t>Post Office</t>
  </si>
  <si>
    <t>Telegraph Office</t>
  </si>
  <si>
    <t>Combined Office</t>
  </si>
  <si>
    <t>Name of Block</t>
  </si>
  <si>
    <t xml:space="preserve">        (Number)</t>
  </si>
  <si>
    <t>Sl.</t>
  </si>
  <si>
    <t>Bargadars</t>
  </si>
  <si>
    <t>Patta</t>
  </si>
  <si>
    <t>holders</t>
  </si>
  <si>
    <t>farmers*</t>
  </si>
  <si>
    <t>TECHNICAL SCHOOLS</t>
  </si>
  <si>
    <t>TECHNICAL COLLEGES</t>
  </si>
  <si>
    <t>TECHNICAL UNIVERSITIES</t>
  </si>
  <si>
    <t>District Total</t>
  </si>
  <si>
    <t>22º53' N</t>
  </si>
  <si>
    <t>Bureau  of  Applied  Economics  &amp;  Statistics</t>
  </si>
  <si>
    <t>Government  of  West Bengal</t>
  </si>
  <si>
    <t>Contents</t>
  </si>
  <si>
    <t>Centre : Krishnanagar</t>
  </si>
  <si>
    <t>88º48' E</t>
  </si>
  <si>
    <t>88º09' E</t>
  </si>
  <si>
    <t>23º24' N</t>
  </si>
  <si>
    <t>88º31' E</t>
  </si>
  <si>
    <t>Tehatta Sub-Div.</t>
  </si>
  <si>
    <t>Sl. No</t>
  </si>
  <si>
    <t>Maskalai</t>
  </si>
  <si>
    <t>Mustard</t>
  </si>
  <si>
    <t>Linseed</t>
  </si>
  <si>
    <t>Prod.</t>
  </si>
  <si>
    <t>2011-12</t>
  </si>
  <si>
    <t xml:space="preserve">     Sub-Division /
 C.D.Block / M / N.A.</t>
  </si>
  <si>
    <t>30.11.2012</t>
  </si>
  <si>
    <t>All Group  Combined Index</t>
  </si>
  <si>
    <t xml:space="preserve"> February</t>
  </si>
  <si>
    <t xml:space="preserve">March </t>
  </si>
  <si>
    <t xml:space="preserve">April </t>
  </si>
  <si>
    <t xml:space="preserve">May  </t>
  </si>
  <si>
    <t xml:space="preserve"> July</t>
  </si>
  <si>
    <t xml:space="preserve"> August</t>
  </si>
  <si>
    <t>Year/Month</t>
  </si>
  <si>
    <t>Yield</t>
  </si>
  <si>
    <t>Prod.*</t>
  </si>
  <si>
    <t>Yield**</t>
  </si>
  <si>
    <t>Canal</t>
  </si>
  <si>
    <t>Area</t>
  </si>
  <si>
    <t xml:space="preserve"> </t>
  </si>
  <si>
    <t>No. of Govt. Schemes operated</t>
  </si>
  <si>
    <t>Cattle</t>
  </si>
  <si>
    <t>Buffaloes</t>
  </si>
  <si>
    <t>Poultry Birds</t>
  </si>
  <si>
    <t>Number of Bank offices</t>
  </si>
  <si>
    <t>Gramin Bank</t>
  </si>
  <si>
    <t>2012-13</t>
  </si>
  <si>
    <t>Last 5 years</t>
  </si>
  <si>
    <t>Tehattta-II</t>
  </si>
  <si>
    <r>
      <t>Note : Marginal</t>
    </r>
    <r>
      <rPr>
        <b/>
        <sz val="9"/>
        <rFont val="Arial"/>
        <family val="2"/>
      </rPr>
      <t xml:space="preserve"> :</t>
    </r>
  </si>
  <si>
    <r>
      <t>Small</t>
    </r>
    <r>
      <rPr>
        <b/>
        <sz val="9"/>
        <rFont val="Arial"/>
        <family val="2"/>
      </rPr>
      <t xml:space="preserve"> :</t>
    </r>
  </si>
  <si>
    <r>
      <t xml:space="preserve">Semi-medium </t>
    </r>
    <r>
      <rPr>
        <b/>
        <sz val="9"/>
        <rFont val="Arial"/>
        <family val="2"/>
      </rPr>
      <t>:</t>
    </r>
  </si>
  <si>
    <r>
      <t xml:space="preserve">Medium </t>
    </r>
    <r>
      <rPr>
        <b/>
        <sz val="9"/>
        <rFont val="Arial"/>
        <family val="2"/>
      </rPr>
      <t>:</t>
    </r>
  </si>
  <si>
    <r>
      <t xml:space="preserve">Large </t>
    </r>
    <r>
      <rPr>
        <b/>
        <sz val="9"/>
        <rFont val="Arial"/>
        <family val="2"/>
      </rPr>
      <t>:</t>
    </r>
  </si>
  <si>
    <r>
      <t>Average 
population
 per office</t>
    </r>
    <r>
      <rPr>
        <vertAlign val="superscript"/>
        <sz val="10"/>
        <rFont val="Arial Narrow"/>
        <family val="2"/>
      </rPr>
      <t>#</t>
    </r>
    <r>
      <rPr>
        <sz val="10"/>
        <rFont val="Arial Narrow"/>
        <family val="2"/>
      </rPr>
      <t xml:space="preserve">
(in thousand) </t>
    </r>
  </si>
  <si>
    <r>
      <t xml:space="preserve">Amount disbursed 
</t>
    </r>
    <r>
      <rPr>
        <sz val="10"/>
        <rFont val="Arial Narrow"/>
        <family val="2"/>
      </rPr>
      <t>(in thousand rupees)</t>
    </r>
  </si>
  <si>
    <r>
      <t xml:space="preserve">Recognized </t>
    </r>
    <r>
      <rPr>
        <b/>
        <u/>
        <sz val="10"/>
        <rFont val="Arial"/>
        <family val="2"/>
      </rPr>
      <t>Primary Schools</t>
    </r>
    <r>
      <rPr>
        <b/>
        <sz val="10"/>
        <rFont val="Arial"/>
        <family val="2"/>
      </rPr>
      <t xml:space="preserve"> under the control of 
or of the type of</t>
    </r>
  </si>
  <si>
    <r>
      <t xml:space="preserve">Recognized </t>
    </r>
    <r>
      <rPr>
        <b/>
        <u/>
        <sz val="10"/>
        <rFont val="Arial"/>
        <family val="2"/>
      </rPr>
      <t>Middle Schools</t>
    </r>
    <r>
      <rPr>
        <b/>
        <sz val="10"/>
        <rFont val="Arial"/>
        <family val="2"/>
      </rPr>
      <t xml:space="preserve"> under the control of 
or of the type of</t>
    </r>
  </si>
  <si>
    <r>
      <t xml:space="preserve">Recognized </t>
    </r>
    <r>
      <rPr>
        <b/>
        <u/>
        <sz val="10"/>
        <rFont val="Arial"/>
        <family val="2"/>
      </rPr>
      <t>High Schools</t>
    </r>
    <r>
      <rPr>
        <b/>
        <sz val="10"/>
        <rFont val="Arial"/>
        <family val="2"/>
      </rPr>
      <t xml:space="preserve"> under the control of 
or of the type of</t>
    </r>
  </si>
  <si>
    <r>
      <t xml:space="preserve">Recognized </t>
    </r>
    <r>
      <rPr>
        <b/>
        <u/>
        <sz val="10"/>
        <rFont val="Arial"/>
        <family val="2"/>
      </rPr>
      <t>Higher Secondary Schools</t>
    </r>
    <r>
      <rPr>
        <b/>
        <sz val="10"/>
        <rFont val="Arial"/>
        <family val="2"/>
      </rPr>
      <t xml:space="preserve"> under 
the control of or of the type of</t>
    </r>
  </si>
  <si>
    <r>
      <t xml:space="preserve">Recognized </t>
    </r>
    <r>
      <rPr>
        <b/>
        <u/>
        <sz val="10"/>
        <rFont val="Arial"/>
        <family val="2"/>
      </rPr>
      <t>Higher Secondary Schools</t>
    </r>
    <r>
      <rPr>
        <b/>
        <sz val="10"/>
        <rFont val="Arial"/>
        <family val="2"/>
      </rPr>
      <t xml:space="preserve"> under the 
control of or of the type of</t>
    </r>
  </si>
  <si>
    <t>Cooper's camp(N.A.)</t>
  </si>
  <si>
    <t>Unsurfaced</t>
  </si>
  <si>
    <t>District:-</t>
  </si>
  <si>
    <t>Krisnanagar Sub-div.</t>
  </si>
  <si>
    <t>Number of</t>
  </si>
  <si>
    <t>Karimpur</t>
  </si>
  <si>
    <t>C.T.</t>
  </si>
  <si>
    <t>1) Asstt. Engineer, Agricultural Mech., Nadia</t>
  </si>
  <si>
    <t>TABLE 2.10(a) (Concld.)</t>
  </si>
  <si>
    <t>Sources : 1)</t>
  </si>
  <si>
    <t>2)</t>
  </si>
  <si>
    <t>Thousand
hectares</t>
  </si>
  <si>
    <t xml:space="preserve">2) Asstt. Engineer, Agri. Irrigation, Nadia </t>
  </si>
  <si>
    <t>Kshidirpur</t>
  </si>
  <si>
    <t>M</t>
  </si>
  <si>
    <t>Dy. Director, Animal Resources and Development Parishad Office, Nadia</t>
  </si>
  <si>
    <t>Bablari Dewanganj</t>
  </si>
  <si>
    <t>Phulia</t>
  </si>
  <si>
    <t>O.G.</t>
  </si>
  <si>
    <t>Taherpur</t>
  </si>
  <si>
    <t>01.11.1864</t>
  </si>
  <si>
    <t xml:space="preserve"> 02.09.1864</t>
  </si>
  <si>
    <t xml:space="preserve"> 01.04.1869</t>
  </si>
  <si>
    <t xml:space="preserve"> 01.10.1853</t>
  </si>
  <si>
    <t>01.05.1886</t>
  </si>
  <si>
    <t>7) Head of each centre of Rabindra Mukta Vidyalaya</t>
  </si>
  <si>
    <t>Krishnanagar Sub-Div.</t>
  </si>
  <si>
    <t>Kalyani Sub-Div.</t>
  </si>
  <si>
    <t>Karimpur-I              Karimpur-II</t>
  </si>
  <si>
    <t>Date of Establish-ment</t>
  </si>
  <si>
    <t>Tehatta -I                 Tehatta-II</t>
  </si>
  <si>
    <t>Krishnanagar-I       Krishnanagar-II</t>
  </si>
  <si>
    <t xml:space="preserve">Hanskhali </t>
  </si>
  <si>
    <t>Birnagar</t>
  </si>
  <si>
    <t>Cooper's Camp</t>
  </si>
  <si>
    <t>N.A.</t>
  </si>
  <si>
    <t>TABLE 2.1(b)</t>
  </si>
  <si>
    <t>Cooper's Camp(N.A.)</t>
  </si>
  <si>
    <t>Sl.  No.</t>
  </si>
  <si>
    <t>2.1(a)</t>
  </si>
  <si>
    <t>2.5(a)</t>
  </si>
  <si>
    <t>2.5(b)</t>
  </si>
  <si>
    <t xml:space="preserve">Note : HDTW = </t>
  </si>
  <si>
    <t>Tamarind</t>
  </si>
  <si>
    <t>Mira</t>
  </si>
  <si>
    <t>Matiari</t>
  </si>
  <si>
    <t>Baruihuda</t>
  </si>
  <si>
    <t>Paschimbhatjangla</t>
  </si>
  <si>
    <t>Nrisinghapur</t>
  </si>
  <si>
    <t>Harinadibhastsala</t>
  </si>
  <si>
    <t>Ghoralia</t>
  </si>
  <si>
    <t>Beharia</t>
  </si>
  <si>
    <t>Bagula</t>
  </si>
  <si>
    <t>Badkulla</t>
  </si>
  <si>
    <t>Patuli</t>
  </si>
  <si>
    <t>Gangni</t>
  </si>
  <si>
    <t>Kamgachhi</t>
  </si>
  <si>
    <t>Raghabpur</t>
  </si>
  <si>
    <t>Panpara</t>
  </si>
  <si>
    <t>Aistala</t>
  </si>
  <si>
    <t>Satigachha</t>
  </si>
  <si>
    <t>Anulia</t>
  </si>
  <si>
    <t>Gopalpur</t>
  </si>
  <si>
    <t>Parbbatipur</t>
  </si>
  <si>
    <t>Halalpur Krishnapur</t>
  </si>
  <si>
    <t>Hijuli</t>
  </si>
  <si>
    <t>Nasra</t>
  </si>
  <si>
    <t>Gangnapur</t>
  </si>
  <si>
    <t>Belgharia</t>
  </si>
  <si>
    <t>Punglia</t>
  </si>
  <si>
    <t>Darappur</t>
  </si>
  <si>
    <t>Chanduria</t>
  </si>
  <si>
    <t>Simurali</t>
  </si>
  <si>
    <t>Priyanagar</t>
  </si>
  <si>
    <t>Jangal</t>
  </si>
  <si>
    <t>Madanpur</t>
  </si>
  <si>
    <t>Haringhata Farm</t>
  </si>
  <si>
    <t>Simhat</t>
  </si>
  <si>
    <t>Subarnapur</t>
  </si>
  <si>
    <t>Digha</t>
  </si>
  <si>
    <t>Magurkhali</t>
  </si>
  <si>
    <t>0 / 0 / 0 / 2</t>
  </si>
  <si>
    <t>2 / 0 / 0 / 16</t>
  </si>
  <si>
    <t>3 / 2 / 5 / 23</t>
  </si>
  <si>
    <t>M / N.A./
O.G./ C.T.</t>
  </si>
  <si>
    <t>3 / 0 / 0 / 14</t>
  </si>
  <si>
    <t>8 / 2 / 5 / 55</t>
  </si>
  <si>
    <t>TABLE 2.6 (Contd.)</t>
  </si>
  <si>
    <t>TABLE 2.6 (Concld.)</t>
  </si>
  <si>
    <t>Lalpur</t>
  </si>
  <si>
    <t>Saguna</t>
  </si>
  <si>
    <t>Kulia</t>
  </si>
  <si>
    <t>Sonda</t>
  </si>
  <si>
    <t>Mahishdanga</t>
  </si>
  <si>
    <t>Bhaduri</t>
  </si>
  <si>
    <t>Barasat</t>
  </si>
  <si>
    <t>Gadigachha</t>
  </si>
  <si>
    <t>Department of Statistics &amp; Programme Implementation</t>
  </si>
  <si>
    <t>(a) Less than 50 hectares</t>
  </si>
  <si>
    <t>(b)  Less than 50 tonnes</t>
  </si>
  <si>
    <t>Public Water Works &amp; Sewerage Pump</t>
  </si>
  <si>
    <t>2010-11</t>
  </si>
  <si>
    <t>2009-10</t>
  </si>
  <si>
    <t>2.10(a)</t>
  </si>
  <si>
    <t>3.2(a)</t>
  </si>
  <si>
    <t>1.2</t>
  </si>
  <si>
    <t>1.1</t>
  </si>
  <si>
    <t>1.3</t>
  </si>
  <si>
    <t>1.4</t>
  </si>
  <si>
    <t>2.1</t>
  </si>
  <si>
    <t>2.2</t>
  </si>
  <si>
    <t>2.3</t>
  </si>
  <si>
    <t>2.6</t>
  </si>
  <si>
    <t>2.7</t>
  </si>
  <si>
    <t>2.8</t>
  </si>
  <si>
    <t>2.9</t>
  </si>
  <si>
    <t>2.10</t>
  </si>
  <si>
    <t>2.11</t>
  </si>
  <si>
    <t>3.1</t>
  </si>
  <si>
    <t>3.2</t>
  </si>
  <si>
    <t>3.3</t>
  </si>
  <si>
    <t>Assembly and Parliamentary Constituencies</t>
  </si>
  <si>
    <t>Students by sex in different type of General Educational Institutions</t>
  </si>
  <si>
    <t>Students by sex in different type of Professional &amp; Technical Educational Institutions</t>
  </si>
  <si>
    <t>Students by sex in different type of Special &amp; Non-formal Educational Institutions</t>
  </si>
  <si>
    <t xml:space="preserve">Teachers in different type of Professional &amp; Technical Educational Institutions </t>
  </si>
  <si>
    <t>Teachers in different type of Special &amp; Non-formal Educational Institutions</t>
  </si>
  <si>
    <t>Percentage of Population :</t>
  </si>
  <si>
    <t xml:space="preserve">                    Male</t>
  </si>
  <si>
    <t>per cent</t>
  </si>
  <si>
    <t>Krishnanagar          Sub-Division</t>
  </si>
  <si>
    <t>Ranaghat               Sub-Division</t>
  </si>
  <si>
    <t>Tehatta 
Sub-Division</t>
  </si>
  <si>
    <t>Kalyani 
Sub-Division</t>
  </si>
  <si>
    <t>Oil Seeds :</t>
  </si>
  <si>
    <t>Fibres :</t>
  </si>
  <si>
    <t>Miscellaneous crops :</t>
  </si>
  <si>
    <t>Fibres* :</t>
  </si>
  <si>
    <t>Thousand 
M.T.</t>
  </si>
  <si>
    <r>
      <t>59671</t>
    </r>
    <r>
      <rPr>
        <vertAlign val="superscript"/>
        <sz val="10"/>
        <rFont val="Arial"/>
        <family val="2"/>
      </rPr>
      <t>#</t>
    </r>
  </si>
  <si>
    <t>Department of Statistical Analysis and Computer Services, Reserve Bank of India, Mumbai</t>
  </si>
  <si>
    <t>Source : All Municipalities &amp; Notified Area Authorities, Nadia</t>
  </si>
  <si>
    <t>Source : Zilla Parishad, Nadia</t>
  </si>
  <si>
    <t>3) Superintendent, E.S.I. Hospital, Kalyani</t>
  </si>
  <si>
    <t>Yield rate of Rice</t>
  </si>
  <si>
    <t>No. of Constituencies reserved for</t>
  </si>
  <si>
    <t>No. of Females</t>
  </si>
  <si>
    <t>GENERAL UNIVERSITIES (excluding completely 
Technical Universities)</t>
  </si>
  <si>
    <t>(d) Railway(ER / SER) / DVC etc.</t>
  </si>
  <si>
    <t>(b) Municipalities / Local bodies etc.</t>
  </si>
  <si>
    <t>Other
 Taxes</t>
  </si>
  <si>
    <t>Sub-Division / 
C.D.Block / M / N.A.</t>
  </si>
  <si>
    <t xml:space="preserve">    Department, Govt. of W.B.</t>
  </si>
  <si>
    <t>Source : Directorate of Animal Resources &amp; Animal Health, Govt. of W.B.</t>
  </si>
  <si>
    <t>Source : Directorate of Agricultural Marketing., Govt. of W.B.</t>
  </si>
  <si>
    <t>Source : Post Master General, West Bengal Circle</t>
  </si>
  <si>
    <t>Live-stock</t>
  </si>
  <si>
    <t xml:space="preserve"> Source : Asstt. Registrar of Co-operative Societies, Nadia</t>
  </si>
  <si>
    <t>Out-
growth</t>
  </si>
  <si>
    <t>P.C. of Col.(9) to respective total workers</t>
  </si>
  <si>
    <t>All Religions</t>
  </si>
  <si>
    <t>No. of Cases treated</t>
  </si>
  <si>
    <t>Educational Institutions for the Blind and other Physically &amp; Mentally Handicapped</t>
  </si>
  <si>
    <t>Primary School</t>
  </si>
  <si>
    <t>Middle School</t>
  </si>
  <si>
    <t>High School</t>
  </si>
  <si>
    <t>Higher Secondary School</t>
  </si>
  <si>
    <t>1.0 hectare and above but less than 2.0 hectares</t>
  </si>
  <si>
    <t>Area of holdings</t>
  </si>
  <si>
    <t>Other Fibres</t>
  </si>
  <si>
    <t>Total Fibres</t>
  </si>
  <si>
    <t>All crops combined</t>
  </si>
  <si>
    <t>Vested waste land</t>
  </si>
  <si>
    <t>Warehouses</t>
  </si>
  <si>
    <t>Cold Storages</t>
  </si>
  <si>
    <t>Bulls and Bullocks</t>
  </si>
  <si>
    <t>Total Cattle</t>
  </si>
  <si>
    <t>Total Buffaloes</t>
  </si>
  <si>
    <t>Sheep</t>
  </si>
  <si>
    <t>Total Live-stock</t>
  </si>
  <si>
    <t>TABLE 11.1</t>
  </si>
  <si>
    <t>Total Poultry</t>
  </si>
  <si>
    <t>Agricultural Credit Societies</t>
  </si>
  <si>
    <t>Primary Land Mortgage Bank</t>
  </si>
  <si>
    <t>West Bengal (P)</t>
  </si>
  <si>
    <t>Non-Agricultural Credit Societies</t>
  </si>
  <si>
    <t>Non-Credit Societies</t>
  </si>
  <si>
    <t>TABLE 9.2(a)</t>
  </si>
  <si>
    <t>No. of Tourists Carried</t>
  </si>
  <si>
    <t>Police Stations</t>
  </si>
  <si>
    <t>Out-posts</t>
  </si>
  <si>
    <t>Collection</t>
  </si>
  <si>
    <t>Til</t>
  </si>
  <si>
    <t>No. of Co-operative Societies</t>
  </si>
  <si>
    <t>Panchayat Samity</t>
  </si>
  <si>
    <t>Current Calendar Year</t>
  </si>
  <si>
    <t>Current Financial Year</t>
  </si>
  <si>
    <t xml:space="preserve">Census Year </t>
  </si>
  <si>
    <t>2001</t>
  </si>
  <si>
    <t>Professional &amp; Technical Schools,
Colleges &amp; Universities</t>
  </si>
  <si>
    <t>3) Water Investigation &amp; Development</t>
  </si>
  <si>
    <t>Poultry :</t>
  </si>
  <si>
    <t>Gram Panchayat &amp;
 Panchayat Samity</t>
  </si>
  <si>
    <t>Name of 
Sub-division</t>
  </si>
  <si>
    <t>Nadia Zilla Parishad</t>
  </si>
  <si>
    <t>02.10.1964</t>
  </si>
  <si>
    <t>Sales 
Tax</t>
  </si>
  <si>
    <t>Agricultural 
Labourers</t>
  </si>
  <si>
    <t>Household 
Ind. Workers</t>
  </si>
  <si>
    <t>Ranaghat 
Sub-Div.</t>
  </si>
  <si>
    <t>* Only Govt.</t>
  </si>
  <si>
    <t>All Industry</t>
  </si>
  <si>
    <t>Establishments  with hired workers</t>
  </si>
  <si>
    <t>Source : Collectorate (Election Deptt.), Nadia</t>
  </si>
  <si>
    <t>**</t>
  </si>
  <si>
    <t>Own Account Establishments</t>
  </si>
  <si>
    <t>Source : Census of India, 2001 &amp; 1991</t>
  </si>
  <si>
    <t>N.B. : Literacy relates to population aged 7 years and above</t>
  </si>
  <si>
    <t>Source : District Census Handbook, 1961</t>
  </si>
  <si>
    <t>Source : Directorate of Agriculture, Govt. of W.B.</t>
  </si>
  <si>
    <t>(Contd.)</t>
  </si>
  <si>
    <t>10) R.P.O.S.S., Nadia</t>
  </si>
  <si>
    <t xml:space="preserve">          BCG = Bacillus Calmette Guerin</t>
  </si>
  <si>
    <t>Sources  :</t>
  </si>
  <si>
    <t>TABLE 4.4 (Concld.)</t>
  </si>
  <si>
    <t>Page 
No.</t>
  </si>
  <si>
    <t>Administrative Units</t>
  </si>
  <si>
    <t>Contents ( Concld.)</t>
  </si>
  <si>
    <t>Approx. annual
 production
( Qtl.)</t>
  </si>
  <si>
    <t>Percentage of Irrigated area 
to Cultivated area</t>
  </si>
  <si>
    <t>24º11' N</t>
  </si>
  <si>
    <t>Registered Working Factories</t>
  </si>
  <si>
    <t xml:space="preserve">                        Minimum</t>
  </si>
  <si>
    <t>State Government Offices</t>
  </si>
  <si>
    <t>C.D.Block /
 M / N.A.</t>
  </si>
  <si>
    <t>TABLE 2.7 (Concld.)</t>
  </si>
  <si>
    <t>Sub-Division / C.D.Block / M / N.A.</t>
  </si>
  <si>
    <t>Others
(CC+OP+
MTP etc.)</t>
  </si>
  <si>
    <t>No. of persons 
taken loan</t>
  </si>
  <si>
    <t>No. of
 policies</t>
  </si>
  <si>
    <t>Sum assured 
(Rs. in Crore)</t>
  </si>
  <si>
    <t>Amount of loan
 (Rs. in thousand)</t>
  </si>
  <si>
    <t>Source : Assistant Director of Agricultural Marketing (Administrative), Nadia</t>
  </si>
  <si>
    <t>No. of gram panchayat offices with telephone facilities</t>
  </si>
  <si>
    <t>P.C. to 
total Popu-
lation of 
the Block</t>
  </si>
  <si>
    <t>2) District Engr., Zilla Parishad, Nadia</t>
  </si>
  <si>
    <t>No. of  Originating / Terminating Bus Routes</t>
  </si>
  <si>
    <t>Source : B.A.E.&amp; S., Govt. of W.B.</t>
  </si>
  <si>
    <t>Miscella-
neous</t>
  </si>
  <si>
    <t>2) Directorate of District Distribution,
    Procurement &amp; Supply., Govt. of W.B.</t>
  </si>
  <si>
    <t>1) Treasury Officer - I, Krishnanagar</t>
  </si>
  <si>
    <t>2) Treasury Officer - II, Krishnanagar</t>
  </si>
  <si>
    <t>3) Treasury Officer, Kalyani</t>
  </si>
  <si>
    <t>Number of Live-stock and Poultry in the Blocks</t>
  </si>
  <si>
    <t>Jagadanandapur</t>
  </si>
  <si>
    <t>(Women)</t>
  </si>
  <si>
    <r>
      <t>#</t>
    </r>
    <r>
      <rPr>
        <sz val="9"/>
        <rFont val="Arial"/>
        <family val="2"/>
      </rPr>
      <t xml:space="preserve"> Excluding MTP</t>
    </r>
  </si>
  <si>
    <t>(a) General Stream(Including independent H.S. School)</t>
  </si>
  <si>
    <t>(b) Vocational Stream(Including independent H.S. School)</t>
  </si>
  <si>
    <t>5) Each Madrasah</t>
  </si>
  <si>
    <t>7) Each Study Centre of Open University</t>
  </si>
  <si>
    <t>No. of offices</t>
  </si>
  <si>
    <t>P.C. of advances to deposits</t>
  </si>
  <si>
    <t>(c) Industrial Training Institutes (ITI)</t>
  </si>
  <si>
    <t>(d) Industrial Training Centres (ITC)</t>
  </si>
  <si>
    <t>(a) Pre-primary &amp; Primary Teachers' Training Institutes (PTTI)</t>
  </si>
  <si>
    <t>All other Commercial &amp; Vocational Institutions
(Affiliated to W.B. State Council of Technical Education)</t>
  </si>
  <si>
    <t>All other Commercial &amp; Vocational Institutions 
(Affiliated to W.B. State Council of Technical Education)</t>
  </si>
  <si>
    <t>4) Treasury Officer, Ranaghat</t>
  </si>
  <si>
    <t>5) Treasury Officer, Tehatta</t>
  </si>
  <si>
    <t>Base : 1982 = 100</t>
  </si>
  <si>
    <t>Classification of Land Utilization Statistics</t>
  </si>
  <si>
    <t>Growth of Population by sex</t>
  </si>
  <si>
    <t>Population by religion &amp; by sex.</t>
  </si>
  <si>
    <t>Births and Deaths in different Hospitals and Health Centres</t>
  </si>
  <si>
    <t>Public Libraries, Reading Rooms and Mass Literacy Centres</t>
  </si>
  <si>
    <t>Distribution of Operational Holdings over size-classes</t>
  </si>
  <si>
    <t>Area of Vested Agricultural Land distributed &amp; Number of Beneficiaries</t>
  </si>
  <si>
    <t>Area under Principal Crops</t>
  </si>
  <si>
    <t>Production of Principal Crops</t>
  </si>
  <si>
    <t>Yield rates of Principal Crops</t>
  </si>
  <si>
    <t>Yield rates of some Selected Crops</t>
  </si>
  <si>
    <t>Index Numbers of Agricultural Area, Production &amp; Productivity (Base : 1981-82 = 100)</t>
  </si>
  <si>
    <t>Area and Production of Flowers</t>
  </si>
  <si>
    <t>Classification of Forest Area, Out-turn of Forest Produce, Revenue &amp; Expenditure</t>
  </si>
  <si>
    <t>Area Irrigated by different sources</t>
  </si>
  <si>
    <t>Sources of Irrigation</t>
  </si>
  <si>
    <t>Fertilizer Consumed</t>
  </si>
  <si>
    <t>Warehousing and Cold Storage Facilities</t>
  </si>
  <si>
    <t>Estimated Production of Milk and Egg</t>
  </si>
  <si>
    <t>Live-stock and Poultry</t>
  </si>
  <si>
    <t>Veterinary Hospitals, Veterinary Personnel and Cases treated</t>
  </si>
  <si>
    <t>Progress of Co-operative Movement</t>
  </si>
  <si>
    <t>Micro &amp; Small Scale Enterprises with corresponding Employment</t>
  </si>
  <si>
    <t>Mouzas Electrified</t>
  </si>
  <si>
    <t>Consumption of Electricity by different sectors</t>
  </si>
  <si>
    <t>Selected Characteristics of Factories by industry group</t>
  </si>
  <si>
    <t>Production in Sericulture Industry</t>
  </si>
  <si>
    <t>Employment in Registered Factories &amp; State Government Offices</t>
  </si>
  <si>
    <t>Number of Establishments in rural and urban areas</t>
  </si>
  <si>
    <t>Number of Persons usually working in rural and urban Establishments</t>
  </si>
  <si>
    <t>Percentage of Hired Workers &amp; Females employed in Non-agricultural Establishments</t>
  </si>
  <si>
    <t>Applicants on the Live-register of Employment Exchanges</t>
  </si>
  <si>
    <t xml:space="preserve">Registration and Placement effected by Employment Exchanges </t>
  </si>
  <si>
    <t>Assistance to Old-aged Persons, Widows and Handicapped</t>
  </si>
  <si>
    <t>Wholesale Prices of Agricultural Commodities, Live-stock &amp; Live-stock Products</t>
  </si>
  <si>
    <t>Regulated Market by category</t>
  </si>
  <si>
    <t>Consumer Price Index Numbers for Families of all Expenditure Groups Combined</t>
  </si>
  <si>
    <t>Consumer Price Index Numbers for Industrial Workers</t>
  </si>
  <si>
    <t>Progress of Statutory and Modified Ration Shops</t>
  </si>
  <si>
    <t>Length of Roads maintained by P.W.D., Zilla Parishad &amp; Panchayat</t>
  </si>
  <si>
    <t>Length of different classes of Roads maintained by P.W.D.</t>
  </si>
  <si>
    <t>Registered Motor Vehicles</t>
  </si>
  <si>
    <t>Accidents on Roads</t>
  </si>
  <si>
    <t>Offences reported, Cases tried, Persons convicted and acquitted</t>
  </si>
  <si>
    <t>Strength of Police Force by category</t>
  </si>
  <si>
    <t xml:space="preserve">Net Collection from Small Savings </t>
  </si>
  <si>
    <t>Some Basic Statistics about the Blocks</t>
  </si>
  <si>
    <t>Persons Engaged in Agriculture in the Blocks</t>
  </si>
  <si>
    <t>Area, Production and Yield rates of Major Crops in the Blocks</t>
  </si>
  <si>
    <t>Source of Irrigation and Area Irrigated by different sources in the Blocks</t>
  </si>
  <si>
    <t>Particulars of Fisheries in the Blocks</t>
  </si>
  <si>
    <t>Length of Roads maintained by different agencies in the Blocks</t>
  </si>
  <si>
    <t>Transport Facilities in the Blocks</t>
  </si>
  <si>
    <t>Administrative Set-up :</t>
  </si>
  <si>
    <t>Sub-divisions</t>
  </si>
  <si>
    <t>Municipal Corporations</t>
  </si>
  <si>
    <t>Municipalities</t>
  </si>
  <si>
    <t>Blocks</t>
  </si>
  <si>
    <t>Sq. Km.</t>
  </si>
  <si>
    <t>Climate :</t>
  </si>
  <si>
    <t>Annual Rainfall</t>
  </si>
  <si>
    <t>Kg. per hect.</t>
  </si>
  <si>
    <t>Medical Facilities :</t>
  </si>
  <si>
    <t>Sub-centres</t>
  </si>
  <si>
    <t>University (Gen. &amp; Tech.)</t>
  </si>
  <si>
    <t>Micro &amp; Small Scale Enterprises</t>
  </si>
  <si>
    <t>Small farmer possesses agricultural land measuring more than 1 hectare and upto 2 hectares</t>
  </si>
  <si>
    <t xml:space="preserve">  Sources : 1)</t>
  </si>
  <si>
    <t>B.L. &amp; L.R.O.s, Nadia</t>
  </si>
  <si>
    <t xml:space="preserve">Agricultural Census(W.B.), </t>
  </si>
  <si>
    <t>Marginal farmer possesses agricultural land 
measuring upto 1 hectare</t>
  </si>
  <si>
    <t>Applicants on Live-register</t>
  </si>
  <si>
    <t>Post &amp; Telegraph Offices(Combined)</t>
  </si>
  <si>
    <t>Net Collection from Small Savings</t>
  </si>
  <si>
    <t>Nadia at a glance (Concld.)</t>
  </si>
  <si>
    <t>Municipalities &amp; Notified Areas</t>
  </si>
  <si>
    <t>Total Earning 
( ' 000 Rs.)</t>
  </si>
  <si>
    <t>In thousand bales of 180 kgs. each</t>
  </si>
  <si>
    <t>DTW</t>
  </si>
  <si>
    <t>DTW = Deep Tubewell = HDTW + MDTW + LDTW</t>
  </si>
  <si>
    <t>Sl. No.</t>
  </si>
  <si>
    <t>2) Member-Secretary, Nadia Zilla Saksharata Samity</t>
  </si>
  <si>
    <t>Source : Census of India</t>
  </si>
  <si>
    <t>No. of Tourist 
Lodges (Govt.)</t>
  </si>
  <si>
    <t>TABLE 16.1</t>
  </si>
  <si>
    <t>Source : Directorate of Food Processing Industries and Horticulture, Govt. of W.B.</t>
  </si>
  <si>
    <t>TABLE 19.1</t>
  </si>
  <si>
    <t xml:space="preserve">7) R.T.A., Nadia </t>
  </si>
  <si>
    <t>Special &amp; Non-formal
 Education</t>
  </si>
  <si>
    <t>Source : Deputy Director of Small Savings, Nadia</t>
  </si>
  <si>
    <t>TABLE 20.1</t>
  </si>
  <si>
    <t>TABLE 21.1</t>
  </si>
  <si>
    <t>TABLE 21.2</t>
  </si>
  <si>
    <t>Name of
 Block</t>
  </si>
  <si>
    <t xml:space="preserve">No. of persons
 engaged in the profession </t>
  </si>
  <si>
    <t xml:space="preserve">* * * * * * * * </t>
  </si>
  <si>
    <t>Rural Population</t>
  </si>
  <si>
    <t>Urban Population</t>
  </si>
  <si>
    <t>Krishnanagar 
Sub-Div.</t>
  </si>
  <si>
    <t>Name of
 the district</t>
  </si>
  <si>
    <t xml:space="preserve">  </t>
  </si>
  <si>
    <t>1. Area by Class of forest :</t>
  </si>
  <si>
    <t>2. Forest Produce :</t>
  </si>
  <si>
    <t>3. Revenue &amp; Expenditure :</t>
  </si>
  <si>
    <t>SAHC+ DVH</t>
  </si>
  <si>
    <t>Divisional Engineers, W.B.S.E.D.C.L.(O &amp; M) Div., 
Krishnanagar, Kalyani and Tehatta</t>
  </si>
  <si>
    <t>Upto 31st March</t>
  </si>
  <si>
    <t>Manufacture of paper and paper products</t>
  </si>
  <si>
    <t>Manufacture of chemicals and chemical products</t>
  </si>
  <si>
    <t>Manufacture of basic metals</t>
  </si>
  <si>
    <t xml:space="preserve">Head Constable </t>
  </si>
  <si>
    <t>Name of
 Flowers</t>
  </si>
  <si>
    <t xml:space="preserve">      </t>
  </si>
  <si>
    <t>Ranaghat</t>
  </si>
  <si>
    <t>Ranaghat-I</t>
  </si>
  <si>
    <t>Receipt</t>
  </si>
  <si>
    <t>Birnagar(M)</t>
  </si>
  <si>
    <t>Taherpur(N.A.)</t>
  </si>
  <si>
    <t xml:space="preserve">Chakdaha </t>
  </si>
  <si>
    <t>Kalyani</t>
  </si>
  <si>
    <t>Gayeshpur(M)</t>
  </si>
  <si>
    <t>4.4</t>
  </si>
  <si>
    <t>4.5</t>
  </si>
  <si>
    <t>4.6</t>
  </si>
  <si>
    <t>4.7</t>
  </si>
  <si>
    <t>4.8</t>
  </si>
  <si>
    <t>5.1(a)</t>
  </si>
  <si>
    <t>5.1(b)</t>
  </si>
  <si>
    <t>GENERAL RECOGNIZED SCHOOLS</t>
  </si>
  <si>
    <t>GENERAL DEGREE COLLEGES</t>
  </si>
  <si>
    <t>4/ 0/ 0</t>
  </si>
  <si>
    <t>7/ 2/ 0</t>
  </si>
  <si>
    <t>4/ 3/ 2</t>
  </si>
  <si>
    <t>2/ 3/ 0</t>
  </si>
  <si>
    <t>Source: Divisional Forest Officer, Nadia-Murshidabad Division</t>
  </si>
  <si>
    <t>Premium Income (Rs. in thousand)</t>
  </si>
  <si>
    <t>1) R.T.A., Nadia</t>
  </si>
  <si>
    <t>N.B.: 78 ADAC are functioning effectively at present</t>
  </si>
  <si>
    <t>17/ 8/ 2</t>
  </si>
  <si>
    <t>P.C. of population to district population</t>
  </si>
  <si>
    <t>No. of Female per 100 Males</t>
  </si>
  <si>
    <t>Sub-Division/ 
C.D.Block/ M/ N.A.</t>
  </si>
  <si>
    <t>P.C. to respective
 total population</t>
  </si>
  <si>
    <t>Sub-Division/
 C.D.Block/ M</t>
  </si>
  <si>
    <t>P.C. of Col.(4) to respective total population</t>
  </si>
  <si>
    <t>Total Population(A+B) :</t>
  </si>
  <si>
    <t>12438.441**</t>
  </si>
  <si>
    <t>10502.045*</t>
  </si>
  <si>
    <t>**Except Salary &amp; wages</t>
  </si>
  <si>
    <t>*No harvesting done in 2011-12.</t>
  </si>
  <si>
    <t>N.B: For Live Stock Census 2012</t>
  </si>
  <si>
    <t xml:space="preserve">other Live Stock covers Mules,Donkeys,Camels,Mithun and Yak etc. </t>
  </si>
  <si>
    <t>2*</t>
  </si>
  <si>
    <t>*: Two lodges are running for the year.</t>
  </si>
  <si>
    <t>31.10.2009</t>
  </si>
  <si>
    <t>30.11.2009</t>
  </si>
  <si>
    <t>246 (P)</t>
  </si>
  <si>
    <t>16165 (P)</t>
  </si>
  <si>
    <t xml:space="preserve">
Employment in 
State Government  Offices 
(as on 31st January)</t>
  </si>
  <si>
    <t>30.09.2010</t>
  </si>
  <si>
    <t>30.09.2011</t>
  </si>
  <si>
    <t>30.09.2012</t>
  </si>
  <si>
    <t>30.06.2013</t>
  </si>
  <si>
    <t>31.03.2014</t>
  </si>
  <si>
    <t>Source : P.W.D.(Roads) Directorate (Head Quarters) , Govt. of W.B.</t>
  </si>
  <si>
    <t>Sources :  1)</t>
  </si>
  <si>
    <t>P.W.D.(Roads) Directorate (Head Quarters) , Govt. of W.B.</t>
  </si>
  <si>
    <t xml:space="preserve">Zilla Parishad, Murshidabad  </t>
  </si>
  <si>
    <t>All B.D.O.s, Murshidabad</t>
  </si>
  <si>
    <t>I. LOCATION, RAINFALL AND CLIMATE (4 Tables)</t>
  </si>
  <si>
    <t>II. AREA AND POPULATION (16 Tables)</t>
  </si>
  <si>
    <t>III. PUBLIC HEALTH (5 Tables)</t>
  </si>
  <si>
    <t>IV. EDUCATION AND CULTURE (14 Tables)</t>
  </si>
  <si>
    <t>V. AGRICULTURE &amp; ALLIED SECTORS (16 Tables)</t>
  </si>
  <si>
    <t>VI. LIVE-STOCK (2 Tables)</t>
  </si>
  <si>
    <t>VII. CO-OPERATIVE, BANKING &amp; INSURANCE (3 Tables)</t>
  </si>
  <si>
    <t>VIII. INDUSTRY (5 Tables)</t>
  </si>
  <si>
    <t>IX. EMPLOYMENT AND LABOUR (4 Tables)</t>
  </si>
  <si>
    <t>X. EMPLOYMENT EXCHANGE AND SOCIAL SERVICE (3 Tables)</t>
  </si>
  <si>
    <t>XI. PRICE (5 Tables)</t>
  </si>
  <si>
    <t>XII. TRANSPORT AND COMMUNICATION (7 Tables)</t>
  </si>
  <si>
    <t>XIII. JUDICIAL AND POLICE (3 Tables)</t>
  </si>
  <si>
    <t>XIV. LOCAL-BODIES (2 Tables)</t>
  </si>
  <si>
    <t>XV. FINANCE (2 Tables)</t>
  </si>
  <si>
    <t>BLOCK LEVEL STATISTICS (11 Tables)</t>
  </si>
  <si>
    <t>Selected Characteristics of Factories by industry group in the district of Nadia for the year 2011-12</t>
  </si>
  <si>
    <t>28</t>
  </si>
  <si>
    <t>29</t>
  </si>
  <si>
    <t>Manufacture of machinery and equipment n. e. c.</t>
  </si>
  <si>
    <t>Manufacture of motor vehicles, trailers and semi-trailers</t>
  </si>
  <si>
    <t>1918(R)</t>
  </si>
  <si>
    <t>2046 (R)</t>
  </si>
  <si>
    <t>Education :</t>
  </si>
  <si>
    <t>Literates : Male</t>
  </si>
  <si>
    <t xml:space="preserve">                Female</t>
  </si>
  <si>
    <t xml:space="preserve">                Total</t>
  </si>
  <si>
    <t>Surfaced Road</t>
  </si>
  <si>
    <t>Unsurfaced Road</t>
  </si>
  <si>
    <t>CC : Conventional Contraceptive</t>
  </si>
  <si>
    <t>OP : Oral Pill</t>
  </si>
  <si>
    <t>MTP : Medical Termination of Pregnancy</t>
  </si>
  <si>
    <t>Combined</t>
  </si>
  <si>
    <t>Source : Economic Census, 2005 &amp; 2013</t>
  </si>
  <si>
    <t>The 24th June, 2016</t>
  </si>
</sst>
</file>

<file path=xl/styles.xml><?xml version="1.0" encoding="utf-8"?>
<styleSheet xmlns="http://schemas.openxmlformats.org/spreadsheetml/2006/main">
  <numFmts count="4">
    <numFmt numFmtId="44" formatCode="_(&quot;$&quot;* #,##0.00_);_(&quot;$&quot;* \(#,##0.00\);_(&quot;$&quot;* &quot;-&quot;??_);_(@_)"/>
    <numFmt numFmtId="164" formatCode="0.0"/>
    <numFmt numFmtId="165" formatCode="0.000"/>
    <numFmt numFmtId="166" formatCode="#,##0.0"/>
  </numFmts>
  <fonts count="101">
    <font>
      <sz val="10"/>
      <name val="Arial"/>
    </font>
    <font>
      <sz val="10"/>
      <name val="Arial"/>
      <family val="2"/>
    </font>
    <font>
      <sz val="12"/>
      <name val="Arial"/>
      <family val="2"/>
    </font>
    <font>
      <b/>
      <sz val="10"/>
      <name val="Arial"/>
      <family val="2"/>
    </font>
    <font>
      <sz val="10"/>
      <name val="Arial"/>
      <family val="2"/>
    </font>
    <font>
      <u/>
      <sz val="10"/>
      <color indexed="12"/>
      <name val="Arial"/>
      <family val="2"/>
    </font>
    <font>
      <b/>
      <sz val="10"/>
      <name val="Arial Narrow"/>
      <family val="2"/>
    </font>
    <font>
      <sz val="10"/>
      <name val="Arial Narrow"/>
      <family val="2"/>
    </font>
    <font>
      <sz val="9"/>
      <name val="Arial Narrow"/>
      <family val="2"/>
    </font>
    <font>
      <sz val="9"/>
      <name val="Arial"/>
      <family val="2"/>
    </font>
    <font>
      <b/>
      <sz val="9"/>
      <name val="Arial"/>
      <family val="2"/>
    </font>
    <font>
      <b/>
      <u/>
      <sz val="10"/>
      <name val="Arial"/>
      <family val="2"/>
    </font>
    <font>
      <b/>
      <u/>
      <sz val="10"/>
      <name val="Arial Narrow"/>
      <family val="2"/>
    </font>
    <font>
      <b/>
      <sz val="16"/>
      <name val="Arial"/>
      <family val="2"/>
    </font>
    <font>
      <sz val="18"/>
      <color indexed="53"/>
      <name val="Times New Roman"/>
      <family val="1"/>
    </font>
    <font>
      <sz val="12"/>
      <color indexed="17"/>
      <name val="Times New Roman"/>
      <family val="1"/>
    </font>
    <font>
      <b/>
      <sz val="10"/>
      <color indexed="14"/>
      <name val="Arial"/>
      <family val="2"/>
    </font>
    <font>
      <sz val="10"/>
      <color indexed="53"/>
      <name val="Arial"/>
      <family val="2"/>
    </font>
    <font>
      <sz val="10"/>
      <color indexed="17"/>
      <name val="Arial"/>
      <family val="2"/>
    </font>
    <font>
      <u/>
      <sz val="10"/>
      <color indexed="17"/>
      <name val="Arial"/>
      <family val="2"/>
    </font>
    <font>
      <sz val="10"/>
      <color indexed="46"/>
      <name val="Arial"/>
      <family val="2"/>
    </font>
    <font>
      <sz val="10"/>
      <color indexed="48"/>
      <name val="Arial"/>
      <family val="2"/>
    </font>
    <font>
      <sz val="10"/>
      <color indexed="10"/>
      <name val="Arial"/>
      <family val="2"/>
    </font>
    <font>
      <sz val="10"/>
      <color indexed="45"/>
      <name val="Arial"/>
      <family val="2"/>
    </font>
    <font>
      <b/>
      <u/>
      <sz val="10"/>
      <color indexed="62"/>
      <name val="Arial"/>
      <family val="2"/>
    </font>
    <font>
      <sz val="10"/>
      <color indexed="59"/>
      <name val="Arial"/>
      <family val="2"/>
    </font>
    <font>
      <b/>
      <sz val="10"/>
      <color indexed="53"/>
      <name val="Arial"/>
      <family val="2"/>
    </font>
    <font>
      <sz val="10"/>
      <color indexed="12"/>
      <name val="Arial"/>
      <family val="2"/>
    </font>
    <font>
      <sz val="9"/>
      <color indexed="12"/>
      <name val="Arial"/>
      <family val="2"/>
    </font>
    <font>
      <sz val="10"/>
      <color indexed="60"/>
      <name val="Arial"/>
      <family val="2"/>
    </font>
    <font>
      <sz val="10"/>
      <color indexed="20"/>
      <name val="Arial"/>
      <family val="2"/>
    </font>
    <font>
      <sz val="10"/>
      <color indexed="58"/>
      <name val="Arial"/>
      <family val="2"/>
    </font>
    <font>
      <sz val="9"/>
      <color indexed="48"/>
      <name val="Arial"/>
      <family val="2"/>
    </font>
    <font>
      <b/>
      <sz val="14"/>
      <color indexed="18"/>
      <name val="Arial"/>
      <family val="2"/>
    </font>
    <font>
      <sz val="10"/>
      <color indexed="57"/>
      <name val="Arial"/>
      <family val="2"/>
    </font>
    <font>
      <sz val="18"/>
      <color indexed="17"/>
      <name val="Times New Roman"/>
      <family val="1"/>
    </font>
    <font>
      <b/>
      <u/>
      <sz val="26"/>
      <color indexed="17"/>
      <name val="Monotype Corsiva"/>
      <family val="4"/>
    </font>
    <font>
      <b/>
      <u/>
      <sz val="20"/>
      <color indexed="17"/>
      <name val="Arial"/>
      <family val="2"/>
    </font>
    <font>
      <sz val="14"/>
      <color indexed="20"/>
      <name val="Monotype Corsiva"/>
      <family val="4"/>
    </font>
    <font>
      <sz val="10"/>
      <color indexed="20"/>
      <name val="Arial"/>
      <family val="2"/>
    </font>
    <font>
      <sz val="10"/>
      <color indexed="17"/>
      <name val="Times New Roman"/>
      <family val="1"/>
    </font>
    <font>
      <b/>
      <sz val="10"/>
      <name val="Arial"/>
      <family val="2"/>
    </font>
    <font>
      <b/>
      <sz val="28"/>
      <color indexed="17"/>
      <name val="Arial Narrow"/>
      <family val="2"/>
    </font>
    <font>
      <b/>
      <sz val="28"/>
      <color indexed="60"/>
      <name val="Arial"/>
      <family val="2"/>
    </font>
    <font>
      <b/>
      <sz val="36"/>
      <color indexed="10"/>
      <name val="Arial"/>
      <family val="2"/>
    </font>
    <font>
      <b/>
      <sz val="13"/>
      <color indexed="62"/>
      <name val="Times New Roman"/>
      <family val="1"/>
    </font>
    <font>
      <sz val="13"/>
      <name val="Times New Roman"/>
      <family val="1"/>
    </font>
    <font>
      <b/>
      <i/>
      <sz val="14"/>
      <color indexed="62"/>
      <name val="Bookman Old Style"/>
      <family val="1"/>
    </font>
    <font>
      <b/>
      <sz val="80"/>
      <color indexed="17"/>
      <name val="Times New Roman TUR"/>
      <family val="1"/>
      <charset val="162"/>
    </font>
    <font>
      <b/>
      <u/>
      <sz val="16"/>
      <color indexed="10"/>
      <name val="Times New Roman"/>
      <family val="1"/>
    </font>
    <font>
      <b/>
      <u/>
      <sz val="12"/>
      <color indexed="10"/>
      <name val="Times New Roman"/>
      <family val="1"/>
    </font>
    <font>
      <b/>
      <sz val="11"/>
      <color indexed="18"/>
      <name val="Arial"/>
      <family val="2"/>
    </font>
    <font>
      <sz val="24"/>
      <name val="Arial"/>
      <family val="2"/>
    </font>
    <font>
      <b/>
      <sz val="10"/>
      <color indexed="17"/>
      <name val="Arial"/>
      <family val="2"/>
    </font>
    <font>
      <sz val="8"/>
      <name val="Arial"/>
      <family val="2"/>
    </font>
    <font>
      <sz val="10"/>
      <name val="Arial"/>
      <family val="2"/>
    </font>
    <font>
      <sz val="12"/>
      <color indexed="60"/>
      <name val="Arial"/>
      <family val="2"/>
    </font>
    <font>
      <sz val="11"/>
      <name val="Arial"/>
      <family val="2"/>
    </font>
    <font>
      <sz val="14"/>
      <color indexed="20"/>
      <name val="Times New Roman"/>
      <family val="1"/>
    </font>
    <font>
      <sz val="14"/>
      <name val="Times New Roman"/>
      <family val="1"/>
    </font>
    <font>
      <sz val="10"/>
      <name val="Times New Roman"/>
      <family val="1"/>
    </font>
    <fon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indexed="14"/>
      <name val="Times New Roman"/>
      <family val="1"/>
    </font>
    <font>
      <sz val="12"/>
      <name val="Arial"/>
      <family val="2"/>
    </font>
    <font>
      <sz val="16"/>
      <color indexed="53"/>
      <name val="Times New Roman"/>
      <family val="1"/>
    </font>
    <font>
      <b/>
      <sz val="18"/>
      <color indexed="53"/>
      <name val="Times New Roman"/>
      <family val="1"/>
    </font>
    <font>
      <vertAlign val="superscript"/>
      <sz val="10"/>
      <name val="Arial"/>
      <family val="2"/>
    </font>
    <font>
      <vertAlign val="superscript"/>
      <sz val="9"/>
      <name val="Arial"/>
      <family val="2"/>
    </font>
    <font>
      <b/>
      <sz val="13"/>
      <name val="Times New Roman"/>
      <family val="1"/>
    </font>
    <font>
      <sz val="10"/>
      <name val="Arial"/>
      <family val="2"/>
    </font>
    <font>
      <b/>
      <i/>
      <sz val="10"/>
      <name val="Arial"/>
      <family val="2"/>
    </font>
    <font>
      <sz val="10"/>
      <name val="Arial"/>
      <family val="2"/>
    </font>
    <font>
      <b/>
      <u/>
      <sz val="12"/>
      <name val="Arial"/>
      <family val="2"/>
    </font>
    <font>
      <sz val="10"/>
      <name val="Arial"/>
      <family val="2"/>
    </font>
    <font>
      <b/>
      <sz val="9"/>
      <name val="Arial"/>
      <family val="2"/>
    </font>
    <font>
      <sz val="10"/>
      <name val="Arial"/>
      <family val="2"/>
    </font>
    <font>
      <b/>
      <sz val="12"/>
      <name val="Arial"/>
      <family val="2"/>
    </font>
    <font>
      <vertAlign val="superscript"/>
      <sz val="10"/>
      <name val="Arial Narrow"/>
      <family val="2"/>
    </font>
    <font>
      <u/>
      <sz val="10"/>
      <name val="Arial"/>
      <family val="2"/>
    </font>
    <font>
      <b/>
      <sz val="12"/>
      <name val="Times New Roman"/>
      <family val="1"/>
    </font>
    <font>
      <sz val="8"/>
      <color indexed="81"/>
      <name val="Tahoma"/>
      <family val="2"/>
    </font>
    <font>
      <b/>
      <sz val="8"/>
      <color indexed="81"/>
      <name val="Tahoma"/>
      <family val="2"/>
    </font>
    <font>
      <sz val="10"/>
      <color indexed="21"/>
      <name val="Arial"/>
      <family val="2"/>
    </font>
    <font>
      <sz val="9"/>
      <color indexed="61"/>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44">
    <xf numFmtId="0" fontId="0" fillId="0" borderId="0"/>
    <xf numFmtId="0" fontId="62" fillId="2" borderId="0" applyNumberFormat="0" applyBorder="0" applyAlignment="0" applyProtection="0"/>
    <xf numFmtId="0" fontId="62" fillId="3" borderId="0" applyNumberFormat="0" applyBorder="0" applyAlignment="0" applyProtection="0"/>
    <xf numFmtId="0" fontId="62" fillId="4" borderId="0" applyNumberFormat="0" applyBorder="0" applyAlignment="0" applyProtection="0"/>
    <xf numFmtId="0" fontId="62" fillId="5" borderId="0" applyNumberFormat="0" applyBorder="0" applyAlignment="0" applyProtection="0"/>
    <xf numFmtId="0" fontId="62" fillId="6" borderId="0" applyNumberFormat="0" applyBorder="0" applyAlignment="0" applyProtection="0"/>
    <xf numFmtId="0" fontId="62" fillId="7" borderId="0" applyNumberFormat="0" applyBorder="0" applyAlignment="0" applyProtection="0"/>
    <xf numFmtId="0" fontId="62" fillId="8" borderId="0" applyNumberFormat="0" applyBorder="0" applyAlignment="0" applyProtection="0"/>
    <xf numFmtId="0" fontId="62" fillId="9" borderId="0" applyNumberFormat="0" applyBorder="0" applyAlignment="0" applyProtection="0"/>
    <xf numFmtId="0" fontId="62" fillId="10" borderId="0" applyNumberFormat="0" applyBorder="0" applyAlignment="0" applyProtection="0"/>
    <xf numFmtId="0" fontId="62" fillId="5" borderId="0" applyNumberFormat="0" applyBorder="0" applyAlignment="0" applyProtection="0"/>
    <xf numFmtId="0" fontId="62" fillId="8" borderId="0" applyNumberFormat="0" applyBorder="0" applyAlignment="0" applyProtection="0"/>
    <xf numFmtId="0" fontId="62" fillId="11" borderId="0" applyNumberFormat="0" applyBorder="0" applyAlignment="0" applyProtection="0"/>
    <xf numFmtId="0" fontId="63" fillId="12" borderId="0" applyNumberFormat="0" applyBorder="0" applyAlignment="0" applyProtection="0"/>
    <xf numFmtId="0" fontId="63" fillId="9" borderId="0" applyNumberFormat="0" applyBorder="0" applyAlignment="0" applyProtection="0"/>
    <xf numFmtId="0" fontId="63" fillId="10" borderId="0" applyNumberFormat="0" applyBorder="0" applyAlignment="0" applyProtection="0"/>
    <xf numFmtId="0" fontId="63" fillId="13" borderId="0" applyNumberFormat="0" applyBorder="0" applyAlignment="0" applyProtection="0"/>
    <xf numFmtId="0" fontId="63" fillId="14" borderId="0" applyNumberFormat="0" applyBorder="0" applyAlignment="0" applyProtection="0"/>
    <xf numFmtId="0" fontId="63"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63" fillId="18" borderId="0" applyNumberFormat="0" applyBorder="0" applyAlignment="0" applyProtection="0"/>
    <xf numFmtId="0" fontId="63" fillId="13" borderId="0" applyNumberFormat="0" applyBorder="0" applyAlignment="0" applyProtection="0"/>
    <xf numFmtId="0" fontId="63" fillId="14" borderId="0" applyNumberFormat="0" applyBorder="0" applyAlignment="0" applyProtection="0"/>
    <xf numFmtId="0" fontId="63" fillId="19" borderId="0" applyNumberFormat="0" applyBorder="0" applyAlignment="0" applyProtection="0"/>
    <xf numFmtId="0" fontId="64" fillId="3" borderId="0" applyNumberFormat="0" applyBorder="0" applyAlignment="0" applyProtection="0"/>
    <xf numFmtId="0" fontId="65" fillId="20" borderId="1" applyNumberFormat="0" applyAlignment="0" applyProtection="0"/>
    <xf numFmtId="0" fontId="66" fillId="21" borderId="2" applyNumberFormat="0" applyAlignment="0" applyProtection="0"/>
    <xf numFmtId="44" fontId="1" fillId="0" borderId="0" applyFont="0" applyFill="0" applyBorder="0" applyAlignment="0" applyProtection="0"/>
    <xf numFmtId="0" fontId="67" fillId="0" borderId="0" applyNumberFormat="0" applyFill="0" applyBorder="0" applyAlignment="0" applyProtection="0"/>
    <xf numFmtId="0" fontId="68" fillId="4" borderId="0" applyNumberFormat="0" applyBorder="0" applyAlignment="0" applyProtection="0"/>
    <xf numFmtId="0" fontId="69" fillId="0" borderId="3" applyNumberFormat="0" applyFill="0" applyAlignment="0" applyProtection="0"/>
    <xf numFmtId="0" fontId="70" fillId="0" borderId="4" applyNumberFormat="0" applyFill="0" applyAlignment="0" applyProtection="0"/>
    <xf numFmtId="0" fontId="71" fillId="0" borderId="5" applyNumberFormat="0" applyFill="0" applyAlignment="0" applyProtection="0"/>
    <xf numFmtId="0" fontId="71" fillId="0" borderId="0" applyNumberFormat="0" applyFill="0" applyBorder="0" applyAlignment="0" applyProtection="0"/>
    <xf numFmtId="0" fontId="5" fillId="0" borderId="0" applyNumberFormat="0" applyFill="0" applyBorder="0" applyAlignment="0" applyProtection="0">
      <alignment vertical="top"/>
      <protection locked="0"/>
    </xf>
    <xf numFmtId="0" fontId="72" fillId="7" borderId="1" applyNumberFormat="0" applyAlignment="0" applyProtection="0"/>
    <xf numFmtId="0" fontId="73" fillId="0" borderId="6" applyNumberFormat="0" applyFill="0" applyAlignment="0" applyProtection="0"/>
    <xf numFmtId="0" fontId="74" fillId="22" borderId="0" applyNumberFormat="0" applyBorder="0" applyAlignment="0" applyProtection="0"/>
    <xf numFmtId="0" fontId="1" fillId="23" borderId="7" applyNumberFormat="0" applyFont="0" applyAlignment="0" applyProtection="0"/>
    <xf numFmtId="0" fontId="75" fillId="20" borderId="8" applyNumberFormat="0" applyAlignment="0" applyProtection="0"/>
    <xf numFmtId="0" fontId="76" fillId="0" borderId="0" applyNumberFormat="0" applyFill="0" applyBorder="0" applyAlignment="0" applyProtection="0"/>
    <xf numFmtId="0" fontId="77" fillId="0" borderId="9" applyNumberFormat="0" applyFill="0" applyAlignment="0" applyProtection="0"/>
    <xf numFmtId="0" fontId="78" fillId="0" borderId="0" applyNumberFormat="0" applyFill="0" applyBorder="0" applyAlignment="0" applyProtection="0"/>
  </cellStyleXfs>
  <cellXfs count="1691">
    <xf numFmtId="0" fontId="0" fillId="0" borderId="0" xfId="0"/>
    <xf numFmtId="0" fontId="0" fillId="0" borderId="0" xfId="0" applyAlignment="1">
      <alignment horizontal="center"/>
    </xf>
    <xf numFmtId="0" fontId="0" fillId="0" borderId="0" xfId="0" applyAlignment="1"/>
    <xf numFmtId="0" fontId="2" fillId="0" borderId="0" xfId="0" applyFont="1" applyAlignment="1"/>
    <xf numFmtId="0" fontId="0" fillId="0" borderId="0" xfId="0" applyAlignment="1">
      <alignment horizontal="left"/>
    </xf>
    <xf numFmtId="0" fontId="3" fillId="0" borderId="0" xfId="0" applyFont="1"/>
    <xf numFmtId="0" fontId="4" fillId="0" borderId="0" xfId="0" applyFont="1"/>
    <xf numFmtId="0" fontId="4" fillId="0" borderId="0" xfId="0" applyFont="1" applyAlignment="1">
      <alignment horizontal="center"/>
    </xf>
    <xf numFmtId="0" fontId="0" fillId="0" borderId="0" xfId="0" applyBorder="1" applyAlignment="1">
      <alignment horizontal="center"/>
    </xf>
    <xf numFmtId="0" fontId="7" fillId="0" borderId="0" xfId="0" applyFont="1"/>
    <xf numFmtId="0" fontId="7" fillId="0" borderId="10" xfId="0" applyFont="1" applyBorder="1"/>
    <xf numFmtId="0" fontId="7" fillId="0" borderId="0" xfId="0" applyFont="1" applyBorder="1"/>
    <xf numFmtId="0" fontId="7" fillId="0" borderId="0" xfId="0" applyFont="1" applyAlignment="1">
      <alignment horizontal="center" vertical="center"/>
    </xf>
    <xf numFmtId="0" fontId="4" fillId="0" borderId="10" xfId="0" applyFont="1" applyBorder="1"/>
    <xf numFmtId="0" fontId="0" fillId="0" borderId="0" xfId="0" applyBorder="1" applyAlignment="1">
      <alignment horizontal="left"/>
    </xf>
    <xf numFmtId="0" fontId="3" fillId="0" borderId="0" xfId="0" applyFont="1" applyBorder="1" applyAlignment="1">
      <alignment horizontal="left" vertical="top" wrapText="1"/>
    </xf>
    <xf numFmtId="0" fontId="3" fillId="0" borderId="0" xfId="0" applyFont="1" applyBorder="1" applyAlignment="1">
      <alignment horizontal="center" vertical="top" wrapText="1"/>
    </xf>
    <xf numFmtId="0" fontId="0" fillId="0" borderId="0" xfId="0" applyAlignment="1">
      <alignment vertical="top"/>
    </xf>
    <xf numFmtId="0" fontId="9" fillId="0" borderId="0" xfId="0" applyFont="1"/>
    <xf numFmtId="0" fontId="3" fillId="0" borderId="0" xfId="0" applyFont="1" applyBorder="1" applyAlignment="1">
      <alignment horizontal="center" vertical="top"/>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top" wrapText="1"/>
    </xf>
    <xf numFmtId="0" fontId="4" fillId="0" borderId="0" xfId="0" quotePrefix="1" applyFont="1"/>
    <xf numFmtId="0" fontId="4" fillId="0" borderId="0" xfId="0" applyFont="1" applyBorder="1"/>
    <xf numFmtId="0" fontId="4" fillId="0" borderId="0" xfId="0" applyFont="1" applyBorder="1" applyAlignment="1">
      <alignment horizontal="left" vertical="center"/>
    </xf>
    <xf numFmtId="0" fontId="3" fillId="0" borderId="10" xfId="0" applyFont="1" applyBorder="1" applyAlignment="1">
      <alignment horizontal="center" vertical="center"/>
    </xf>
    <xf numFmtId="0" fontId="4" fillId="0" borderId="0" xfId="0" applyFont="1" applyAlignment="1">
      <alignment horizontal="right"/>
    </xf>
    <xf numFmtId="0" fontId="0" fillId="0" borderId="0" xfId="0" applyBorder="1" applyAlignment="1">
      <alignment horizontal="center" vertical="center"/>
    </xf>
    <xf numFmtId="0" fontId="3" fillId="0" borderId="0" xfId="0" applyFont="1" applyAlignment="1">
      <alignment horizontal="center" vertical="top"/>
    </xf>
    <xf numFmtId="0" fontId="9" fillId="0" borderId="0" xfId="0" applyFont="1" applyBorder="1"/>
    <xf numFmtId="0" fontId="3" fillId="0" borderId="0" xfId="0" applyFont="1" applyAlignment="1">
      <alignment horizontal="center"/>
    </xf>
    <xf numFmtId="0" fontId="0" fillId="0" borderId="11" xfId="0" quotePrefix="1" applyBorder="1" applyAlignment="1">
      <alignment horizontal="center" vertical="center"/>
    </xf>
    <xf numFmtId="0" fontId="4" fillId="0" borderId="0" xfId="0" applyFont="1" applyBorder="1" applyAlignment="1" applyProtection="1">
      <alignment horizontal="left" vertical="top" wrapText="1"/>
      <protection locked="0"/>
    </xf>
    <xf numFmtId="0" fontId="7" fillId="0" borderId="0" xfId="0" applyFont="1" applyProtection="1">
      <protection locked="0"/>
    </xf>
    <xf numFmtId="1" fontId="4" fillId="0" borderId="0" xfId="0" applyNumberFormat="1" applyFont="1"/>
    <xf numFmtId="0" fontId="4" fillId="0" borderId="0" xfId="0" applyFont="1" applyBorder="1" applyAlignment="1" applyProtection="1">
      <alignment horizontal="center"/>
      <protection locked="0"/>
    </xf>
    <xf numFmtId="0" fontId="0" fillId="0" borderId="12" xfId="0" applyBorder="1" applyAlignment="1">
      <alignment horizontal="center"/>
    </xf>
    <xf numFmtId="0" fontId="0" fillId="0" borderId="13" xfId="0" applyBorder="1" applyAlignment="1">
      <alignment horizontal="center"/>
    </xf>
    <xf numFmtId="0" fontId="4" fillId="0" borderId="14" xfId="0" applyFont="1" applyBorder="1" applyAlignment="1" applyProtection="1">
      <alignment horizontal="center"/>
      <protection locked="0"/>
    </xf>
    <xf numFmtId="0" fontId="0" fillId="0" borderId="14" xfId="0" applyBorder="1" applyAlignment="1">
      <alignment horizontal="center" vertical="center"/>
    </xf>
    <xf numFmtId="0" fontId="0" fillId="0" borderId="15" xfId="0" applyBorder="1" applyAlignment="1">
      <alignment horizontal="center"/>
    </xf>
    <xf numFmtId="2" fontId="0" fillId="0" borderId="14" xfId="0" applyNumberFormat="1" applyBorder="1" applyAlignment="1">
      <alignment horizontal="center" vertical="center"/>
    </xf>
    <xf numFmtId="2" fontId="0" fillId="0" borderId="16" xfId="0" applyNumberFormat="1" applyBorder="1" applyAlignment="1">
      <alignment horizontal="center" vertical="center"/>
    </xf>
    <xf numFmtId="0" fontId="3" fillId="0" borderId="14" xfId="0" applyFont="1" applyBorder="1" applyAlignment="1">
      <alignment horizontal="center" vertical="center"/>
    </xf>
    <xf numFmtId="0" fontId="4" fillId="0" borderId="0"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horizontal="center" vertical="center"/>
    </xf>
    <xf numFmtId="0" fontId="13" fillId="0" borderId="0" xfId="0" applyFont="1" applyAlignment="1">
      <alignment horizontal="center"/>
    </xf>
    <xf numFmtId="0" fontId="13" fillId="0" borderId="0" xfId="0" applyFont="1"/>
    <xf numFmtId="0" fontId="11" fillId="0" borderId="0" xfId="0" applyFont="1"/>
    <xf numFmtId="2" fontId="0" fillId="0" borderId="0" xfId="0" applyNumberFormat="1" applyAlignment="1">
      <alignment horizontal="center"/>
    </xf>
    <xf numFmtId="0" fontId="16" fillId="0" borderId="0" xfId="0" applyFont="1"/>
    <xf numFmtId="0" fontId="17" fillId="0" borderId="12" xfId="0" applyFont="1" applyBorder="1" applyAlignment="1">
      <alignment horizontal="center"/>
    </xf>
    <xf numFmtId="0" fontId="18" fillId="0" borderId="15" xfId="0" applyFont="1" applyBorder="1" applyAlignment="1">
      <alignment horizontal="left"/>
    </xf>
    <xf numFmtId="0" fontId="18" fillId="0" borderId="12" xfId="0" applyFont="1" applyBorder="1" applyAlignment="1">
      <alignment horizontal="left"/>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18" fillId="0" borderId="12" xfId="0" applyFont="1" applyBorder="1" applyAlignment="1">
      <alignment horizontal="center"/>
    </xf>
    <xf numFmtId="0" fontId="18" fillId="0" borderId="12" xfId="0" quotePrefix="1" applyFont="1" applyBorder="1" applyAlignment="1">
      <alignment horizontal="center"/>
    </xf>
    <xf numFmtId="0" fontId="18" fillId="0" borderId="12" xfId="0" applyFont="1" applyBorder="1" applyAlignment="1">
      <alignment horizontal="center" vertical="center"/>
    </xf>
    <xf numFmtId="0" fontId="16" fillId="0" borderId="14" xfId="0" applyFont="1" applyBorder="1" applyAlignment="1">
      <alignment horizontal="center"/>
    </xf>
    <xf numFmtId="0" fontId="21" fillId="0" borderId="0" xfId="0" applyFont="1" applyBorder="1"/>
    <xf numFmtId="0" fontId="10" fillId="0" borderId="0" xfId="0" applyFont="1" applyAlignment="1">
      <alignment horizontal="center" vertical="center"/>
    </xf>
    <xf numFmtId="0" fontId="8" fillId="0" borderId="0" xfId="0" applyFont="1"/>
    <xf numFmtId="0" fontId="8" fillId="0" borderId="0" xfId="0" applyFont="1" applyAlignment="1">
      <alignment horizontal="right"/>
    </xf>
    <xf numFmtId="0" fontId="27" fillId="0" borderId="14" xfId="0" applyFont="1" applyBorder="1"/>
    <xf numFmtId="0" fontId="27" fillId="0" borderId="0" xfId="0" applyFont="1"/>
    <xf numFmtId="0" fontId="29" fillId="0" borderId="17" xfId="0" applyFont="1" applyBorder="1" applyAlignment="1">
      <alignment horizontal="center"/>
    </xf>
    <xf numFmtId="0" fontId="29" fillId="0" borderId="12" xfId="0" applyFont="1" applyBorder="1" applyAlignment="1">
      <alignment horizontal="center"/>
    </xf>
    <xf numFmtId="0" fontId="29" fillId="0" borderId="18" xfId="0" applyFont="1" applyBorder="1" applyAlignment="1">
      <alignment horizontal="center" vertical="center"/>
    </xf>
    <xf numFmtId="0" fontId="30" fillId="0" borderId="19" xfId="0" quotePrefix="1" applyFont="1" applyBorder="1" applyAlignment="1">
      <alignment horizontal="center" vertical="center"/>
    </xf>
    <xf numFmtId="0" fontId="30" fillId="0" borderId="18" xfId="0" quotePrefix="1" applyFont="1" applyBorder="1" applyAlignment="1">
      <alignment horizontal="center" vertical="center"/>
    </xf>
    <xf numFmtId="0" fontId="27" fillId="0" borderId="12" xfId="0" applyFont="1" applyBorder="1" applyAlignment="1">
      <alignment horizontal="center"/>
    </xf>
    <xf numFmtId="0" fontId="30" fillId="0" borderId="11" xfId="0" quotePrefix="1" applyFont="1" applyBorder="1" applyAlignment="1">
      <alignment horizontal="center" vertical="center"/>
    </xf>
    <xf numFmtId="0" fontId="33" fillId="0" borderId="0" xfId="0" applyFont="1"/>
    <xf numFmtId="0" fontId="33" fillId="0" borderId="0" xfId="0" quotePrefix="1" applyFont="1"/>
    <xf numFmtId="0" fontId="27" fillId="0" borderId="13" xfId="0" applyFont="1" applyBorder="1" applyAlignment="1">
      <alignment horizontal="center"/>
    </xf>
    <xf numFmtId="0" fontId="29" fillId="0" borderId="11" xfId="0" applyFont="1" applyBorder="1" applyAlignment="1">
      <alignment horizontal="center" vertical="center"/>
    </xf>
    <xf numFmtId="0" fontId="3" fillId="0" borderId="14" xfId="0" applyFont="1" applyBorder="1" applyAlignment="1" applyProtection="1">
      <alignment horizontal="center" vertical="center"/>
      <protection locked="0"/>
    </xf>
    <xf numFmtId="0" fontId="23" fillId="0" borderId="0" xfId="0" applyFont="1" applyFill="1" applyBorder="1"/>
    <xf numFmtId="0" fontId="4" fillId="0" borderId="12" xfId="0" applyFont="1" applyBorder="1" applyAlignment="1">
      <alignment horizontal="center" vertical="center"/>
    </xf>
    <xf numFmtId="0" fontId="24" fillId="0" borderId="0" xfId="0" applyFont="1" applyAlignment="1">
      <alignment horizontal="center" vertical="top"/>
    </xf>
    <xf numFmtId="0" fontId="7" fillId="0" borderId="0" xfId="0" applyFont="1" applyBorder="1" applyProtection="1">
      <protection locked="0"/>
    </xf>
    <xf numFmtId="0" fontId="14" fillId="0" borderId="0" xfId="0" applyFont="1" applyAlignment="1">
      <alignment horizontal="center"/>
    </xf>
    <xf numFmtId="0" fontId="15" fillId="0" borderId="0" xfId="0" applyFont="1" applyAlignment="1">
      <alignment horizontal="center"/>
    </xf>
    <xf numFmtId="0" fontId="37" fillId="0" borderId="0" xfId="0" applyFont="1" applyAlignment="1">
      <alignment horizontal="center" vertical="top"/>
    </xf>
    <xf numFmtId="0" fontId="38" fillId="0" borderId="0" xfId="0" applyFont="1" applyAlignment="1">
      <alignment vertical="top"/>
    </xf>
    <xf numFmtId="0" fontId="39" fillId="0" borderId="0" xfId="0" applyFont="1" applyAlignment="1"/>
    <xf numFmtId="0" fontId="38" fillId="0" borderId="0" xfId="0" applyFont="1" applyAlignment="1"/>
    <xf numFmtId="0" fontId="40" fillId="0" borderId="0" xfId="0" applyFont="1" applyAlignment="1">
      <alignment horizontal="center"/>
    </xf>
    <xf numFmtId="0" fontId="40" fillId="0" borderId="0" xfId="0" applyFont="1"/>
    <xf numFmtId="0" fontId="0" fillId="0" borderId="17" xfId="0" applyBorder="1" applyAlignment="1">
      <alignment horizontal="center" vertical="center"/>
    </xf>
    <xf numFmtId="0" fontId="4" fillId="0" borderId="0" xfId="0" applyFont="1" applyAlignment="1" applyProtection="1">
      <alignment horizontal="center" vertical="center"/>
      <protection locked="0"/>
    </xf>
    <xf numFmtId="0" fontId="4" fillId="0" borderId="16" xfId="0" applyFont="1" applyBorder="1" applyAlignment="1">
      <alignment horizontal="center" vertical="center"/>
    </xf>
    <xf numFmtId="0" fontId="22" fillId="0" borderId="15" xfId="0" applyFont="1" applyBorder="1" applyAlignment="1">
      <alignment horizontal="center" vertical="center"/>
    </xf>
    <xf numFmtId="0" fontId="12" fillId="0" borderId="15" xfId="0" applyFont="1" applyBorder="1" applyAlignment="1">
      <alignment horizontal="left" vertical="center"/>
    </xf>
    <xf numFmtId="0" fontId="11" fillId="0" borderId="20" xfId="0" applyFont="1" applyBorder="1" applyAlignment="1">
      <alignment horizontal="left" vertical="center"/>
    </xf>
    <xf numFmtId="0" fontId="11" fillId="0" borderId="21" xfId="0" applyFont="1" applyBorder="1" applyAlignment="1">
      <alignment horizontal="left" vertical="center"/>
    </xf>
    <xf numFmtId="2" fontId="3" fillId="0" borderId="0" xfId="0" applyNumberFormat="1" applyFont="1" applyBorder="1" applyAlignment="1" applyProtection="1">
      <alignment horizontal="center" vertical="center"/>
      <protection locked="0"/>
    </xf>
    <xf numFmtId="2" fontId="3" fillId="0" borderId="14" xfId="0" applyNumberFormat="1" applyFont="1" applyBorder="1" applyAlignment="1" applyProtection="1">
      <alignment horizontal="center" vertical="center"/>
      <protection locked="0"/>
    </xf>
    <xf numFmtId="0" fontId="11" fillId="0" borderId="12" xfId="0" applyFont="1" applyBorder="1" applyAlignment="1">
      <alignment horizontal="left" vertical="center"/>
    </xf>
    <xf numFmtId="0" fontId="11" fillId="0" borderId="0" xfId="0" applyFont="1" applyBorder="1" applyAlignment="1">
      <alignment horizontal="left" vertical="center"/>
    </xf>
    <xf numFmtId="2" fontId="11" fillId="0" borderId="0" xfId="0" applyNumberFormat="1" applyFont="1" applyBorder="1" applyAlignment="1">
      <alignment horizontal="left" vertical="center"/>
    </xf>
    <xf numFmtId="2" fontId="11" fillId="0" borderId="14" xfId="0" applyNumberFormat="1" applyFont="1" applyBorder="1" applyAlignment="1">
      <alignment horizontal="left" vertical="center"/>
    </xf>
    <xf numFmtId="0" fontId="0" fillId="0" borderId="0" xfId="0" applyAlignment="1">
      <alignment vertical="center"/>
    </xf>
    <xf numFmtId="0" fontId="21" fillId="0" borderId="0" xfId="0" applyFont="1" applyAlignment="1">
      <alignment vertical="center"/>
    </xf>
    <xf numFmtId="0" fontId="0" fillId="0" borderId="0" xfId="0" applyFill="1"/>
    <xf numFmtId="0" fontId="4" fillId="0" borderId="17" xfId="0" applyFont="1" applyBorder="1" applyAlignment="1">
      <alignment horizontal="center" vertical="center"/>
    </xf>
    <xf numFmtId="2" fontId="4" fillId="0" borderId="14" xfId="0" applyNumberFormat="1" applyFont="1" applyBorder="1" applyAlignment="1">
      <alignment horizontal="center" vertical="center"/>
    </xf>
    <xf numFmtId="0" fontId="29" fillId="0" borderId="0" xfId="0" applyFont="1" applyBorder="1" applyAlignment="1">
      <alignment horizontal="center"/>
    </xf>
    <xf numFmtId="0" fontId="16" fillId="0" borderId="14" xfId="0" applyFont="1" applyBorder="1" applyAlignment="1">
      <alignment horizontal="center" vertical="center"/>
    </xf>
    <xf numFmtId="0" fontId="3" fillId="0" borderId="21" xfId="0" applyFont="1" applyBorder="1" applyAlignment="1">
      <alignment horizontal="center" vertical="center"/>
    </xf>
    <xf numFmtId="0" fontId="46" fillId="0" borderId="0" xfId="0" applyFont="1"/>
    <xf numFmtId="0" fontId="8" fillId="0" borderId="0" xfId="0" applyFont="1" applyBorder="1"/>
    <xf numFmtId="0" fontId="0" fillId="0" borderId="12" xfId="0" applyBorder="1" applyAlignment="1">
      <alignment horizontal="center" vertical="center"/>
    </xf>
    <xf numFmtId="0" fontId="0" fillId="0" borderId="13" xfId="0" applyBorder="1" applyAlignment="1">
      <alignment horizontal="center" vertical="center"/>
    </xf>
    <xf numFmtId="0" fontId="21" fillId="0" borderId="0"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47" fillId="0" borderId="0" xfId="0" applyFont="1" applyAlignment="1">
      <alignment horizontal="center" vertical="top"/>
    </xf>
    <xf numFmtId="0" fontId="0" fillId="0" borderId="0" xfId="0" quotePrefix="1" applyAlignment="1">
      <alignment horizontal="center"/>
    </xf>
    <xf numFmtId="0" fontId="25" fillId="0" borderId="0" xfId="0" applyFont="1" applyAlignment="1">
      <alignment horizontal="left" vertical="center"/>
    </xf>
    <xf numFmtId="0" fontId="13" fillId="0" borderId="0" xfId="0" applyFont="1" applyFill="1" applyAlignment="1">
      <alignment horizontal="center"/>
    </xf>
    <xf numFmtId="0" fontId="21" fillId="0" borderId="0" xfId="0" applyFont="1" applyBorder="1" applyAlignment="1">
      <alignment vertical="top" wrapText="1"/>
    </xf>
    <xf numFmtId="0" fontId="22" fillId="0" borderId="0" xfId="0" applyFont="1" applyBorder="1" applyAlignment="1">
      <alignment horizontal="center" vertical="center"/>
    </xf>
    <xf numFmtId="0" fontId="18" fillId="0" borderId="0" xfId="0" applyFont="1" applyBorder="1" applyAlignment="1">
      <alignment horizontal="center" vertical="center"/>
    </xf>
    <xf numFmtId="0" fontId="4" fillId="0" borderId="22" xfId="0" applyFont="1" applyBorder="1" applyAlignment="1">
      <alignment horizontal="center" vertical="center"/>
    </xf>
    <xf numFmtId="0" fontId="30" fillId="0" borderId="22" xfId="0" quotePrefix="1" applyFont="1" applyBorder="1" applyAlignment="1">
      <alignment horizontal="center" vertical="center"/>
    </xf>
    <xf numFmtId="0" fontId="4" fillId="0" borderId="13" xfId="0" applyFont="1" applyBorder="1" applyAlignment="1">
      <alignment horizontal="center" vertical="center"/>
    </xf>
    <xf numFmtId="0" fontId="3" fillId="0" borderId="16" xfId="0" applyFont="1" applyBorder="1" applyAlignment="1">
      <alignment horizontal="center" vertical="center"/>
    </xf>
    <xf numFmtId="0" fontId="21" fillId="0" borderId="12" xfId="0" applyFont="1" applyBorder="1" applyAlignment="1">
      <alignment vertical="center"/>
    </xf>
    <xf numFmtId="0" fontId="22" fillId="0" borderId="12" xfId="0" applyFont="1" applyBorder="1" applyAlignment="1">
      <alignment horizontal="center" vertical="center" wrapText="1"/>
    </xf>
    <xf numFmtId="0" fontId="27" fillId="0" borderId="12" xfId="0" applyFont="1" applyBorder="1" applyAlignment="1">
      <alignment horizontal="center" vertical="center"/>
    </xf>
    <xf numFmtId="0" fontId="4" fillId="0" borderId="17" xfId="0" applyFont="1" applyFill="1" applyBorder="1" applyAlignment="1">
      <alignment horizontal="center" vertical="center"/>
    </xf>
    <xf numFmtId="0" fontId="4" fillId="0" borderId="14" xfId="0" applyFont="1" applyFill="1" applyBorder="1" applyAlignment="1">
      <alignment horizontal="center" vertical="center"/>
    </xf>
    <xf numFmtId="0" fontId="27" fillId="0" borderId="13" xfId="0" applyFont="1" applyBorder="1" applyAlignment="1">
      <alignment horizontal="center" vertical="center"/>
    </xf>
    <xf numFmtId="0" fontId="3" fillId="0" borderId="12" xfId="0" applyFont="1" applyBorder="1" applyAlignment="1" applyProtection="1">
      <alignment horizontal="center" vertical="center"/>
      <protection locked="0"/>
    </xf>
    <xf numFmtId="164" fontId="3" fillId="0" borderId="12" xfId="0" applyNumberFormat="1" applyFont="1" applyBorder="1" applyAlignment="1" applyProtection="1">
      <alignment horizontal="center" vertical="center"/>
      <protection locked="0"/>
    </xf>
    <xf numFmtId="164" fontId="3" fillId="0" borderId="14" xfId="0" applyNumberFormat="1" applyFont="1" applyBorder="1" applyAlignment="1" applyProtection="1">
      <alignment horizontal="center" vertical="center"/>
      <protection locked="0"/>
    </xf>
    <xf numFmtId="0" fontId="3" fillId="0" borderId="17" xfId="0" applyFont="1" applyBorder="1" applyAlignment="1">
      <alignment vertical="center"/>
    </xf>
    <xf numFmtId="0" fontId="3" fillId="0" borderId="14" xfId="0" applyFont="1" applyBorder="1" applyAlignment="1">
      <alignment vertical="center"/>
    </xf>
    <xf numFmtId="0" fontId="6" fillId="0" borderId="16" xfId="0" applyFont="1" applyBorder="1" applyAlignment="1">
      <alignment horizontal="left" vertical="center" wrapText="1"/>
    </xf>
    <xf numFmtId="0" fontId="3" fillId="0" borderId="16" xfId="0" applyFont="1" applyBorder="1" applyAlignment="1">
      <alignment horizontal="left" vertical="center" wrapText="1"/>
    </xf>
    <xf numFmtId="2" fontId="0" fillId="0" borderId="13" xfId="0" applyNumberFormat="1" applyBorder="1" applyAlignment="1">
      <alignment horizontal="center" vertical="center"/>
    </xf>
    <xf numFmtId="0" fontId="3" fillId="0" borderId="22" xfId="0" applyFont="1" applyBorder="1" applyAlignment="1">
      <alignment vertical="center"/>
    </xf>
    <xf numFmtId="165" fontId="3" fillId="0" borderId="0" xfId="0" applyNumberFormat="1" applyFont="1" applyBorder="1" applyAlignment="1">
      <alignment horizontal="center" vertical="center"/>
    </xf>
    <xf numFmtId="0" fontId="27" fillId="0" borderId="17" xfId="0" applyFont="1" applyBorder="1" applyAlignment="1">
      <alignment horizontal="center" vertical="center"/>
    </xf>
    <xf numFmtId="2" fontId="0" fillId="0" borderId="21" xfId="0" applyNumberFormat="1" applyBorder="1" applyAlignment="1">
      <alignment horizontal="center" vertical="center"/>
    </xf>
    <xf numFmtId="2" fontId="0" fillId="0" borderId="12" xfId="0" applyNumberFormat="1" applyBorder="1" applyAlignment="1">
      <alignment horizontal="center" vertical="center"/>
    </xf>
    <xf numFmtId="2" fontId="3" fillId="0" borderId="12" xfId="0" applyNumberFormat="1" applyFont="1" applyBorder="1" applyAlignment="1">
      <alignment horizontal="center" vertical="center"/>
    </xf>
    <xf numFmtId="2" fontId="4" fillId="0" borderId="12" xfId="0" applyNumberFormat="1" applyFont="1" applyBorder="1" applyAlignment="1">
      <alignment horizontal="center" vertical="center"/>
    </xf>
    <xf numFmtId="2" fontId="0" fillId="0" borderId="15" xfId="0" applyNumberFormat="1" applyBorder="1" applyAlignment="1">
      <alignment horizontal="center" vertical="center"/>
    </xf>
    <xf numFmtId="0" fontId="27" fillId="0" borderId="22" xfId="0" applyFont="1" applyBorder="1" applyAlignment="1">
      <alignment horizontal="center" vertical="center"/>
    </xf>
    <xf numFmtId="0" fontId="22" fillId="0" borderId="17" xfId="0" applyFont="1" applyBorder="1" applyAlignment="1">
      <alignment horizontal="center" vertical="center"/>
    </xf>
    <xf numFmtId="0" fontId="4" fillId="0" borderId="10" xfId="0" applyFont="1" applyBorder="1" applyAlignment="1" applyProtection="1">
      <alignment horizontal="center" vertical="center"/>
      <protection locked="0"/>
    </xf>
    <xf numFmtId="0" fontId="0" fillId="0" borderId="10" xfId="0" applyBorder="1" applyAlignment="1">
      <alignment vertical="center"/>
    </xf>
    <xf numFmtId="0" fontId="17" fillId="0" borderId="10" xfId="0" applyFont="1" applyBorder="1" applyAlignment="1">
      <alignment horizontal="right" vertical="center"/>
    </xf>
    <xf numFmtId="0" fontId="4" fillId="0" borderId="21" xfId="0" applyFont="1" applyBorder="1" applyAlignment="1" applyProtection="1">
      <alignment horizontal="center" vertical="center"/>
      <protection locked="0"/>
    </xf>
    <xf numFmtId="2" fontId="4" fillId="0" borderId="15" xfId="0" applyNumberFormat="1" applyFont="1" applyBorder="1" applyAlignment="1">
      <alignment horizontal="center" vertical="center"/>
    </xf>
    <xf numFmtId="2" fontId="4" fillId="0" borderId="13" xfId="0" applyNumberFormat="1" applyFont="1" applyBorder="1" applyAlignment="1">
      <alignment horizontal="center" vertical="center"/>
    </xf>
    <xf numFmtId="0" fontId="4" fillId="0" borderId="0" xfId="0" applyFont="1" applyAlignment="1">
      <alignment vertical="center"/>
    </xf>
    <xf numFmtId="0" fontId="18" fillId="0" borderId="0" xfId="0" applyFont="1" applyAlignment="1">
      <alignment vertical="center"/>
    </xf>
    <xf numFmtId="0" fontId="0" fillId="0" borderId="14" xfId="0" applyBorder="1" applyAlignment="1">
      <alignment horizontal="center" vertical="center" wrapText="1"/>
    </xf>
    <xf numFmtId="0" fontId="4" fillId="0" borderId="14" xfId="0" applyFont="1" applyBorder="1" applyAlignment="1" applyProtection="1">
      <alignment horizontal="center" vertical="center"/>
      <protection locked="0"/>
    </xf>
    <xf numFmtId="1" fontId="4" fillId="0" borderId="0" xfId="0" applyNumberFormat="1" applyFont="1" applyBorder="1" applyAlignment="1">
      <alignment horizontal="center" vertical="center" textRotation="180"/>
    </xf>
    <xf numFmtId="0" fontId="25" fillId="0" borderId="0" xfId="0" applyFont="1" applyBorder="1" applyAlignment="1">
      <alignment horizontal="left" vertical="center"/>
    </xf>
    <xf numFmtId="0" fontId="3" fillId="0" borderId="12" xfId="0" quotePrefix="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5" xfId="0" quotePrefix="1" applyFont="1" applyBorder="1" applyAlignment="1">
      <alignment horizontal="center" vertical="center"/>
    </xf>
    <xf numFmtId="0" fontId="3" fillId="0" borderId="12" xfId="0" quotePrefix="1" applyFont="1" applyBorder="1" applyAlignment="1">
      <alignment horizontal="center" vertical="center"/>
    </xf>
    <xf numFmtId="0" fontId="27" fillId="0" borderId="0" xfId="0" applyFont="1" applyBorder="1" applyAlignment="1">
      <alignment horizontal="center"/>
    </xf>
    <xf numFmtId="0" fontId="9" fillId="0" borderId="0" xfId="0" applyFont="1" applyBorder="1" applyAlignment="1">
      <alignment horizontal="center" vertical="center"/>
    </xf>
    <xf numFmtId="0" fontId="9" fillId="0" borderId="0"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2" xfId="0" quotePrefix="1" applyFont="1" applyBorder="1" applyAlignment="1">
      <alignment horizontal="center" vertical="center"/>
    </xf>
    <xf numFmtId="0" fontId="48" fillId="0" borderId="0" xfId="0" applyFont="1" applyAlignment="1">
      <alignment horizontal="center" vertical="center" wrapText="1"/>
    </xf>
    <xf numFmtId="0" fontId="17" fillId="0" borderId="0" xfId="0" applyFont="1" applyBorder="1" applyAlignment="1">
      <alignment horizontal="center"/>
    </xf>
    <xf numFmtId="0" fontId="19" fillId="0" borderId="0" xfId="35" applyFont="1" applyBorder="1" applyAlignment="1" applyProtection="1">
      <alignment horizontal="left"/>
    </xf>
    <xf numFmtId="0" fontId="18" fillId="0" borderId="13" xfId="0" applyFont="1" applyBorder="1" applyAlignment="1">
      <alignment horizontal="center"/>
    </xf>
    <xf numFmtId="0" fontId="33" fillId="0" borderId="0" xfId="0" quotePrefix="1" applyFont="1" applyAlignment="1">
      <alignment horizontal="left"/>
    </xf>
    <xf numFmtId="0" fontId="51" fillId="0" borderId="0" xfId="0" applyFont="1"/>
    <xf numFmtId="0" fontId="4" fillId="0" borderId="0" xfId="0" applyFont="1" applyFill="1" applyBorder="1" applyAlignment="1">
      <alignment horizontal="center" vertical="center"/>
    </xf>
    <xf numFmtId="0" fontId="4" fillId="0" borderId="17"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6" fillId="0" borderId="12" xfId="0" applyFont="1" applyBorder="1" applyAlignment="1">
      <alignment horizontal="center" vertical="center" wrapText="1"/>
    </xf>
    <xf numFmtId="0" fontId="29" fillId="0" borderId="0" xfId="0" applyFont="1"/>
    <xf numFmtId="2" fontId="4" fillId="0" borderId="0" xfId="0" applyNumberFormat="1" applyFont="1" applyBorder="1" applyAlignment="1">
      <alignment horizontal="center" vertical="center"/>
    </xf>
    <xf numFmtId="0" fontId="11" fillId="0" borderId="23" xfId="0" applyFont="1" applyBorder="1" applyAlignment="1">
      <alignment horizontal="left" vertical="center"/>
    </xf>
    <xf numFmtId="2" fontId="11" fillId="0" borderId="17" xfId="0" applyNumberFormat="1" applyFont="1" applyBorder="1" applyAlignment="1">
      <alignment horizontal="left" vertical="center"/>
    </xf>
    <xf numFmtId="1" fontId="4" fillId="0" borderId="14" xfId="0" applyNumberFormat="1" applyFont="1" applyBorder="1" applyAlignment="1">
      <alignment horizontal="center" vertical="center"/>
    </xf>
    <xf numFmtId="2" fontId="9" fillId="0" borderId="0" xfId="0" applyNumberFormat="1" applyFont="1" applyBorder="1" applyAlignment="1">
      <alignment horizontal="center" vertical="center"/>
    </xf>
    <xf numFmtId="0" fontId="3" fillId="0" borderId="15"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Alignment="1">
      <alignment horizontal="center" vertical="center" textRotation="180"/>
    </xf>
    <xf numFmtId="1" fontId="4" fillId="0" borderId="0" xfId="0" applyNumberFormat="1" applyFont="1" applyBorder="1" applyAlignment="1">
      <alignment horizontal="center" vertical="center"/>
    </xf>
    <xf numFmtId="1" fontId="4" fillId="0" borderId="12" xfId="0" applyNumberFormat="1" applyFont="1" applyBorder="1" applyAlignment="1">
      <alignment horizontal="center" vertical="center"/>
    </xf>
    <xf numFmtId="2" fontId="9" fillId="0" borderId="0" xfId="0" applyNumberFormat="1" applyFont="1" applyBorder="1" applyAlignment="1" applyProtection="1">
      <alignment horizontal="center" vertical="center"/>
      <protection locked="0"/>
    </xf>
    <xf numFmtId="3" fontId="54" fillId="0" borderId="0" xfId="0" applyNumberFormat="1" applyFont="1" applyAlignment="1">
      <alignment vertical="center"/>
    </xf>
    <xf numFmtId="3" fontId="54" fillId="0" borderId="0" xfId="0" applyNumberFormat="1" applyFont="1" applyAlignment="1">
      <alignment horizontal="center" vertical="center"/>
    </xf>
    <xf numFmtId="0" fontId="3" fillId="0" borderId="0" xfId="0" applyFont="1" applyBorder="1" applyAlignment="1">
      <alignment vertical="center"/>
    </xf>
    <xf numFmtId="3" fontId="54" fillId="0" borderId="0" xfId="0" applyNumberFormat="1" applyFont="1" applyBorder="1" applyAlignment="1">
      <alignment vertical="center"/>
    </xf>
    <xf numFmtId="0" fontId="28" fillId="0" borderId="0" xfId="0" applyFont="1" applyAlignment="1">
      <alignment vertical="center"/>
    </xf>
    <xf numFmtId="0" fontId="4" fillId="0" borderId="15" xfId="0" applyFont="1" applyBorder="1" applyAlignment="1">
      <alignment horizontal="center" vertical="center"/>
    </xf>
    <xf numFmtId="0" fontId="3" fillId="0" borderId="0" xfId="0" applyFont="1" applyProtection="1">
      <protection locked="0"/>
    </xf>
    <xf numFmtId="0" fontId="41" fillId="0" borderId="0" xfId="0" applyFont="1" applyAlignment="1">
      <alignment horizontal="center" vertical="center" textRotation="180"/>
    </xf>
    <xf numFmtId="0" fontId="41" fillId="0" borderId="0" xfId="0" applyFont="1"/>
    <xf numFmtId="0" fontId="4" fillId="0" borderId="16" xfId="0" quotePrefix="1" applyFont="1" applyBorder="1" applyAlignment="1">
      <alignment horizontal="center" vertical="center"/>
    </xf>
    <xf numFmtId="0" fontId="4" fillId="0" borderId="0" xfId="0" applyFont="1" applyBorder="1" applyAlignment="1" applyProtection="1">
      <alignment horizontal="center" vertical="center"/>
      <protection locked="0"/>
    </xf>
    <xf numFmtId="0" fontId="22" fillId="0" borderId="14" xfId="0" applyFont="1" applyBorder="1" applyAlignment="1">
      <alignment horizontal="center" vertical="center"/>
    </xf>
    <xf numFmtId="164" fontId="2" fillId="0" borderId="0" xfId="0" applyNumberFormat="1" applyFont="1" applyBorder="1" applyAlignment="1">
      <alignment horizontal="center" vertical="center"/>
    </xf>
    <xf numFmtId="0" fontId="4" fillId="0" borderId="10" xfId="0" applyFont="1" applyBorder="1" applyAlignment="1">
      <alignment horizontal="center" vertical="center"/>
    </xf>
    <xf numFmtId="0" fontId="31" fillId="0" borderId="0" xfId="0" applyFont="1" applyBorder="1" applyAlignment="1">
      <alignment horizontal="center" vertical="center"/>
    </xf>
    <xf numFmtId="0" fontId="7" fillId="0" borderId="0" xfId="0" applyFont="1" applyAlignment="1">
      <alignment vertical="center"/>
    </xf>
    <xf numFmtId="0" fontId="7" fillId="0" borderId="10" xfId="0" applyFont="1" applyBorder="1" applyAlignment="1">
      <alignment vertical="center"/>
    </xf>
    <xf numFmtId="0" fontId="4" fillId="0" borderId="21" xfId="0" applyFont="1" applyBorder="1" applyAlignment="1">
      <alignment horizontal="center" vertical="center"/>
    </xf>
    <xf numFmtId="2" fontId="4" fillId="0" borderId="16" xfId="0" applyNumberFormat="1" applyFont="1" applyBorder="1" applyAlignment="1">
      <alignment horizontal="center" vertical="center"/>
    </xf>
    <xf numFmtId="0" fontId="52" fillId="0" borderId="0" xfId="0" applyFont="1" applyAlignment="1">
      <alignment horizontal="center"/>
    </xf>
    <xf numFmtId="0" fontId="4" fillId="0" borderId="15" xfId="0" applyFont="1" applyBorder="1" applyAlignment="1">
      <alignment horizontal="center" vertical="center" wrapText="1"/>
    </xf>
    <xf numFmtId="0" fontId="22" fillId="0" borderId="22" xfId="0" applyFont="1" applyBorder="1" applyAlignment="1">
      <alignment horizontal="center" vertical="center"/>
    </xf>
    <xf numFmtId="0" fontId="4" fillId="0" borderId="11" xfId="0" applyFont="1" applyBorder="1" applyAlignment="1">
      <alignment horizontal="center" vertical="center"/>
    </xf>
    <xf numFmtId="2" fontId="4" fillId="0" borderId="10" xfId="0" applyNumberFormat="1" applyFont="1" applyBorder="1" applyAlignment="1">
      <alignment horizontal="center" vertical="center"/>
    </xf>
    <xf numFmtId="0" fontId="55" fillId="0" borderId="11" xfId="0" applyFont="1" applyBorder="1" applyAlignment="1">
      <alignment horizontal="center" vertical="center"/>
    </xf>
    <xf numFmtId="0" fontId="4" fillId="0" borderId="18" xfId="0" quotePrefix="1" applyFont="1" applyBorder="1" applyAlignment="1">
      <alignment horizontal="center" vertical="center"/>
    </xf>
    <xf numFmtId="0" fontId="4" fillId="0" borderId="11" xfId="0" quotePrefix="1" applyFont="1" applyBorder="1" applyAlignment="1">
      <alignment horizontal="center" vertical="center"/>
    </xf>
    <xf numFmtId="0" fontId="4" fillId="0" borderId="24" xfId="0" quotePrefix="1" applyFont="1" applyBorder="1" applyAlignment="1">
      <alignment horizontal="center" vertical="center"/>
    </xf>
    <xf numFmtId="0" fontId="29" fillId="0" borderId="11" xfId="0" applyFont="1" applyBorder="1" applyAlignment="1">
      <alignment horizontal="center" vertical="center" wrapText="1"/>
    </xf>
    <xf numFmtId="1" fontId="4" fillId="0" borderId="0" xfId="0" applyNumberFormat="1" applyFont="1" applyAlignment="1">
      <alignment horizontal="center" vertical="center"/>
    </xf>
    <xf numFmtId="0" fontId="3" fillId="0" borderId="0" xfId="0" applyFont="1" applyBorder="1"/>
    <xf numFmtId="0" fontId="6" fillId="0" borderId="0" xfId="0" applyFont="1"/>
    <xf numFmtId="0" fontId="29" fillId="0" borderId="0" xfId="0" applyFont="1" applyAlignment="1"/>
    <xf numFmtId="0" fontId="56" fillId="0" borderId="0" xfId="0" applyFont="1" applyAlignment="1"/>
    <xf numFmtId="0" fontId="4" fillId="0" borderId="11" xfId="0" applyFont="1" applyBorder="1" applyAlignment="1">
      <alignment horizontal="center" vertical="center" wrapText="1"/>
    </xf>
    <xf numFmtId="1" fontId="4" fillId="0" borderId="13" xfId="0" applyNumberFormat="1" applyFont="1" applyBorder="1" applyAlignment="1">
      <alignment horizontal="center" vertical="center"/>
    </xf>
    <xf numFmtId="0" fontId="27" fillId="0" borderId="16" xfId="0" applyFont="1" applyBorder="1"/>
    <xf numFmtId="0" fontId="29" fillId="0" borderId="13" xfId="0" applyFont="1" applyBorder="1" applyAlignment="1">
      <alignment horizontal="center"/>
    </xf>
    <xf numFmtId="0" fontId="4" fillId="0" borderId="22" xfId="0" applyFont="1" applyBorder="1" applyAlignment="1" applyProtection="1">
      <alignment horizontal="center" vertical="center"/>
      <protection locked="0"/>
    </xf>
    <xf numFmtId="2" fontId="4" fillId="0" borderId="13" xfId="0" quotePrefix="1" applyNumberFormat="1" applyFont="1" applyBorder="1" applyAlignment="1">
      <alignment horizontal="center" vertical="center"/>
    </xf>
    <xf numFmtId="2" fontId="4" fillId="0" borderId="22" xfId="0" applyNumberFormat="1" applyFont="1" applyBorder="1" applyAlignment="1">
      <alignment horizontal="center" vertical="center"/>
    </xf>
    <xf numFmtId="1" fontId="4" fillId="0" borderId="22" xfId="0" applyNumberFormat="1" applyFont="1" applyBorder="1" applyAlignment="1">
      <alignment horizontal="center" vertical="center"/>
    </xf>
    <xf numFmtId="2" fontId="4" fillId="0" borderId="14" xfId="0" applyNumberFormat="1" applyFont="1" applyFill="1" applyBorder="1" applyAlignment="1">
      <alignment horizontal="center" vertical="center"/>
    </xf>
    <xf numFmtId="1" fontId="0" fillId="0" borderId="14" xfId="0" applyNumberFormat="1" applyBorder="1" applyAlignment="1">
      <alignment horizontal="center" vertical="center"/>
    </xf>
    <xf numFmtId="0" fontId="9" fillId="0" borderId="0" xfId="0" applyFont="1" applyBorder="1" applyAlignment="1">
      <alignment horizontal="right" vertical="center"/>
    </xf>
    <xf numFmtId="0" fontId="7" fillId="0" borderId="12" xfId="0" applyFont="1" applyBorder="1" applyAlignment="1">
      <alignment vertical="center"/>
    </xf>
    <xf numFmtId="0" fontId="6" fillId="0" borderId="12" xfId="0" applyFont="1" applyBorder="1" applyAlignment="1">
      <alignment vertical="center"/>
    </xf>
    <xf numFmtId="0" fontId="4" fillId="0" borderId="23" xfId="0" applyFont="1" applyBorder="1" applyAlignment="1">
      <alignment horizontal="center" vertical="center"/>
    </xf>
    <xf numFmtId="1" fontId="4" fillId="0" borderId="17" xfId="0" applyNumberFormat="1" applyFont="1" applyBorder="1" applyAlignment="1">
      <alignment horizontal="center" vertical="center"/>
    </xf>
    <xf numFmtId="165" fontId="4" fillId="0" borderId="0" xfId="0" applyNumberFormat="1" applyFont="1" applyBorder="1" applyAlignment="1">
      <alignment horizontal="center" vertical="center"/>
    </xf>
    <xf numFmtId="165" fontId="4" fillId="0" borderId="20" xfId="0" applyNumberFormat="1" applyFont="1" applyBorder="1" applyAlignment="1">
      <alignment horizontal="center" vertical="center"/>
    </xf>
    <xf numFmtId="165" fontId="4" fillId="0" borderId="0" xfId="0" quotePrefix="1" applyNumberFormat="1" applyFont="1" applyBorder="1" applyAlignment="1">
      <alignment horizontal="center" vertical="center"/>
    </xf>
    <xf numFmtId="165" fontId="4" fillId="0" borderId="10" xfId="0" applyNumberFormat="1" applyFont="1" applyBorder="1" applyAlignment="1">
      <alignment horizontal="center" vertical="center"/>
    </xf>
    <xf numFmtId="1" fontId="4" fillId="0" borderId="10" xfId="0" applyNumberFormat="1" applyFont="1" applyBorder="1" applyAlignment="1">
      <alignment horizontal="center" vertical="center"/>
    </xf>
    <xf numFmtId="1" fontId="4" fillId="0" borderId="0" xfId="0" quotePrefix="1" applyNumberFormat="1" applyFont="1" applyBorder="1" applyAlignment="1">
      <alignment horizontal="center" vertical="center"/>
    </xf>
    <xf numFmtId="0" fontId="29" fillId="0" borderId="11" xfId="0" applyFont="1" applyBorder="1" applyAlignment="1">
      <alignment horizontal="center" vertical="top" wrapText="1"/>
    </xf>
    <xf numFmtId="0" fontId="4" fillId="0" borderId="0" xfId="0" applyFont="1" applyBorder="1" applyAlignment="1" applyProtection="1">
      <alignment horizontal="left" vertical="top"/>
      <protection locked="0"/>
    </xf>
    <xf numFmtId="164" fontId="4" fillId="0" borderId="15"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0" borderId="13" xfId="0" applyNumberFormat="1" applyFont="1" applyBorder="1" applyAlignment="1">
      <alignment horizontal="center" vertical="center"/>
    </xf>
    <xf numFmtId="0" fontId="18" fillId="0" borderId="18" xfId="0" applyFont="1" applyBorder="1" applyAlignment="1">
      <alignment horizontal="center" vertical="center" wrapText="1"/>
    </xf>
    <xf numFmtId="0" fontId="27" fillId="0" borderId="0" xfId="0" applyFont="1" applyFill="1" applyBorder="1" applyAlignment="1">
      <alignment horizontal="center"/>
    </xf>
    <xf numFmtId="0" fontId="18" fillId="0" borderId="11" xfId="0" applyFont="1" applyBorder="1" applyAlignment="1">
      <alignment horizontal="center" vertical="center" wrapText="1"/>
    </xf>
    <xf numFmtId="2" fontId="3" fillId="0" borderId="14" xfId="0" applyNumberFormat="1" applyFont="1" applyBorder="1" applyAlignment="1">
      <alignment horizontal="center" vertical="center"/>
    </xf>
    <xf numFmtId="0" fontId="28" fillId="0" borderId="0" xfId="0" applyFont="1" applyAlignment="1">
      <alignment horizontal="right" vertical="center"/>
    </xf>
    <xf numFmtId="1" fontId="4" fillId="0" borderId="16" xfId="0" applyNumberFormat="1" applyFont="1" applyBorder="1" applyAlignment="1">
      <alignment horizontal="center" vertical="center"/>
    </xf>
    <xf numFmtId="0" fontId="4" fillId="0" borderId="20" xfId="0" applyFont="1" applyBorder="1" applyAlignment="1">
      <alignment horizontal="center" vertical="center"/>
    </xf>
    <xf numFmtId="165" fontId="3" fillId="0" borderId="14" xfId="0" applyNumberFormat="1" applyFont="1" applyBorder="1" applyAlignment="1">
      <alignment horizontal="center" vertical="center"/>
    </xf>
    <xf numFmtId="0" fontId="9" fillId="0" borderId="0" xfId="0" applyFont="1" applyAlignment="1"/>
    <xf numFmtId="0" fontId="4" fillId="0" borderId="23" xfId="0" applyFont="1" applyBorder="1" applyAlignment="1" applyProtection="1">
      <alignment horizontal="center" vertical="center"/>
      <protection locked="0"/>
    </xf>
    <xf numFmtId="2" fontId="4" fillId="0" borderId="15" xfId="0" applyNumberFormat="1" applyFont="1" applyBorder="1" applyAlignment="1">
      <alignment horizontal="center" vertical="center" wrapText="1"/>
    </xf>
    <xf numFmtId="0" fontId="4" fillId="0" borderId="20" xfId="0" applyFont="1" applyBorder="1" applyAlignment="1" applyProtection="1">
      <alignment horizontal="center" vertical="center"/>
      <protection locked="0"/>
    </xf>
    <xf numFmtId="0" fontId="4" fillId="0" borderId="20" xfId="0" quotePrefix="1" applyFont="1" applyBorder="1" applyAlignment="1" applyProtection="1">
      <alignment horizontal="center" vertical="center"/>
      <protection locked="0"/>
    </xf>
    <xf numFmtId="0" fontId="4" fillId="0" borderId="23" xfId="0" quotePrefix="1" applyFont="1" applyBorder="1" applyAlignment="1" applyProtection="1">
      <alignment horizontal="center" vertical="center"/>
      <protection locked="0"/>
    </xf>
    <xf numFmtId="2" fontId="4" fillId="0" borderId="13" xfId="0" applyNumberFormat="1" applyFont="1" applyBorder="1" applyAlignment="1">
      <alignment horizontal="center" vertical="center" wrapText="1"/>
    </xf>
    <xf numFmtId="0" fontId="4" fillId="0" borderId="22" xfId="0" quotePrefix="1" applyFont="1" applyBorder="1" applyAlignment="1" applyProtection="1">
      <alignment horizontal="center" vertical="center"/>
      <protection locked="0"/>
    </xf>
    <xf numFmtId="0" fontId="4" fillId="0" borderId="10" xfId="0" quotePrefix="1" applyFont="1" applyBorder="1" applyAlignment="1" applyProtection="1">
      <alignment horizontal="center" vertical="center"/>
      <protection locked="0"/>
    </xf>
    <xf numFmtId="2" fontId="4" fillId="0" borderId="12" xfId="0" applyNumberFormat="1" applyFont="1" applyBorder="1" applyAlignment="1">
      <alignment horizontal="center" vertical="center" wrapText="1"/>
    </xf>
    <xf numFmtId="0" fontId="4" fillId="0" borderId="0" xfId="0" quotePrefix="1" applyFont="1" applyBorder="1" applyAlignment="1" applyProtection="1">
      <alignment horizontal="center" vertical="center"/>
      <protection locked="0"/>
    </xf>
    <xf numFmtId="0" fontId="4" fillId="0" borderId="17" xfId="0" quotePrefix="1" applyFont="1" applyBorder="1" applyAlignment="1" applyProtection="1">
      <alignment horizontal="center" vertical="center"/>
      <protection locked="0"/>
    </xf>
    <xf numFmtId="0" fontId="61" fillId="0" borderId="0" xfId="0" applyFont="1" applyBorder="1" applyAlignment="1">
      <alignment horizontal="right" vertical="center"/>
    </xf>
    <xf numFmtId="0" fontId="9" fillId="0" borderId="0" xfId="0" applyFont="1" applyAlignment="1">
      <alignment horizontal="right"/>
    </xf>
    <xf numFmtId="0" fontId="61" fillId="0" borderId="0" xfId="0" applyFont="1" applyAlignment="1">
      <alignment horizontal="right"/>
    </xf>
    <xf numFmtId="0" fontId="61" fillId="0" borderId="0" xfId="0" applyFont="1"/>
    <xf numFmtId="0" fontId="9" fillId="0" borderId="0" xfId="0" applyFont="1" applyAlignment="1">
      <alignment horizontal="right" vertical="center"/>
    </xf>
    <xf numFmtId="0" fontId="9" fillId="0" borderId="0" xfId="0" applyFont="1" applyAlignment="1">
      <alignment vertical="center"/>
    </xf>
    <xf numFmtId="0" fontId="61" fillId="0" borderId="0" xfId="0" applyFont="1" applyAlignment="1">
      <alignment horizontal="right" vertical="center"/>
    </xf>
    <xf numFmtId="0" fontId="61" fillId="0" borderId="0" xfId="0" applyFont="1" applyBorder="1" applyAlignment="1" applyProtection="1">
      <alignment horizontal="right" vertical="center"/>
      <protection locked="0"/>
    </xf>
    <xf numFmtId="0" fontId="9" fillId="0" borderId="20" xfId="0" applyFont="1" applyBorder="1" applyAlignment="1">
      <alignment vertical="top" wrapText="1"/>
    </xf>
    <xf numFmtId="0" fontId="9" fillId="0" borderId="0" xfId="0" applyFont="1" applyProtection="1">
      <protection locked="0"/>
    </xf>
    <xf numFmtId="0" fontId="9" fillId="0" borderId="0" xfId="0" applyFont="1" applyBorder="1" applyAlignment="1">
      <alignment vertical="top" wrapText="1"/>
    </xf>
    <xf numFmtId="0" fontId="9" fillId="0" borderId="0" xfId="0" applyFont="1" applyAlignment="1">
      <alignment vertical="top" wrapText="1"/>
    </xf>
    <xf numFmtId="0" fontId="4" fillId="0" borderId="0" xfId="0" applyFont="1" applyBorder="1" applyAlignment="1">
      <alignment vertical="center"/>
    </xf>
    <xf numFmtId="0" fontId="4" fillId="0" borderId="17" xfId="0" applyFont="1" applyBorder="1"/>
    <xf numFmtId="0" fontId="4" fillId="0" borderId="12" xfId="0" quotePrefix="1" applyFont="1" applyBorder="1" applyAlignment="1" applyProtection="1">
      <alignment horizontal="center" vertical="center"/>
      <protection locked="0"/>
    </xf>
    <xf numFmtId="0" fontId="4" fillId="0" borderId="14" xfId="0" quotePrefix="1" applyFont="1" applyBorder="1" applyAlignment="1" applyProtection="1">
      <alignment horizontal="center" vertical="center"/>
      <protection locked="0"/>
    </xf>
    <xf numFmtId="0" fontId="9" fillId="0" borderId="0" xfId="0" applyFont="1" applyFill="1" applyBorder="1" applyAlignment="1">
      <alignment horizontal="right"/>
    </xf>
    <xf numFmtId="0" fontId="9" fillId="0" borderId="0" xfId="0" applyFont="1" applyBorder="1" applyAlignment="1">
      <alignment horizontal="center"/>
    </xf>
    <xf numFmtId="0" fontId="9" fillId="0" borderId="0" xfId="0" applyFont="1" applyAlignment="1">
      <alignment horizontal="left" vertical="top"/>
    </xf>
    <xf numFmtId="0" fontId="9" fillId="0" borderId="0" xfId="0" applyFont="1" applyFill="1" applyBorder="1" applyAlignment="1">
      <alignment horizontal="center"/>
    </xf>
    <xf numFmtId="0" fontId="4" fillId="0" borderId="19" xfId="0" quotePrefix="1" applyFont="1" applyBorder="1" applyAlignment="1">
      <alignment horizontal="center" vertical="center"/>
    </xf>
    <xf numFmtId="0" fontId="34" fillId="0" borderId="18" xfId="0" applyFont="1" applyBorder="1" applyAlignment="1">
      <alignment horizontal="center" vertical="center" wrapText="1"/>
    </xf>
    <xf numFmtId="3" fontId="4" fillId="0" borderId="19" xfId="0" quotePrefix="1" applyNumberFormat="1" applyFont="1" applyBorder="1" applyAlignment="1">
      <alignment horizontal="center" vertical="center"/>
    </xf>
    <xf numFmtId="3" fontId="4" fillId="0" borderId="24" xfId="0" quotePrefix="1" applyNumberFormat="1" applyFont="1" applyBorder="1" applyAlignment="1">
      <alignment horizontal="center" vertical="center"/>
    </xf>
    <xf numFmtId="3" fontId="4" fillId="0" borderId="18" xfId="0" quotePrefix="1" applyNumberFormat="1" applyFont="1" applyBorder="1" applyAlignment="1">
      <alignment horizontal="center" vertical="center"/>
    </xf>
    <xf numFmtId="0" fontId="4" fillId="0" borderId="11" xfId="0" quotePrefix="1" applyFont="1" applyFill="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1" fontId="4" fillId="0" borderId="14" xfId="0" quotePrefix="1" applyNumberFormat="1" applyFont="1" applyBorder="1" applyAlignment="1">
      <alignment horizontal="center" vertical="center"/>
    </xf>
    <xf numFmtId="1" fontId="4" fillId="0" borderId="21" xfId="0" applyNumberFormat="1" applyFont="1" applyBorder="1" applyAlignment="1">
      <alignment horizontal="center" vertical="center"/>
    </xf>
    <xf numFmtId="165" fontId="9" fillId="0" borderId="0" xfId="0" applyNumberFormat="1" applyFont="1" applyBorder="1" applyAlignment="1">
      <alignment horizontal="center" vertical="center"/>
    </xf>
    <xf numFmtId="0" fontId="33" fillId="0" borderId="0" xfId="0" applyFont="1" applyAlignment="1">
      <alignment horizontal="left"/>
    </xf>
    <xf numFmtId="0" fontId="4" fillId="0" borderId="15" xfId="0" applyFont="1" applyBorder="1" applyAlignment="1" applyProtection="1">
      <alignment horizontal="center" vertical="center"/>
      <protection locked="0"/>
    </xf>
    <xf numFmtId="0" fontId="4" fillId="0" borderId="14" xfId="0" applyFont="1" applyBorder="1" applyAlignment="1">
      <alignment horizontal="left" vertical="center"/>
    </xf>
    <xf numFmtId="1" fontId="4" fillId="0" borderId="23" xfId="0" applyNumberFormat="1" applyFont="1" applyBorder="1" applyAlignment="1">
      <alignment horizontal="center" vertical="center"/>
    </xf>
    <xf numFmtId="0" fontId="4" fillId="0" borderId="14" xfId="0" applyFont="1" applyBorder="1" applyAlignment="1" applyProtection="1">
      <alignment horizontal="center" vertical="center"/>
    </xf>
    <xf numFmtId="2" fontId="4" fillId="0" borderId="12" xfId="0" quotePrefix="1" applyNumberFormat="1" applyFont="1" applyBorder="1" applyAlignment="1">
      <alignment horizontal="center" vertical="center"/>
    </xf>
    <xf numFmtId="2" fontId="4" fillId="0" borderId="10" xfId="0" applyNumberFormat="1" applyFont="1" applyBorder="1" applyAlignment="1" applyProtection="1">
      <alignment horizontal="center" vertical="center"/>
      <protection locked="0"/>
    </xf>
    <xf numFmtId="2" fontId="4" fillId="0" borderId="0" xfId="0" applyNumberFormat="1" applyFont="1" applyBorder="1" applyAlignment="1" applyProtection="1">
      <alignment horizontal="center" vertical="center"/>
      <protection locked="0"/>
    </xf>
    <xf numFmtId="2" fontId="4" fillId="0" borderId="20" xfId="0" applyNumberFormat="1" applyFont="1" applyBorder="1" applyAlignment="1">
      <alignment horizontal="center" vertical="center"/>
    </xf>
    <xf numFmtId="2" fontId="4" fillId="0" borderId="20" xfId="0" applyNumberFormat="1" applyFont="1" applyBorder="1" applyAlignment="1" applyProtection="1">
      <alignment horizontal="center" vertical="center"/>
      <protection locked="0"/>
    </xf>
    <xf numFmtId="2" fontId="4" fillId="0" borderId="15" xfId="0" applyNumberFormat="1" applyFont="1" applyBorder="1" applyAlignment="1" applyProtection="1">
      <alignment horizontal="center" vertical="center"/>
      <protection locked="0"/>
    </xf>
    <xf numFmtId="2" fontId="4" fillId="0" borderId="12" xfId="0" applyNumberFormat="1" applyFont="1" applyBorder="1" applyAlignment="1" applyProtection="1">
      <alignment horizontal="center" vertical="center"/>
      <protection locked="0"/>
    </xf>
    <xf numFmtId="2" fontId="4" fillId="0" borderId="13" xfId="0" applyNumberFormat="1" applyFont="1" applyBorder="1" applyAlignment="1" applyProtection="1">
      <alignment horizontal="center" vertical="center"/>
      <protection locked="0"/>
    </xf>
    <xf numFmtId="0" fontId="80" fillId="0" borderId="0" xfId="0" applyFont="1"/>
    <xf numFmtId="2" fontId="26" fillId="0" borderId="0" xfId="0" applyNumberFormat="1" applyFont="1" applyBorder="1" applyAlignment="1">
      <alignment horizontal="center" vertical="center"/>
    </xf>
    <xf numFmtId="0" fontId="9" fillId="0" borderId="0" xfId="0" applyFont="1" applyAlignment="1" applyProtection="1">
      <protection locked="0"/>
    </xf>
    <xf numFmtId="2" fontId="4" fillId="0" borderId="12" xfId="0" applyNumberFormat="1" applyFont="1" applyFill="1" applyBorder="1" applyAlignment="1">
      <alignment horizontal="center" vertical="center" wrapText="1"/>
    </xf>
    <xf numFmtId="2" fontId="11" fillId="0" borderId="12" xfId="0" applyNumberFormat="1" applyFont="1" applyBorder="1" applyAlignment="1">
      <alignment horizontal="left" vertical="center"/>
    </xf>
    <xf numFmtId="2" fontId="4" fillId="0" borderId="12" xfId="0" applyNumberFormat="1" applyFont="1" applyFill="1" applyBorder="1" applyAlignment="1">
      <alignment horizontal="center" vertical="center"/>
    </xf>
    <xf numFmtId="164" fontId="3" fillId="0" borderId="12" xfId="0" applyNumberFormat="1" applyFont="1" applyBorder="1" applyAlignment="1">
      <alignment horizontal="center" vertical="center"/>
    </xf>
    <xf numFmtId="1" fontId="4" fillId="0" borderId="15" xfId="0" applyNumberFormat="1" applyFont="1" applyBorder="1" applyAlignment="1">
      <alignment horizontal="center" vertical="center"/>
    </xf>
    <xf numFmtId="0" fontId="61" fillId="0" borderId="0" xfId="0" applyFont="1" applyAlignment="1">
      <alignment horizontal="left"/>
    </xf>
    <xf numFmtId="2" fontId="4" fillId="0" borderId="17" xfId="0" applyNumberFormat="1" applyFont="1" applyBorder="1" applyAlignment="1">
      <alignment horizontal="center" vertical="center"/>
    </xf>
    <xf numFmtId="0" fontId="9" fillId="0" borderId="0" xfId="0" applyFont="1" applyBorder="1" applyAlignment="1">
      <alignment horizontal="left" vertical="center"/>
    </xf>
    <xf numFmtId="164" fontId="4" fillId="0" borderId="14" xfId="0" applyNumberFormat="1" applyFont="1" applyBorder="1" applyAlignment="1">
      <alignment horizontal="center" vertical="center"/>
    </xf>
    <xf numFmtId="1" fontId="4" fillId="0" borderId="20" xfId="0" applyNumberFormat="1" applyFont="1" applyBorder="1" applyAlignment="1">
      <alignment horizontal="center" vertical="center"/>
    </xf>
    <xf numFmtId="0" fontId="9" fillId="0" borderId="20" xfId="0" applyFont="1" applyBorder="1" applyAlignment="1">
      <alignment horizontal="left" vertical="top"/>
    </xf>
    <xf numFmtId="0" fontId="9" fillId="0" borderId="0" xfId="0" applyFont="1" applyBorder="1" applyAlignment="1">
      <alignment horizontal="left" vertical="top"/>
    </xf>
    <xf numFmtId="0" fontId="18" fillId="0" borderId="14" xfId="0" applyFont="1" applyBorder="1" applyAlignment="1">
      <alignment horizontal="center" vertical="center"/>
    </xf>
    <xf numFmtId="2" fontId="3" fillId="0" borderId="13" xfId="0" applyNumberFormat="1" applyFont="1" applyBorder="1" applyAlignment="1">
      <alignment horizontal="center" vertical="center"/>
    </xf>
    <xf numFmtId="1" fontId="0" fillId="0" borderId="16" xfId="0" applyNumberFormat="1" applyBorder="1" applyAlignment="1">
      <alignment horizontal="center" vertical="center"/>
    </xf>
    <xf numFmtId="0" fontId="21" fillId="0" borderId="12" xfId="0" applyFont="1" applyFill="1" applyBorder="1" applyAlignment="1">
      <alignment horizontal="left" vertical="center"/>
    </xf>
    <xf numFmtId="0" fontId="3" fillId="0" borderId="10" xfId="0" applyFont="1" applyBorder="1" applyAlignment="1" applyProtection="1">
      <alignment horizontal="center" vertical="center"/>
      <protection locked="0"/>
    </xf>
    <xf numFmtId="1" fontId="4" fillId="0" borderId="14" xfId="0" applyNumberFormat="1" applyFont="1" applyBorder="1" applyAlignment="1" applyProtection="1">
      <alignment horizontal="center" vertical="center"/>
      <protection locked="0"/>
    </xf>
    <xf numFmtId="1" fontId="4" fillId="0" borderId="16" xfId="0" applyNumberFormat="1" applyFont="1" applyBorder="1" applyAlignment="1" applyProtection="1">
      <alignment horizontal="center" vertical="center"/>
      <protection locked="0"/>
    </xf>
    <xf numFmtId="1" fontId="4" fillId="0" borderId="10" xfId="0" applyNumberFormat="1" applyFont="1" applyBorder="1"/>
    <xf numFmtId="1" fontId="9" fillId="0" borderId="0" xfId="0" applyNumberFormat="1" applyFont="1"/>
    <xf numFmtId="1" fontId="4" fillId="0" borderId="0" xfId="0" applyNumberFormat="1" applyFont="1" applyAlignment="1" applyProtection="1">
      <alignment horizontal="center" vertical="center"/>
      <protection locked="0"/>
    </xf>
    <xf numFmtId="1" fontId="4" fillId="0" borderId="10" xfId="0" applyNumberFormat="1" applyFont="1" applyBorder="1" applyAlignment="1" applyProtection="1">
      <alignment horizontal="center" vertical="center"/>
      <protection locked="0"/>
    </xf>
    <xf numFmtId="0" fontId="18" fillId="0" borderId="13" xfId="0" applyFont="1" applyBorder="1" applyAlignment="1">
      <alignment horizontal="center" vertical="center" wrapText="1"/>
    </xf>
    <xf numFmtId="0" fontId="7" fillId="0" borderId="12" xfId="0" applyFont="1" applyBorder="1" applyAlignment="1">
      <alignment horizontal="center" vertical="center"/>
    </xf>
    <xf numFmtId="0" fontId="29" fillId="0" borderId="13" xfId="0" applyFont="1" applyBorder="1" applyAlignment="1">
      <alignment horizontal="center" vertical="center" wrapText="1"/>
    </xf>
    <xf numFmtId="0" fontId="4" fillId="0" borderId="0" xfId="0" quotePrefix="1" applyFont="1" applyBorder="1" applyAlignment="1">
      <alignment horizontal="center" vertical="center"/>
    </xf>
    <xf numFmtId="0" fontId="4" fillId="0" borderId="17" xfId="0" quotePrefix="1" applyFont="1" applyBorder="1" applyAlignment="1">
      <alignment horizontal="center" vertical="center"/>
    </xf>
    <xf numFmtId="0" fontId="4" fillId="0" borderId="14" xfId="0" quotePrefix="1" applyFont="1" applyBorder="1" applyAlignment="1">
      <alignment horizontal="center" vertical="center"/>
    </xf>
    <xf numFmtId="0" fontId="20" fillId="0" borderId="13" xfId="0" quotePrefix="1" applyFont="1" applyBorder="1" applyAlignment="1">
      <alignment horizontal="center" vertical="center"/>
    </xf>
    <xf numFmtId="0" fontId="20" fillId="0" borderId="16" xfId="0" quotePrefix="1" applyFont="1" applyBorder="1" applyAlignment="1">
      <alignment horizontal="center" vertical="center"/>
    </xf>
    <xf numFmtId="0" fontId="53" fillId="0" borderId="12" xfId="0" applyFont="1" applyBorder="1" applyAlignment="1">
      <alignment vertical="center"/>
    </xf>
    <xf numFmtId="0" fontId="21" fillId="0" borderId="12" xfId="0" applyFont="1" applyBorder="1" applyAlignment="1">
      <alignment horizontal="left" vertical="center"/>
    </xf>
    <xf numFmtId="0" fontId="18" fillId="0" borderId="12" xfId="0" quotePrefix="1" applyFont="1" applyBorder="1" applyAlignment="1">
      <alignment horizontal="center" vertical="center"/>
    </xf>
    <xf numFmtId="0" fontId="21" fillId="0" borderId="12" xfId="0" applyFont="1" applyBorder="1" applyAlignment="1">
      <alignment vertical="center" wrapText="1"/>
    </xf>
    <xf numFmtId="17" fontId="22" fillId="0" borderId="12" xfId="0" quotePrefix="1" applyNumberFormat="1" applyFont="1" applyBorder="1" applyAlignment="1">
      <alignment horizontal="center" vertical="center"/>
    </xf>
    <xf numFmtId="0" fontId="21" fillId="0" borderId="13" xfId="0" applyFont="1" applyBorder="1" applyAlignment="1">
      <alignment vertical="center"/>
    </xf>
    <xf numFmtId="0" fontId="18" fillId="0" borderId="13" xfId="0" applyFont="1" applyBorder="1" applyAlignment="1">
      <alignment horizontal="center" vertical="center"/>
    </xf>
    <xf numFmtId="0" fontId="18" fillId="0" borderId="16" xfId="0" applyFont="1" applyBorder="1" applyAlignment="1">
      <alignment horizontal="center" vertical="center" wrapText="1"/>
    </xf>
    <xf numFmtId="0" fontId="4" fillId="0" borderId="13" xfId="0" quotePrefix="1" applyFont="1" applyBorder="1" applyAlignment="1">
      <alignment horizontal="center" vertical="center"/>
    </xf>
    <xf numFmtId="0" fontId="4" fillId="0" borderId="0" xfId="0" applyFont="1" applyAlignment="1" applyProtection="1">
      <alignment vertical="center"/>
      <protection locked="0"/>
    </xf>
    <xf numFmtId="0" fontId="7" fillId="0" borderId="0" xfId="0" applyFont="1" applyAlignment="1" applyProtection="1">
      <alignment vertical="center"/>
      <protection locked="0"/>
    </xf>
    <xf numFmtId="0" fontId="32" fillId="0" borderId="0" xfId="0" applyFont="1" applyBorder="1" applyAlignment="1">
      <alignment vertical="center"/>
    </xf>
    <xf numFmtId="0" fontId="9" fillId="0" borderId="0" xfId="0" applyFont="1" applyAlignment="1" applyProtection="1">
      <alignment vertical="center"/>
      <protection locked="0"/>
    </xf>
    <xf numFmtId="0" fontId="3" fillId="0" borderId="17" xfId="0" applyFont="1" applyBorder="1" applyAlignment="1" applyProtection="1">
      <alignment horizontal="center" vertical="center"/>
      <protection locked="0"/>
    </xf>
    <xf numFmtId="0" fontId="84" fillId="0" borderId="0" xfId="0" applyFont="1" applyProtection="1">
      <protection locked="0"/>
    </xf>
    <xf numFmtId="1" fontId="3" fillId="0" borderId="17" xfId="0" applyNumberFormat="1" applyFont="1" applyBorder="1" applyAlignment="1">
      <alignment horizontal="center" vertical="center"/>
    </xf>
    <xf numFmtId="1" fontId="3" fillId="0" borderId="12" xfId="0" applyNumberFormat="1" applyFont="1" applyBorder="1" applyAlignment="1">
      <alignment horizontal="center" vertical="center"/>
    </xf>
    <xf numFmtId="1" fontId="3" fillId="0" borderId="14" xfId="0" applyNumberFormat="1" applyFont="1" applyBorder="1" applyAlignment="1">
      <alignment horizontal="center" vertical="center"/>
    </xf>
    <xf numFmtId="0" fontId="61" fillId="0" borderId="0" xfId="0" applyFont="1" applyBorder="1" applyAlignment="1" applyProtection="1">
      <alignment horizontal="center"/>
      <protection locked="0"/>
    </xf>
    <xf numFmtId="0" fontId="61" fillId="0" borderId="0" xfId="0" applyFont="1" applyAlignment="1"/>
    <xf numFmtId="0" fontId="84" fillId="0" borderId="0" xfId="0" applyFont="1"/>
    <xf numFmtId="0" fontId="4" fillId="0" borderId="11" xfId="0" quotePrefix="1" applyFont="1" applyBorder="1" applyAlignment="1" applyProtection="1">
      <alignment horizontal="center" vertical="center" wrapText="1"/>
      <protection hidden="1"/>
    </xf>
    <xf numFmtId="0" fontId="4" fillId="0" borderId="11" xfId="0" quotePrefix="1" applyFont="1" applyBorder="1" applyAlignment="1" applyProtection="1">
      <alignment horizontal="center" vertical="center"/>
      <protection hidden="1"/>
    </xf>
    <xf numFmtId="0" fontId="4" fillId="0" borderId="19" xfId="0" quotePrefix="1" applyFont="1" applyBorder="1" applyAlignment="1" applyProtection="1">
      <alignment horizontal="center" vertical="center"/>
      <protection hidden="1"/>
    </xf>
    <xf numFmtId="2" fontId="4" fillId="0" borderId="11" xfId="0" quotePrefix="1" applyNumberFormat="1" applyFont="1" applyBorder="1" applyAlignment="1" applyProtection="1">
      <alignment horizontal="center" vertical="center"/>
      <protection hidden="1"/>
    </xf>
    <xf numFmtId="2" fontId="4" fillId="0" borderId="12" xfId="0" applyNumberFormat="1" applyFont="1" applyBorder="1" applyAlignment="1" applyProtection="1">
      <alignment horizontal="center" vertical="center"/>
      <protection hidden="1"/>
    </xf>
    <xf numFmtId="0" fontId="4" fillId="0" borderId="17"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1" fontId="4" fillId="0" borderId="17" xfId="0" applyNumberFormat="1" applyFont="1" applyBorder="1" applyAlignment="1" applyProtection="1">
      <alignment horizontal="center" vertical="center"/>
      <protection hidden="1"/>
    </xf>
    <xf numFmtId="2" fontId="4" fillId="0" borderId="13" xfId="0" applyNumberFormat="1" applyFont="1" applyBorder="1" applyAlignment="1" applyProtection="1">
      <alignment horizontal="center" vertical="center"/>
      <protection hidden="1"/>
    </xf>
    <xf numFmtId="0" fontId="4" fillId="0" borderId="0" xfId="0" applyFont="1" applyBorder="1" applyAlignment="1" applyProtection="1">
      <alignment vertical="center"/>
      <protection locked="0"/>
    </xf>
    <xf numFmtId="0" fontId="3" fillId="0" borderId="17" xfId="0" applyFont="1" applyBorder="1"/>
    <xf numFmtId="1" fontId="3" fillId="0" borderId="15" xfId="0" applyNumberFormat="1" applyFont="1" applyBorder="1" applyAlignment="1">
      <alignment horizontal="center" vertical="center"/>
    </xf>
    <xf numFmtId="0" fontId="4" fillId="0" borderId="16" xfId="0" applyFont="1" applyBorder="1" applyAlignment="1" applyProtection="1">
      <alignment horizontal="center" vertical="center"/>
      <protection locked="0"/>
    </xf>
    <xf numFmtId="0" fontId="3" fillId="0" borderId="17" xfId="0" applyFont="1" applyBorder="1" applyAlignment="1">
      <alignment horizontal="center" vertical="center"/>
    </xf>
    <xf numFmtId="1" fontId="4" fillId="0" borderId="0" xfId="0" applyNumberFormat="1" applyFont="1" applyFill="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3"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1" xfId="0" quotePrefix="1" applyFont="1" applyBorder="1" applyAlignment="1">
      <alignment horizontal="center" vertical="center"/>
    </xf>
    <xf numFmtId="0" fontId="4" fillId="0" borderId="1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8" xfId="0" applyFont="1" applyBorder="1" applyAlignment="1">
      <alignment horizontal="center" vertical="center" wrapText="1"/>
    </xf>
    <xf numFmtId="0" fontId="9" fillId="0" borderId="0" xfId="0" applyFont="1" applyAlignment="1">
      <alignment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55" fillId="0" borderId="0" xfId="0" applyFont="1"/>
    <xf numFmtId="0" fontId="85" fillId="0" borderId="10" xfId="0" applyFont="1" applyBorder="1" applyAlignment="1">
      <alignment horizontal="center" vertical="center"/>
    </xf>
    <xf numFmtId="0" fontId="4" fillId="0" borderId="15"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55" fillId="0" borderId="0" xfId="0" applyFont="1" applyAlignment="1">
      <alignment vertical="center"/>
    </xf>
    <xf numFmtId="0" fontId="85" fillId="0" borderId="0" xfId="0" applyFont="1" applyAlignment="1">
      <alignment horizontal="center" vertical="top"/>
    </xf>
    <xf numFmtId="0" fontId="86" fillId="0" borderId="0" xfId="0" applyFont="1"/>
    <xf numFmtId="0" fontId="4" fillId="0" borderId="10" xfId="0" applyFont="1" applyBorder="1" applyAlignment="1">
      <alignment horizontal="left"/>
    </xf>
    <xf numFmtId="0" fontId="87" fillId="0" borderId="10" xfId="0" applyFont="1" applyBorder="1" applyAlignment="1">
      <alignment horizontal="left"/>
    </xf>
    <xf numFmtId="0" fontId="88" fillId="0" borderId="0" xfId="0" applyFont="1"/>
    <xf numFmtId="0" fontId="4" fillId="0" borderId="21" xfId="0" applyFont="1" applyFill="1" applyBorder="1" applyAlignment="1">
      <alignment horizontal="center" vertical="center"/>
    </xf>
    <xf numFmtId="0" fontId="55" fillId="0" borderId="11" xfId="0" quotePrefix="1" applyFont="1" applyBorder="1" applyAlignment="1">
      <alignment horizontal="center" vertical="center"/>
    </xf>
    <xf numFmtId="0" fontId="55" fillId="0" borderId="24" xfId="0" quotePrefix="1" applyFont="1" applyBorder="1" applyAlignment="1">
      <alignment horizontal="center" vertical="center"/>
    </xf>
    <xf numFmtId="0" fontId="55" fillId="0" borderId="18" xfId="0" quotePrefix="1" applyFont="1" applyBorder="1" applyAlignment="1">
      <alignment horizontal="center" vertical="center"/>
    </xf>
    <xf numFmtId="0" fontId="4" fillId="0" borderId="0" xfId="0" applyFont="1" applyBorder="1" applyAlignment="1">
      <alignment horizontal="center"/>
    </xf>
    <xf numFmtId="0" fontId="55" fillId="0" borderId="14" xfId="0" applyFont="1" applyBorder="1" applyAlignment="1">
      <alignment horizontal="center" vertical="center"/>
    </xf>
    <xf numFmtId="0" fontId="3" fillId="0" borderId="11" xfId="0" applyFont="1" applyFill="1" applyBorder="1" applyAlignment="1">
      <alignment horizontal="center" vertical="center"/>
    </xf>
    <xf numFmtId="1" fontId="3" fillId="0" borderId="24" xfId="0" applyNumberFormat="1" applyFont="1" applyBorder="1" applyAlignment="1">
      <alignment horizontal="center" vertical="center"/>
    </xf>
    <xf numFmtId="1" fontId="3" fillId="0" borderId="11" xfId="0" applyNumberFormat="1" applyFont="1" applyBorder="1" applyAlignment="1">
      <alignment horizontal="center" vertical="center"/>
    </xf>
    <xf numFmtId="1" fontId="3" fillId="0" borderId="18" xfId="0" applyNumberFormat="1" applyFont="1" applyBorder="1" applyAlignment="1">
      <alignment horizontal="center" vertical="center"/>
    </xf>
    <xf numFmtId="0" fontId="55" fillId="0" borderId="0" xfId="0" applyFont="1" applyAlignment="1">
      <alignment horizontal="right"/>
    </xf>
    <xf numFmtId="0" fontId="3" fillId="0" borderId="0" xfId="0" applyFont="1" applyBorder="1" applyAlignment="1">
      <alignment horizontal="center"/>
    </xf>
    <xf numFmtId="0" fontId="86" fillId="0" borderId="0" xfId="0" applyFont="1" applyBorder="1"/>
    <xf numFmtId="0" fontId="4" fillId="0" borderId="0" xfId="0" applyFont="1" applyBorder="1" applyAlignment="1">
      <alignment horizontal="right"/>
    </xf>
    <xf numFmtId="0" fontId="9" fillId="0" borderId="0" xfId="0" applyFont="1" applyBorder="1" applyAlignment="1">
      <alignment horizontal="right"/>
    </xf>
    <xf numFmtId="0" fontId="9" fillId="0" borderId="0" xfId="0" applyFont="1" applyBorder="1" applyAlignment="1">
      <alignment horizontal="left"/>
    </xf>
    <xf numFmtId="0" fontId="1" fillId="0" borderId="0" xfId="0" applyFont="1" applyAlignment="1">
      <alignment horizontal="center" vertical="center" textRotation="180"/>
    </xf>
    <xf numFmtId="0" fontId="55" fillId="0" borderId="0" xfId="0" applyFont="1" applyAlignment="1">
      <alignment horizontal="center" vertical="center" textRotation="180"/>
    </xf>
    <xf numFmtId="0" fontId="85" fillId="0" borderId="0" xfId="0" applyFont="1" applyAlignment="1">
      <alignment horizontal="center" vertical="top" wrapText="1"/>
    </xf>
    <xf numFmtId="0" fontId="86" fillId="0" borderId="0" xfId="0" applyFont="1" applyAlignment="1">
      <alignment horizontal="center" vertical="center" textRotation="180"/>
    </xf>
    <xf numFmtId="0" fontId="86" fillId="0" borderId="10" xfId="0" applyFont="1" applyBorder="1"/>
    <xf numFmtId="2" fontId="55" fillId="0" borderId="0" xfId="0" applyNumberFormat="1" applyFont="1"/>
    <xf numFmtId="0" fontId="55" fillId="0" borderId="0" xfId="0" applyFont="1" applyAlignment="1">
      <alignment vertical="top"/>
    </xf>
    <xf numFmtId="0" fontId="7" fillId="0" borderId="0" xfId="0" applyFont="1" applyBorder="1" applyAlignment="1">
      <alignment horizontal="center" vertical="top" wrapText="1"/>
    </xf>
    <xf numFmtId="1" fontId="55" fillId="0" borderId="21" xfId="0" applyNumberFormat="1" applyFont="1" applyBorder="1" applyAlignment="1">
      <alignment horizontal="center" vertical="center"/>
    </xf>
    <xf numFmtId="1" fontId="55" fillId="0" borderId="17" xfId="0" applyNumberFormat="1" applyFont="1" applyBorder="1" applyAlignment="1" applyProtection="1">
      <alignment horizontal="center" vertical="center"/>
      <protection locked="0"/>
    </xf>
    <xf numFmtId="1" fontId="55" fillId="0" borderId="17" xfId="0" applyNumberFormat="1" applyFont="1" applyBorder="1" applyAlignment="1">
      <alignment horizontal="center" vertical="center"/>
    </xf>
    <xf numFmtId="1" fontId="55" fillId="0" borderId="14" xfId="0" applyNumberFormat="1" applyFont="1" applyBorder="1" applyAlignment="1">
      <alignment horizontal="center" vertical="center"/>
    </xf>
    <xf numFmtId="1" fontId="55" fillId="0" borderId="0" xfId="0" applyNumberFormat="1" applyFont="1" applyBorder="1" applyAlignment="1">
      <alignment horizontal="center" vertical="center"/>
    </xf>
    <xf numFmtId="1" fontId="55" fillId="0" borderId="10" xfId="0" applyNumberFormat="1" applyFont="1" applyBorder="1" applyAlignment="1">
      <alignment horizontal="center" vertical="center"/>
    </xf>
    <xf numFmtId="1" fontId="55" fillId="0" borderId="16" xfId="0" applyNumberFormat="1" applyFont="1" applyBorder="1" applyAlignment="1">
      <alignment horizontal="center" vertical="center"/>
    </xf>
    <xf numFmtId="2" fontId="55" fillId="0" borderId="0" xfId="0" applyNumberFormat="1" applyFont="1" applyBorder="1" applyAlignment="1" applyProtection="1">
      <alignment horizontal="center" vertical="center"/>
      <protection locked="0"/>
    </xf>
    <xf numFmtId="0" fontId="55" fillId="0" borderId="0" xfId="0" applyFont="1" applyBorder="1" applyAlignment="1">
      <alignment vertical="center"/>
    </xf>
    <xf numFmtId="2" fontId="55" fillId="0" borderId="0" xfId="0" applyNumberFormat="1" applyFont="1" applyBorder="1" applyAlignment="1">
      <alignment horizontal="center" vertical="center"/>
    </xf>
    <xf numFmtId="0" fontId="55" fillId="0" borderId="0" xfId="0" applyFont="1" applyBorder="1"/>
    <xf numFmtId="0" fontId="4" fillId="0" borderId="10" xfId="0" applyFont="1" applyBorder="1" applyAlignment="1">
      <alignment horizontal="right"/>
    </xf>
    <xf numFmtId="0" fontId="4" fillId="0" borderId="24" xfId="0" applyFont="1" applyBorder="1" applyAlignment="1">
      <alignment horizontal="center" vertical="center"/>
    </xf>
    <xf numFmtId="2" fontId="55" fillId="0" borderId="17" xfId="0" applyNumberFormat="1" applyFont="1" applyBorder="1" applyAlignment="1" applyProtection="1">
      <alignment horizontal="center" vertical="center"/>
      <protection locked="0"/>
    </xf>
    <xf numFmtId="2" fontId="55" fillId="0" borderId="14" xfId="0" applyNumberFormat="1" applyFont="1" applyBorder="1" applyAlignment="1" applyProtection="1">
      <alignment horizontal="center" vertical="center"/>
      <protection locked="0"/>
    </xf>
    <xf numFmtId="2" fontId="55" fillId="0" borderId="17" xfId="0" applyNumberFormat="1" applyFont="1" applyBorder="1" applyAlignment="1">
      <alignment horizontal="center" vertical="center"/>
    </xf>
    <xf numFmtId="2" fontId="55" fillId="0" borderId="14" xfId="0" applyNumberFormat="1" applyFont="1" applyBorder="1" applyAlignment="1">
      <alignment horizontal="center" vertical="center"/>
    </xf>
    <xf numFmtId="2" fontId="55" fillId="0" borderId="22" xfId="0" applyNumberFormat="1" applyFont="1" applyBorder="1" applyAlignment="1">
      <alignment horizontal="center" vertical="center"/>
    </xf>
    <xf numFmtId="2" fontId="55" fillId="0" borderId="16" xfId="0" applyNumberFormat="1" applyFont="1" applyBorder="1" applyAlignment="1">
      <alignment horizontal="center" vertical="center"/>
    </xf>
    <xf numFmtId="0" fontId="86" fillId="0" borderId="0" xfId="0" applyFont="1" applyAlignment="1">
      <alignment horizontal="right"/>
    </xf>
    <xf numFmtId="0" fontId="4" fillId="0" borderId="20" xfId="0" applyFont="1" applyBorder="1" applyAlignment="1">
      <alignment horizontal="center" vertical="center" wrapText="1"/>
    </xf>
    <xf numFmtId="0" fontId="55" fillId="0" borderId="0" xfId="0" applyFont="1" applyBorder="1" applyAlignment="1" applyProtection="1">
      <alignment horizontal="center" vertical="center"/>
      <protection locked="0"/>
    </xf>
    <xf numFmtId="0" fontId="55" fillId="0" borderId="12" xfId="0" applyFont="1" applyBorder="1" applyAlignment="1" applyProtection="1">
      <alignment horizontal="center" vertical="center"/>
      <protection locked="0"/>
    </xf>
    <xf numFmtId="0" fontId="55" fillId="0" borderId="12" xfId="0" applyFont="1" applyBorder="1" applyAlignment="1">
      <alignment horizontal="center" vertical="center"/>
    </xf>
    <xf numFmtId="0" fontId="55" fillId="0" borderId="0" xfId="0" applyFont="1" applyBorder="1" applyAlignment="1">
      <alignment horizontal="center" vertical="center"/>
    </xf>
    <xf numFmtId="0" fontId="55" fillId="0" borderId="15" xfId="0" applyFont="1" applyBorder="1" applyAlignment="1">
      <alignment horizontal="center" vertical="center"/>
    </xf>
    <xf numFmtId="0" fontId="55" fillId="0" borderId="22" xfId="0" applyFont="1" applyBorder="1" applyAlignment="1" applyProtection="1">
      <alignment horizontal="center" vertical="center"/>
      <protection locked="0"/>
    </xf>
    <xf numFmtId="0" fontId="55" fillId="0" borderId="22" xfId="0" applyFont="1" applyBorder="1" applyAlignment="1">
      <alignment horizontal="center" vertical="center"/>
    </xf>
    <xf numFmtId="0" fontId="55" fillId="0" borderId="13" xfId="0" applyFont="1" applyBorder="1" applyAlignment="1">
      <alignment horizontal="center" vertical="center"/>
    </xf>
    <xf numFmtId="0" fontId="55" fillId="0" borderId="0" xfId="0" applyFont="1" applyFill="1" applyBorder="1" applyAlignment="1">
      <alignment horizontal="center" vertical="center"/>
    </xf>
    <xf numFmtId="0" fontId="85" fillId="0" borderId="0" xfId="0" applyFont="1" applyAlignment="1">
      <alignment horizontal="center" vertical="center" wrapText="1"/>
    </xf>
    <xf numFmtId="0" fontId="55" fillId="0" borderId="0" xfId="0" applyFont="1" applyAlignment="1">
      <alignment horizontal="center"/>
    </xf>
    <xf numFmtId="0" fontId="55" fillId="0" borderId="19" xfId="0" quotePrefix="1" applyFont="1" applyBorder="1" applyAlignment="1">
      <alignment horizontal="center" vertical="center"/>
    </xf>
    <xf numFmtId="0" fontId="85" fillId="0" borderId="0" xfId="0" applyFont="1" applyBorder="1" applyAlignment="1">
      <alignment horizontal="center" wrapText="1"/>
    </xf>
    <xf numFmtId="0" fontId="85" fillId="0" borderId="10" xfId="0" applyFont="1" applyBorder="1" applyAlignment="1">
      <alignment horizontal="center" wrapText="1"/>
    </xf>
    <xf numFmtId="0" fontId="4" fillId="0" borderId="18" xfId="0" applyFont="1" applyFill="1" applyBorder="1" applyAlignment="1">
      <alignment horizontal="center" vertical="center"/>
    </xf>
    <xf numFmtId="0" fontId="4" fillId="0" borderId="24" xfId="0" quotePrefix="1" applyFont="1" applyFill="1" applyBorder="1" applyAlignment="1">
      <alignment horizontal="center" vertical="center"/>
    </xf>
    <xf numFmtId="0" fontId="3" fillId="0" borderId="24" xfId="0" applyFont="1" applyBorder="1" applyAlignment="1">
      <alignment horizontal="center" vertical="center"/>
    </xf>
    <xf numFmtId="0" fontId="55" fillId="0" borderId="0" xfId="0" applyFont="1" applyBorder="1" applyAlignment="1">
      <alignment horizontal="left"/>
    </xf>
    <xf numFmtId="0" fontId="86" fillId="0" borderId="0" xfId="0" applyFont="1" applyBorder="1" applyAlignment="1">
      <alignment horizontal="left"/>
    </xf>
    <xf numFmtId="0" fontId="4" fillId="0" borderId="19" xfId="0" quotePrefix="1" applyFont="1" applyFill="1" applyBorder="1" applyAlignment="1">
      <alignment horizontal="center" vertical="center"/>
    </xf>
    <xf numFmtId="0" fontId="4" fillId="0" borderId="18" xfId="0" quotePrefix="1" applyFont="1" applyFill="1" applyBorder="1" applyAlignment="1">
      <alignment horizontal="center" vertical="center"/>
    </xf>
    <xf numFmtId="0" fontId="55" fillId="0" borderId="12" xfId="0" quotePrefix="1" applyFont="1" applyBorder="1" applyAlignment="1">
      <alignment horizontal="center" vertical="center"/>
    </xf>
    <xf numFmtId="0" fontId="55" fillId="0" borderId="14" xfId="0" quotePrefix="1" applyFont="1" applyBorder="1" applyAlignment="1">
      <alignment horizontal="center" vertical="center"/>
    </xf>
    <xf numFmtId="0" fontId="4" fillId="0" borderId="17" xfId="0" applyFont="1" applyBorder="1" applyAlignment="1">
      <alignment horizontal="center" vertical="top" wrapText="1"/>
    </xf>
    <xf numFmtId="0" fontId="4" fillId="0" borderId="14" xfId="0" applyFont="1" applyBorder="1" applyAlignment="1">
      <alignment horizontal="center" vertical="top" wrapText="1"/>
    </xf>
    <xf numFmtId="0" fontId="55" fillId="0" borderId="20" xfId="0" applyFont="1" applyBorder="1" applyAlignment="1">
      <alignment horizontal="center" vertical="center"/>
    </xf>
    <xf numFmtId="0" fontId="55" fillId="0" borderId="0" xfId="0" applyFont="1" applyBorder="1" applyAlignment="1">
      <alignment horizontal="center"/>
    </xf>
    <xf numFmtId="0" fontId="55" fillId="0" borderId="10" xfId="0" applyFont="1" applyBorder="1" applyAlignment="1">
      <alignment horizontal="center" vertical="center"/>
    </xf>
    <xf numFmtId="0" fontId="55" fillId="0" borderId="16" xfId="0" applyFont="1" applyBorder="1" applyAlignment="1">
      <alignment horizontal="center" vertical="center"/>
    </xf>
    <xf numFmtId="0" fontId="3" fillId="0" borderId="19" xfId="0" applyFont="1" applyBorder="1" applyAlignment="1">
      <alignment horizontal="center" vertical="center"/>
    </xf>
    <xf numFmtId="0" fontId="4" fillId="0" borderId="0" xfId="0" applyFont="1" applyBorder="1" applyAlignment="1">
      <alignment horizontal="right" vertical="top" wrapText="1"/>
    </xf>
    <xf numFmtId="0" fontId="55" fillId="0" borderId="23" xfId="0" applyFont="1" applyBorder="1" applyAlignment="1">
      <alignment horizontal="center" vertical="center"/>
    </xf>
    <xf numFmtId="0" fontId="55" fillId="0" borderId="21" xfId="0" applyFont="1" applyBorder="1" applyAlignment="1">
      <alignment horizontal="center" vertical="center"/>
    </xf>
    <xf numFmtId="0" fontId="55" fillId="0" borderId="17" xfId="0" applyFont="1" applyBorder="1" applyAlignment="1">
      <alignment horizontal="center" vertical="center"/>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9" fillId="0" borderId="20" xfId="0" applyFont="1" applyFill="1" applyBorder="1" applyAlignment="1">
      <alignment horizontal="left" vertical="center"/>
    </xf>
    <xf numFmtId="0" fontId="4" fillId="0" borderId="0" xfId="0" applyFont="1" applyFill="1" applyBorder="1" applyAlignment="1">
      <alignment horizontal="left" vertical="center"/>
    </xf>
    <xf numFmtId="0" fontId="55" fillId="0" borderId="15"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8" xfId="0" applyFont="1" applyBorder="1" applyAlignment="1">
      <alignment horizontal="center" vertical="center" wrapText="1"/>
    </xf>
    <xf numFmtId="0" fontId="55" fillId="0" borderId="0" xfId="0" applyFont="1" applyAlignment="1">
      <alignment horizontal="center" vertical="center"/>
    </xf>
    <xf numFmtId="1" fontId="55" fillId="0" borderId="15" xfId="0" applyNumberFormat="1" applyFont="1" applyBorder="1" applyAlignment="1">
      <alignment horizontal="center" vertical="center"/>
    </xf>
    <xf numFmtId="1" fontId="55" fillId="0" borderId="12" xfId="0" applyNumberFormat="1" applyFont="1" applyBorder="1" applyAlignment="1">
      <alignment horizontal="center" vertical="center"/>
    </xf>
    <xf numFmtId="1" fontId="55" fillId="0" borderId="14" xfId="0" applyNumberFormat="1" applyFont="1" applyFill="1" applyBorder="1" applyAlignment="1">
      <alignment horizontal="center" vertical="center"/>
    </xf>
    <xf numFmtId="1" fontId="55" fillId="0" borderId="12" xfId="0" applyNumberFormat="1" applyFont="1" applyFill="1" applyBorder="1" applyAlignment="1">
      <alignment horizontal="center" vertical="center"/>
    </xf>
    <xf numFmtId="0" fontId="57" fillId="0" borderId="23" xfId="0" applyFont="1" applyBorder="1" applyAlignment="1">
      <alignment horizontal="center" vertical="center" wrapText="1"/>
    </xf>
    <xf numFmtId="0" fontId="55" fillId="0" borderId="18" xfId="0" quotePrefix="1" applyFont="1" applyFill="1" applyBorder="1" applyAlignment="1">
      <alignment horizontal="center" vertical="center"/>
    </xf>
    <xf numFmtId="0" fontId="55" fillId="0" borderId="18" xfId="0" applyFont="1" applyBorder="1" applyAlignment="1">
      <alignment horizontal="center" vertical="center"/>
    </xf>
    <xf numFmtId="0" fontId="85" fillId="0" borderId="0" xfId="0" applyFont="1" applyBorder="1" applyAlignment="1">
      <alignment horizontal="center" vertical="top" wrapText="1"/>
    </xf>
    <xf numFmtId="0" fontId="4" fillId="0" borderId="0" xfId="0" applyFont="1" applyAlignment="1">
      <alignment horizontal="center" vertical="center" wrapText="1"/>
    </xf>
    <xf numFmtId="0" fontId="4" fillId="0" borderId="24" xfId="0" quotePrefix="1" applyFont="1" applyBorder="1" applyAlignment="1">
      <alignment horizontal="center" vertical="center" wrapText="1"/>
    </xf>
    <xf numFmtId="0" fontId="4" fillId="0" borderId="11" xfId="0" quotePrefix="1" applyFont="1" applyBorder="1" applyAlignment="1">
      <alignment horizontal="center" vertical="center" wrapText="1"/>
    </xf>
    <xf numFmtId="0" fontId="4" fillId="0" borderId="18" xfId="0" quotePrefix="1" applyFont="1" applyBorder="1" applyAlignment="1">
      <alignment horizontal="center" vertical="center" wrapText="1"/>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1" fontId="3" fillId="0" borderId="13" xfId="0" applyNumberFormat="1" applyFont="1" applyBorder="1" applyAlignment="1">
      <alignment horizontal="center" vertical="center"/>
    </xf>
    <xf numFmtId="0" fontId="4" fillId="0" borderId="0" xfId="0" applyFont="1" applyFill="1" applyBorder="1"/>
    <xf numFmtId="0" fontId="9" fillId="0" borderId="0" xfId="0" applyFont="1" applyFill="1" applyBorder="1" applyAlignment="1">
      <alignment horizontal="left" vertical="center"/>
    </xf>
    <xf numFmtId="0" fontId="85" fillId="0" borderId="0" xfId="0" applyFont="1" applyBorder="1" applyAlignment="1">
      <alignment horizontal="center" vertical="center" wrapText="1"/>
    </xf>
    <xf numFmtId="0" fontId="4" fillId="0" borderId="13" xfId="0" applyFont="1" applyBorder="1" applyAlignment="1">
      <alignment horizontal="left" vertical="center" wrapText="1"/>
    </xf>
    <xf numFmtId="0" fontId="3" fillId="0" borderId="12" xfId="0" applyFont="1" applyBorder="1" applyAlignment="1">
      <alignment vertical="center"/>
    </xf>
    <xf numFmtId="0" fontId="4" fillId="0" borderId="12" xfId="0" applyFont="1" applyBorder="1" applyAlignment="1">
      <alignment vertical="center"/>
    </xf>
    <xf numFmtId="0" fontId="3" fillId="0" borderId="12" xfId="0" applyFont="1" applyBorder="1" applyAlignment="1">
      <alignment horizontal="left" vertical="center"/>
    </xf>
    <xf numFmtId="0" fontId="4" fillId="0" borderId="13" xfId="0" applyFont="1" applyBorder="1" applyAlignment="1">
      <alignment vertical="center"/>
    </xf>
    <xf numFmtId="0" fontId="9" fillId="0" borderId="0" xfId="0" applyFont="1" applyBorder="1" applyAlignment="1">
      <alignment horizontal="right" vertical="top"/>
    </xf>
    <xf numFmtId="0" fontId="89" fillId="0" borderId="0" xfId="0" applyFont="1" applyAlignment="1">
      <alignment horizontal="center" vertical="top"/>
    </xf>
    <xf numFmtId="0" fontId="90" fillId="0" borderId="0" xfId="0" applyFont="1"/>
    <xf numFmtId="0" fontId="4" fillId="0" borderId="0" xfId="0" applyFont="1" applyAlignment="1">
      <alignment horizontal="left" vertical="center"/>
    </xf>
    <xf numFmtId="0" fontId="4" fillId="0" borderId="10" xfId="0" applyFont="1" applyBorder="1" applyAlignment="1">
      <alignment horizontal="left" vertical="center"/>
    </xf>
    <xf numFmtId="0" fontId="6" fillId="0" borderId="0" xfId="0" applyFont="1" applyBorder="1" applyAlignment="1">
      <alignment horizontal="center"/>
    </xf>
    <xf numFmtId="0" fontId="85" fillId="0" borderId="0" xfId="0" applyFont="1" applyBorder="1" applyAlignment="1">
      <alignment horizontal="center" vertical="center"/>
    </xf>
    <xf numFmtId="0" fontId="7" fillId="0" borderId="0" xfId="0" applyFont="1" applyBorder="1" applyAlignment="1">
      <alignment horizontal="center" vertical="center"/>
    </xf>
    <xf numFmtId="0" fontId="4" fillId="0" borderId="15" xfId="0" applyFont="1" applyBorder="1" applyAlignment="1">
      <alignment horizontal="center" vertical="top" wrapText="1"/>
    </xf>
    <xf numFmtId="0" fontId="7" fillId="0" borderId="0" xfId="0" applyFont="1" applyBorder="1" applyAlignment="1">
      <alignment horizontal="center" vertical="top"/>
    </xf>
    <xf numFmtId="0" fontId="4" fillId="0" borderId="19" xfId="0" quotePrefix="1" applyFont="1" applyBorder="1" applyAlignment="1">
      <alignment horizontal="center" vertical="center" wrapText="1"/>
    </xf>
    <xf numFmtId="0" fontId="7" fillId="0" borderId="0" xfId="0" quotePrefix="1" applyFont="1" applyBorder="1" applyAlignment="1">
      <alignment horizontal="center" vertical="center"/>
    </xf>
    <xf numFmtId="0" fontId="4" fillId="0" borderId="13"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7" fillId="0" borderId="0" xfId="0" applyFont="1" applyBorder="1" applyAlignment="1">
      <alignment horizontal="right"/>
    </xf>
    <xf numFmtId="0" fontId="55" fillId="0" borderId="10" xfId="0" applyFont="1" applyBorder="1" applyAlignment="1">
      <alignment vertical="center"/>
    </xf>
    <xf numFmtId="0" fontId="4" fillId="0" borderId="10" xfId="0" applyFont="1" applyBorder="1" applyAlignment="1">
      <alignment horizontal="right" vertical="center"/>
    </xf>
    <xf numFmtId="0" fontId="4" fillId="0" borderId="13" xfId="0" applyFont="1" applyFill="1" applyBorder="1" applyAlignment="1">
      <alignment horizontal="left" vertical="center"/>
    </xf>
    <xf numFmtId="0" fontId="61" fillId="0" borderId="0" xfId="0" applyFont="1" applyFill="1" applyBorder="1" applyAlignment="1">
      <alignment horizontal="right"/>
    </xf>
    <xf numFmtId="0" fontId="61" fillId="0" borderId="0" xfId="0" applyFont="1" applyBorder="1" applyAlignment="1"/>
    <xf numFmtId="0" fontId="61" fillId="0" borderId="0" xfId="0" applyFont="1" applyFill="1" applyBorder="1" applyAlignment="1">
      <alignment horizontal="left"/>
    </xf>
    <xf numFmtId="0" fontId="86" fillId="0" borderId="0" xfId="0" applyFont="1" applyAlignment="1"/>
    <xf numFmtId="0" fontId="61" fillId="0" borderId="0" xfId="0" applyFont="1" applyBorder="1" applyAlignment="1">
      <alignment vertical="center" wrapText="1"/>
    </xf>
    <xf numFmtId="0" fontId="61" fillId="0" borderId="0" xfId="0" applyFont="1" applyBorder="1" applyAlignment="1">
      <alignment horizontal="right" vertical="center" wrapText="1"/>
    </xf>
    <xf numFmtId="0" fontId="91" fillId="0" borderId="0" xfId="0" applyFont="1" applyBorder="1" applyAlignment="1">
      <alignment horizontal="center"/>
    </xf>
    <xf numFmtId="0" fontId="92" fillId="0" borderId="0" xfId="0" applyFont="1"/>
    <xf numFmtId="0" fontId="92" fillId="0" borderId="0" xfId="0" applyFont="1" applyAlignment="1"/>
    <xf numFmtId="0" fontId="86" fillId="0" borderId="0" xfId="0" applyFont="1" applyAlignment="1">
      <alignment wrapText="1"/>
    </xf>
    <xf numFmtId="0" fontId="61" fillId="0" borderId="0" xfId="0" applyFont="1" applyBorder="1"/>
    <xf numFmtId="0" fontId="3" fillId="0" borderId="0" xfId="0" applyFont="1" applyAlignment="1"/>
    <xf numFmtId="0" fontId="93" fillId="0" borderId="0" xfId="0" applyFont="1" applyBorder="1" applyAlignment="1">
      <alignment horizontal="center" vertical="center"/>
    </xf>
    <xf numFmtId="0" fontId="4" fillId="0" borderId="20" xfId="0" applyFont="1" applyBorder="1" applyAlignment="1">
      <alignment horizontal="left"/>
    </xf>
    <xf numFmtId="0" fontId="8" fillId="0" borderId="0" xfId="0" applyFont="1" applyAlignment="1">
      <alignment horizontal="left"/>
    </xf>
    <xf numFmtId="0" fontId="4" fillId="0" borderId="0" xfId="0" applyFont="1" applyAlignment="1">
      <alignment horizontal="left"/>
    </xf>
    <xf numFmtId="0" fontId="9" fillId="0" borderId="0" xfId="0" applyFont="1" applyAlignment="1">
      <alignment horizontal="left"/>
    </xf>
    <xf numFmtId="1" fontId="4" fillId="0" borderId="10" xfId="0" applyNumberFormat="1" applyFont="1" applyBorder="1" applyAlignment="1">
      <alignment horizontal="right"/>
    </xf>
    <xf numFmtId="0" fontId="4" fillId="0" borderId="15" xfId="0" quotePrefix="1" applyFont="1" applyFill="1" applyBorder="1" applyAlignment="1">
      <alignment horizontal="center" vertical="center"/>
    </xf>
    <xf numFmtId="1" fontId="4" fillId="0" borderId="18" xfId="0" quotePrefix="1" applyNumberFormat="1" applyFont="1" applyFill="1" applyBorder="1" applyAlignment="1">
      <alignment horizontal="center" vertical="center"/>
    </xf>
    <xf numFmtId="1" fontId="4" fillId="0" borderId="24" xfId="0" quotePrefix="1" applyNumberFormat="1" applyFont="1" applyFill="1" applyBorder="1" applyAlignment="1">
      <alignment horizontal="center" vertical="center"/>
    </xf>
    <xf numFmtId="0" fontId="9" fillId="0" borderId="15" xfId="0" applyFont="1" applyBorder="1" applyAlignment="1">
      <alignment horizontal="center" vertical="center"/>
    </xf>
    <xf numFmtId="1" fontId="55" fillId="0" borderId="0" xfId="0" applyNumberFormat="1" applyFont="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Fill="1" applyBorder="1"/>
    <xf numFmtId="0" fontId="9" fillId="0" borderId="0" xfId="0" quotePrefix="1" applyFont="1" applyAlignment="1"/>
    <xf numFmtId="1" fontId="9" fillId="0" borderId="0" xfId="0" applyNumberFormat="1" applyFont="1" applyAlignment="1"/>
    <xf numFmtId="1" fontId="9" fillId="0" borderId="0" xfId="0" applyNumberFormat="1" applyFont="1" applyBorder="1" applyAlignment="1">
      <alignment horizontal="right"/>
    </xf>
    <xf numFmtId="0" fontId="9" fillId="0" borderId="0" xfId="0" applyFont="1" applyFill="1" applyBorder="1" applyAlignment="1">
      <alignment horizontal="left"/>
    </xf>
    <xf numFmtId="0" fontId="9" fillId="0" borderId="0" xfId="0" quotePrefix="1" applyFont="1"/>
    <xf numFmtId="1" fontId="9" fillId="0" borderId="0" xfId="0" applyNumberFormat="1" applyFont="1" applyFill="1" applyBorder="1" applyAlignment="1">
      <alignment horizontal="left"/>
    </xf>
    <xf numFmtId="0" fontId="55" fillId="0" borderId="0" xfId="0" applyFont="1" applyFill="1" applyBorder="1" applyAlignment="1">
      <alignment horizontal="left"/>
    </xf>
    <xf numFmtId="0" fontId="9" fillId="0" borderId="0" xfId="0" quotePrefix="1" applyFont="1" applyBorder="1"/>
    <xf numFmtId="1" fontId="9" fillId="0" borderId="0" xfId="0" applyNumberFormat="1" applyFont="1" applyBorder="1"/>
    <xf numFmtId="1" fontId="9" fillId="0" borderId="0" xfId="0" applyNumberFormat="1" applyFont="1" applyAlignment="1">
      <alignment wrapText="1"/>
    </xf>
    <xf numFmtId="0" fontId="4" fillId="0" borderId="0" xfId="0" quotePrefix="1" applyFont="1" applyBorder="1"/>
    <xf numFmtId="1" fontId="4" fillId="0" borderId="0" xfId="0" applyNumberFormat="1" applyFont="1" applyBorder="1"/>
    <xf numFmtId="1" fontId="4" fillId="0" borderId="15" xfId="0" applyNumberFormat="1" applyFont="1" applyBorder="1" applyAlignment="1">
      <alignment horizontal="center" vertical="center" wrapText="1"/>
    </xf>
    <xf numFmtId="1" fontId="4" fillId="0" borderId="11" xfId="0" quotePrefix="1" applyNumberFormat="1" applyFont="1" applyBorder="1" applyAlignment="1">
      <alignment horizontal="center" vertical="center"/>
    </xf>
    <xf numFmtId="2" fontId="55" fillId="0" borderId="12" xfId="0" applyNumberFormat="1" applyFont="1" applyBorder="1" applyAlignment="1">
      <alignment horizontal="center" vertical="center"/>
    </xf>
    <xf numFmtId="1" fontId="55" fillId="0" borderId="13" xfId="0" applyNumberFormat="1" applyFont="1" applyBorder="1" applyAlignment="1">
      <alignment horizontal="center" vertical="center"/>
    </xf>
    <xf numFmtId="2" fontId="55" fillId="0" borderId="13" xfId="0" applyNumberFormat="1" applyFont="1" applyBorder="1" applyAlignment="1">
      <alignment horizontal="center" vertical="center"/>
    </xf>
    <xf numFmtId="0" fontId="55" fillId="0" borderId="0" xfId="0" applyFont="1" applyAlignment="1">
      <alignment horizontal="left"/>
    </xf>
    <xf numFmtId="0" fontId="4" fillId="0" borderId="0" xfId="0" quotePrefix="1" applyFont="1" applyBorder="1" applyAlignment="1">
      <alignment horizontal="center"/>
    </xf>
    <xf numFmtId="0" fontId="55" fillId="0" borderId="11" xfId="0" quotePrefix="1" applyFont="1" applyFill="1" applyBorder="1" applyAlignment="1">
      <alignment horizontal="center" vertical="center"/>
    </xf>
    <xf numFmtId="0" fontId="55" fillId="0" borderId="19" xfId="0" quotePrefix="1" applyFont="1" applyFill="1" applyBorder="1" applyAlignment="1">
      <alignment horizontal="center" vertical="center"/>
    </xf>
    <xf numFmtId="2" fontId="3" fillId="0" borderId="17" xfId="0" applyNumberFormat="1" applyFont="1" applyBorder="1" applyAlignment="1">
      <alignment horizontal="center" vertical="center"/>
    </xf>
    <xf numFmtId="2" fontId="3" fillId="0" borderId="0" xfId="0" applyNumberFormat="1" applyFont="1" applyBorder="1" applyAlignment="1">
      <alignment horizontal="center" vertical="center"/>
    </xf>
    <xf numFmtId="2" fontId="3" fillId="0" borderId="21" xfId="0" applyNumberFormat="1" applyFont="1" applyBorder="1" applyAlignment="1">
      <alignment horizontal="center" vertical="center"/>
    </xf>
    <xf numFmtId="0" fontId="3" fillId="0" borderId="12" xfId="0" applyFont="1" applyBorder="1" applyAlignment="1">
      <alignment horizontal="left" vertical="center" wrapText="1"/>
    </xf>
    <xf numFmtId="0" fontId="55" fillId="0" borderId="12" xfId="0" applyFont="1" applyBorder="1" applyAlignment="1">
      <alignment vertical="center"/>
    </xf>
    <xf numFmtId="2" fontId="55" fillId="0" borderId="10" xfId="0" applyNumberFormat="1" applyFont="1" applyBorder="1" applyAlignment="1">
      <alignment horizontal="center" vertical="center"/>
    </xf>
    <xf numFmtId="0" fontId="4" fillId="0" borderId="0" xfId="0" applyFont="1" applyAlignment="1">
      <alignment horizontal="center" vertical="center" textRotation="180"/>
    </xf>
    <xf numFmtId="0" fontId="3" fillId="0" borderId="13" xfId="0" applyFont="1" applyBorder="1" applyAlignment="1">
      <alignment horizontal="left" vertical="center"/>
    </xf>
    <xf numFmtId="2" fontId="3" fillId="0" borderId="22" xfId="0" applyNumberFormat="1" applyFont="1" applyBorder="1" applyAlignment="1">
      <alignment horizontal="center" vertical="center"/>
    </xf>
    <xf numFmtId="2" fontId="3" fillId="0" borderId="10" xfId="0" applyNumberFormat="1" applyFont="1" applyBorder="1" applyAlignment="1">
      <alignment horizontal="center" vertical="center"/>
    </xf>
    <xf numFmtId="2" fontId="3" fillId="0" borderId="16" xfId="0" applyNumberFormat="1" applyFont="1" applyBorder="1" applyAlignment="1">
      <alignment horizontal="center" vertical="center"/>
    </xf>
    <xf numFmtId="0" fontId="4" fillId="0" borderId="0" xfId="0" applyFont="1" applyAlignment="1"/>
    <xf numFmtId="0" fontId="55" fillId="0" borderId="0" xfId="0" applyFont="1" applyProtection="1">
      <protection locked="0"/>
    </xf>
    <xf numFmtId="0" fontId="55" fillId="0" borderId="13" xfId="0" quotePrefix="1" applyFont="1" applyBorder="1" applyAlignment="1">
      <alignment horizontal="center" vertical="center"/>
    </xf>
    <xf numFmtId="0" fontId="3" fillId="0" borderId="15" xfId="0" applyFont="1" applyFill="1" applyBorder="1" applyAlignment="1">
      <alignment vertical="center"/>
    </xf>
    <xf numFmtId="0" fontId="55" fillId="0" borderId="0" xfId="0" applyFont="1" applyFill="1" applyBorder="1" applyAlignment="1">
      <alignment horizontal="center"/>
    </xf>
    <xf numFmtId="0" fontId="9" fillId="0" borderId="0" xfId="0" applyFont="1" applyAlignment="1" applyProtection="1">
      <alignment horizontal="right"/>
      <protection locked="0"/>
    </xf>
    <xf numFmtId="0" fontId="9" fillId="0" borderId="0" xfId="0" applyFont="1" applyAlignment="1" applyProtection="1">
      <alignment horizontal="left"/>
      <protection locked="0"/>
    </xf>
    <xf numFmtId="0" fontId="86" fillId="0" borderId="0" xfId="0" applyFont="1" applyAlignment="1">
      <alignment vertical="center"/>
    </xf>
    <xf numFmtId="0" fontId="86" fillId="0" borderId="10" xfId="0" applyFont="1" applyBorder="1" applyAlignment="1">
      <alignment vertical="center"/>
    </xf>
    <xf numFmtId="0" fontId="86" fillId="0" borderId="10" xfId="0" applyFont="1" applyBorder="1" applyAlignment="1">
      <alignment horizontal="right" vertical="center"/>
    </xf>
    <xf numFmtId="0" fontId="2" fillId="0" borderId="15" xfId="0" applyFont="1" applyBorder="1" applyAlignment="1">
      <alignment horizontal="center" vertical="center" wrapText="1"/>
    </xf>
    <xf numFmtId="0" fontId="55" fillId="0" borderId="0" xfId="0" applyFont="1" applyAlignment="1"/>
    <xf numFmtId="0" fontId="55" fillId="0" borderId="15" xfId="0" applyFont="1" applyBorder="1" applyAlignment="1" applyProtection="1">
      <alignment horizontal="center" vertical="center"/>
      <protection locked="0"/>
    </xf>
    <xf numFmtId="0" fontId="55" fillId="0" borderId="13" xfId="0" applyFont="1" applyBorder="1" applyAlignment="1" applyProtection="1">
      <alignment horizontal="center" vertical="center"/>
      <protection locked="0"/>
    </xf>
    <xf numFmtId="0" fontId="9" fillId="0" borderId="20" xfId="0" applyFont="1" applyBorder="1" applyAlignment="1" applyProtection="1">
      <alignment horizontal="right"/>
      <protection locked="0"/>
    </xf>
    <xf numFmtId="0" fontId="4" fillId="0" borderId="0" xfId="0" applyFont="1" applyProtection="1">
      <protection locked="0"/>
    </xf>
    <xf numFmtId="0" fontId="55" fillId="0" borderId="10" xfId="0" applyFont="1" applyBorder="1"/>
    <xf numFmtId="0" fontId="55" fillId="0" borderId="0" xfId="0" applyFont="1" applyBorder="1" applyProtection="1">
      <protection locked="0"/>
    </xf>
    <xf numFmtId="0" fontId="9" fillId="0" borderId="0" xfId="0" applyFont="1" applyBorder="1" applyAlignment="1" applyProtection="1">
      <alignment horizontal="right"/>
      <protection locked="0"/>
    </xf>
    <xf numFmtId="0" fontId="55" fillId="0" borderId="16" xfId="0" applyFont="1" applyFill="1" applyBorder="1" applyAlignment="1">
      <alignment horizontal="center" vertical="center"/>
    </xf>
    <xf numFmtId="0" fontId="4" fillId="0" borderId="0" xfId="0" applyFont="1" applyBorder="1" applyProtection="1">
      <protection locked="0"/>
    </xf>
    <xf numFmtId="0" fontId="86" fillId="0" borderId="0" xfId="0" applyFont="1" applyBorder="1" applyAlignment="1">
      <alignment horizontal="right"/>
    </xf>
    <xf numFmtId="0" fontId="4" fillId="0" borderId="11" xfId="0" applyFont="1" applyFill="1" applyBorder="1" applyAlignment="1">
      <alignment horizontal="center" vertical="center"/>
    </xf>
    <xf numFmtId="0" fontId="55" fillId="0" borderId="21" xfId="0" applyFont="1" applyBorder="1" applyAlignment="1">
      <alignment vertical="center"/>
    </xf>
    <xf numFmtId="0" fontId="4" fillId="0" borderId="14" xfId="0" applyFont="1" applyBorder="1" applyAlignment="1">
      <alignment vertical="center"/>
    </xf>
    <xf numFmtId="0" fontId="55" fillId="0" borderId="14" xfId="0" applyFont="1" applyBorder="1" applyAlignment="1" applyProtection="1">
      <alignment horizontal="center" vertical="center"/>
      <protection locked="0"/>
    </xf>
    <xf numFmtId="0" fontId="4" fillId="0" borderId="17" xfId="0" applyFont="1" applyBorder="1" applyAlignment="1">
      <alignment vertical="center"/>
    </xf>
    <xf numFmtId="164" fontId="3" fillId="0" borderId="0" xfId="0" applyNumberFormat="1" applyFont="1" applyBorder="1" applyAlignment="1">
      <alignment horizontal="center" vertical="center"/>
    </xf>
    <xf numFmtId="164" fontId="55" fillId="0" borderId="0" xfId="0" applyNumberFormat="1" applyFont="1" applyBorder="1" applyAlignment="1" applyProtection="1">
      <alignment horizontal="center" vertical="center"/>
      <protection locked="0"/>
    </xf>
    <xf numFmtId="164" fontId="55" fillId="0" borderId="12" xfId="0" applyNumberFormat="1" applyFont="1" applyBorder="1" applyAlignment="1" applyProtection="1">
      <alignment horizontal="center" vertical="center"/>
      <protection locked="0"/>
    </xf>
    <xf numFmtId="164" fontId="55" fillId="0" borderId="14" xfId="0" applyNumberFormat="1" applyFont="1" applyBorder="1" applyAlignment="1" applyProtection="1">
      <alignment horizontal="center" vertical="center"/>
      <protection locked="0"/>
    </xf>
    <xf numFmtId="166" fontId="3" fillId="0" borderId="12" xfId="0" applyNumberFormat="1" applyFont="1" applyBorder="1" applyAlignment="1">
      <alignment horizontal="center" vertical="center"/>
    </xf>
    <xf numFmtId="0" fontId="55" fillId="0" borderId="14" xfId="0" applyFont="1" applyBorder="1" applyAlignment="1">
      <alignment vertical="center"/>
    </xf>
    <xf numFmtId="0" fontId="4" fillId="0" borderId="17" xfId="0" quotePrefix="1" applyFont="1" applyBorder="1" applyAlignment="1">
      <alignment vertical="center"/>
    </xf>
    <xf numFmtId="0" fontId="4" fillId="0" borderId="22" xfId="0" applyFont="1" applyBorder="1" applyAlignment="1">
      <alignment vertical="center"/>
    </xf>
    <xf numFmtId="164" fontId="3" fillId="0" borderId="13" xfId="0" applyNumberFormat="1" applyFont="1" applyBorder="1" applyAlignment="1">
      <alignment horizontal="center" vertical="center"/>
    </xf>
    <xf numFmtId="164" fontId="3" fillId="0" borderId="16" xfId="0" applyNumberFormat="1" applyFont="1" applyBorder="1" applyAlignment="1">
      <alignment horizontal="center" vertical="center"/>
    </xf>
    <xf numFmtId="0" fontId="4" fillId="0" borderId="0" xfId="0" applyFont="1" applyFill="1" applyBorder="1" applyAlignment="1">
      <alignment vertical="center"/>
    </xf>
    <xf numFmtId="0" fontId="55" fillId="0" borderId="17" xfId="0" quotePrefix="1" applyFont="1" applyBorder="1" applyAlignment="1">
      <alignment horizontal="center" vertical="center"/>
    </xf>
    <xf numFmtId="164" fontId="55" fillId="0" borderId="14" xfId="0" applyNumberFormat="1" applyFont="1" applyBorder="1" applyAlignment="1">
      <alignment horizontal="center" vertical="center"/>
    </xf>
    <xf numFmtId="0" fontId="55" fillId="0" borderId="17" xfId="0" applyFont="1" applyBorder="1" applyAlignment="1">
      <alignment vertical="center"/>
    </xf>
    <xf numFmtId="164" fontId="55" fillId="0" borderId="0" xfId="0" applyNumberFormat="1" applyFont="1" applyBorder="1" applyAlignment="1">
      <alignment horizontal="center" vertical="center"/>
    </xf>
    <xf numFmtId="0" fontId="55" fillId="0" borderId="17" xfId="0" quotePrefix="1" applyFont="1" applyBorder="1" applyAlignment="1">
      <alignment vertical="center"/>
    </xf>
    <xf numFmtId="164" fontId="3" fillId="0" borderId="14" xfId="0" applyNumberFormat="1" applyFont="1" applyBorder="1" applyAlignment="1">
      <alignment horizontal="center" vertical="center"/>
    </xf>
    <xf numFmtId="164" fontId="55" fillId="0" borderId="12" xfId="0" applyNumberFormat="1" applyFont="1" applyBorder="1" applyAlignment="1">
      <alignment horizontal="center" vertical="center"/>
    </xf>
    <xf numFmtId="0" fontId="55" fillId="0" borderId="22" xfId="0" applyFont="1" applyBorder="1" applyAlignment="1">
      <alignment vertical="center"/>
    </xf>
    <xf numFmtId="164" fontId="9" fillId="0" borderId="0" xfId="0" applyNumberFormat="1" applyFont="1" applyAlignment="1" applyProtection="1">
      <alignment horizontal="center"/>
      <protection locked="0"/>
    </xf>
    <xf numFmtId="0" fontId="55" fillId="0" borderId="15" xfId="0" applyFont="1" applyBorder="1" applyAlignment="1">
      <alignment vertical="center"/>
    </xf>
    <xf numFmtId="0" fontId="55" fillId="0" borderId="0" xfId="0" applyFont="1" applyAlignment="1" applyProtection="1">
      <alignment horizontal="center"/>
      <protection locked="0"/>
    </xf>
    <xf numFmtId="0" fontId="55" fillId="0" borderId="0" xfId="0" applyFont="1" applyBorder="1" applyAlignment="1" applyProtection="1">
      <alignment horizontal="center"/>
      <protection locked="0"/>
    </xf>
    <xf numFmtId="0" fontId="55" fillId="0" borderId="17" xfId="0" applyFont="1" applyBorder="1" applyAlignment="1" applyProtection="1">
      <alignment horizontal="center" vertical="center"/>
      <protection locked="0"/>
    </xf>
    <xf numFmtId="0" fontId="4" fillId="0" borderId="22" xfId="0" quotePrefix="1" applyFont="1" applyBorder="1" applyAlignment="1">
      <alignment horizontal="center" vertical="center"/>
    </xf>
    <xf numFmtId="0" fontId="4" fillId="0" borderId="10" xfId="0" quotePrefix="1" applyFont="1" applyBorder="1" applyAlignment="1">
      <alignment horizontal="center" vertical="center"/>
    </xf>
    <xf numFmtId="0" fontId="55" fillId="0" borderId="17" xfId="0" applyFont="1" applyBorder="1" applyAlignment="1" applyProtection="1">
      <alignment vertical="center"/>
      <protection locked="0"/>
    </xf>
    <xf numFmtId="0" fontId="55" fillId="0" borderId="0" xfId="0" applyFont="1" applyBorder="1" applyAlignment="1" applyProtection="1">
      <alignment vertical="center"/>
      <protection locked="0"/>
    </xf>
    <xf numFmtId="0" fontId="55" fillId="0" borderId="21" xfId="0" applyFont="1" applyBorder="1" applyAlignment="1" applyProtection="1">
      <alignment vertical="center"/>
      <protection locked="0"/>
    </xf>
    <xf numFmtId="0" fontId="55" fillId="0" borderId="14" xfId="0" applyFont="1" applyBorder="1" applyAlignment="1" applyProtection="1">
      <alignment vertical="center"/>
      <protection locked="0"/>
    </xf>
    <xf numFmtId="2" fontId="55" fillId="0" borderId="22" xfId="0" applyNumberFormat="1" applyFont="1" applyBorder="1" applyAlignment="1" applyProtection="1">
      <alignment horizontal="center" vertical="center"/>
      <protection locked="0"/>
    </xf>
    <xf numFmtId="2" fontId="55" fillId="0" borderId="10" xfId="0" applyNumberFormat="1" applyFont="1" applyBorder="1" applyAlignment="1" applyProtection="1">
      <alignment horizontal="center" vertical="center"/>
      <protection locked="0"/>
    </xf>
    <xf numFmtId="0" fontId="3" fillId="0" borderId="18" xfId="0" applyFont="1" applyBorder="1" applyAlignment="1">
      <alignment vertical="center"/>
    </xf>
    <xf numFmtId="2" fontId="3" fillId="0" borderId="24" xfId="0" applyNumberFormat="1" applyFont="1" applyBorder="1" applyAlignment="1" applyProtection="1">
      <alignment horizontal="center" vertical="center"/>
    </xf>
    <xf numFmtId="0" fontId="4" fillId="0" borderId="16" xfId="0" applyFont="1" applyBorder="1" applyAlignment="1">
      <alignment vertical="center"/>
    </xf>
    <xf numFmtId="0" fontId="3" fillId="0" borderId="19" xfId="0" applyFont="1" applyBorder="1" applyAlignment="1">
      <alignment vertical="center"/>
    </xf>
    <xf numFmtId="2" fontId="3" fillId="0" borderId="24" xfId="0" applyNumberFormat="1" applyFont="1" applyBorder="1" applyAlignment="1">
      <alignment horizontal="center" vertical="center"/>
    </xf>
    <xf numFmtId="0" fontId="9" fillId="0" borderId="20" xfId="0" applyFont="1" applyBorder="1" applyAlignment="1"/>
    <xf numFmtId="0" fontId="9" fillId="0" borderId="20" xfId="0" applyFont="1" applyBorder="1" applyAlignment="1">
      <alignment horizontal="right"/>
    </xf>
    <xf numFmtId="0" fontId="4" fillId="0" borderId="24" xfId="0" applyFont="1" applyFill="1" applyBorder="1" applyAlignment="1">
      <alignment horizontal="center" vertical="center"/>
    </xf>
    <xf numFmtId="0" fontId="55" fillId="0" borderId="17" xfId="0" applyFont="1" applyBorder="1"/>
    <xf numFmtId="165" fontId="4" fillId="0" borderId="11" xfId="0" quotePrefix="1" applyNumberFormat="1" applyFont="1" applyBorder="1" applyAlignment="1">
      <alignment horizontal="center" vertical="center"/>
    </xf>
    <xf numFmtId="165" fontId="55" fillId="0" borderId="0" xfId="0" applyNumberFormat="1" applyFont="1" applyBorder="1" applyAlignment="1">
      <alignment horizontal="center" vertical="center"/>
    </xf>
    <xf numFmtId="165" fontId="55" fillId="0" borderId="14" xfId="0" applyNumberFormat="1" applyFont="1" applyBorder="1" applyAlignment="1">
      <alignment horizontal="center" vertical="center"/>
    </xf>
    <xf numFmtId="0" fontId="4" fillId="0" borderId="0" xfId="0" applyFont="1" applyFill="1" applyBorder="1" applyAlignment="1">
      <alignment horizontal="center" vertical="center" wrapText="1"/>
    </xf>
    <xf numFmtId="165" fontId="55" fillId="0" borderId="23" xfId="0" applyNumberFormat="1" applyFont="1" applyBorder="1" applyAlignment="1">
      <alignment horizontal="center" vertical="center" wrapText="1"/>
    </xf>
    <xf numFmtId="165" fontId="55" fillId="0" borderId="0" xfId="0" applyNumberFormat="1" applyFont="1" applyBorder="1" applyAlignment="1">
      <alignment horizontal="center" vertical="center" wrapText="1"/>
    </xf>
    <xf numFmtId="165" fontId="55" fillId="0" borderId="14" xfId="0" applyNumberFormat="1" applyFont="1" applyBorder="1" applyAlignment="1">
      <alignment horizontal="center" vertical="center" wrapText="1"/>
    </xf>
    <xf numFmtId="165" fontId="4" fillId="0" borderId="12" xfId="0" applyNumberFormat="1" applyFont="1" applyBorder="1" applyAlignment="1">
      <alignment horizontal="center" vertical="center" wrapText="1"/>
    </xf>
    <xf numFmtId="165" fontId="4" fillId="0" borderId="12" xfId="0" applyNumberFormat="1" applyFont="1" applyBorder="1" applyAlignment="1">
      <alignment horizontal="center" vertical="center"/>
    </xf>
    <xf numFmtId="165" fontId="55" fillId="0" borderId="10" xfId="0" applyNumberFormat="1" applyFont="1" applyBorder="1" applyAlignment="1">
      <alignment horizontal="center" vertical="center"/>
    </xf>
    <xf numFmtId="165" fontId="55" fillId="0" borderId="16" xfId="0" applyNumberFormat="1" applyFont="1" applyBorder="1" applyAlignment="1">
      <alignment horizontal="center" vertical="center"/>
    </xf>
    <xf numFmtId="165" fontId="4" fillId="0" borderId="13" xfId="0" applyNumberFormat="1" applyFont="1" applyBorder="1" applyAlignment="1">
      <alignment horizontal="center" vertical="center"/>
    </xf>
    <xf numFmtId="0" fontId="2" fillId="0" borderId="11" xfId="0" applyFont="1" applyBorder="1" applyAlignment="1">
      <alignment horizontal="center" vertical="center"/>
    </xf>
    <xf numFmtId="0" fontId="3" fillId="0" borderId="15" xfId="0" applyFont="1" applyBorder="1" applyAlignment="1">
      <alignment horizontal="left" vertical="center"/>
    </xf>
    <xf numFmtId="0" fontId="9" fillId="0" borderId="12" xfId="0" applyFont="1" applyBorder="1" applyAlignment="1">
      <alignment vertical="center"/>
    </xf>
    <xf numFmtId="0" fontId="3" fillId="0" borderId="11" xfId="0" applyFont="1" applyBorder="1" applyAlignment="1">
      <alignment vertical="center"/>
    </xf>
    <xf numFmtId="2" fontId="3" fillId="0" borderId="18" xfId="0" applyNumberFormat="1" applyFont="1" applyBorder="1" applyAlignment="1">
      <alignment horizontal="center" vertical="center"/>
    </xf>
    <xf numFmtId="2" fontId="4" fillId="0" borderId="12" xfId="0" applyNumberFormat="1" applyFont="1" applyBorder="1" applyAlignment="1">
      <alignment vertical="center"/>
    </xf>
    <xf numFmtId="2" fontId="55" fillId="0" borderId="0" xfId="0" quotePrefix="1" applyNumberFormat="1" applyFont="1" applyBorder="1" applyAlignment="1" applyProtection="1">
      <alignment horizontal="center" vertical="center"/>
      <protection locked="0"/>
    </xf>
    <xf numFmtId="2" fontId="55" fillId="0" borderId="14" xfId="0" applyNumberFormat="1" applyFont="1" applyBorder="1" applyAlignment="1" applyProtection="1">
      <alignment horizontal="center" vertical="center" wrapText="1"/>
      <protection locked="0"/>
    </xf>
    <xf numFmtId="1" fontId="55" fillId="0" borderId="0" xfId="0" applyNumberFormat="1" applyFont="1" applyBorder="1" applyAlignment="1" applyProtection="1">
      <alignment horizontal="center" vertical="center"/>
      <protection locked="0"/>
    </xf>
    <xf numFmtId="1" fontId="55" fillId="0" borderId="0" xfId="0" quotePrefix="1" applyNumberFormat="1" applyFont="1" applyBorder="1" applyAlignment="1" applyProtection="1">
      <alignment horizontal="center" vertical="center"/>
      <protection locked="0"/>
    </xf>
    <xf numFmtId="2" fontId="3" fillId="0" borderId="12" xfId="0" applyNumberFormat="1" applyFont="1" applyBorder="1" applyAlignment="1">
      <alignment horizontal="left" vertical="center"/>
    </xf>
    <xf numFmtId="2" fontId="4" fillId="0" borderId="13" xfId="0" applyNumberFormat="1" applyFont="1" applyBorder="1" applyAlignment="1">
      <alignment vertical="center"/>
    </xf>
    <xf numFmtId="2" fontId="9" fillId="0" borderId="0" xfId="0" applyNumberFormat="1" applyFont="1" applyFill="1" applyBorder="1" applyAlignment="1">
      <alignment vertical="center"/>
    </xf>
    <xf numFmtId="2" fontId="4" fillId="0" borderId="0" xfId="0" applyNumberFormat="1" applyFont="1" applyFill="1" applyBorder="1" applyAlignment="1">
      <alignment vertical="center"/>
    </xf>
    <xf numFmtId="0" fontId="86" fillId="0" borderId="10" xfId="0" applyFont="1" applyBorder="1" applyAlignment="1">
      <alignment horizontal="right"/>
    </xf>
    <xf numFmtId="0" fontId="4" fillId="0" borderId="15" xfId="0" applyFont="1" applyFill="1" applyBorder="1" applyAlignment="1">
      <alignment horizontal="center" vertical="center"/>
    </xf>
    <xf numFmtId="0" fontId="55" fillId="0" borderId="0" xfId="0" quotePrefix="1" applyFont="1" applyBorder="1"/>
    <xf numFmtId="0" fontId="4" fillId="0" borderId="0" xfId="0" applyFont="1" applyBorder="1" applyAlignment="1">
      <alignment horizontal="left" vertical="top"/>
    </xf>
    <xf numFmtId="0" fontId="4" fillId="0" borderId="0" xfId="0" applyFont="1" applyAlignment="1">
      <alignment horizontal="left" vertical="top"/>
    </xf>
    <xf numFmtId="0" fontId="55" fillId="0" borderId="15" xfId="0" applyFont="1" applyFill="1" applyBorder="1" applyAlignment="1">
      <alignment horizontal="center" vertical="center"/>
    </xf>
    <xf numFmtId="0" fontId="55" fillId="0" borderId="12" xfId="0" applyFont="1" applyFill="1" applyBorder="1" applyAlignment="1">
      <alignment horizontal="center" vertical="center"/>
    </xf>
    <xf numFmtId="0" fontId="55" fillId="0" borderId="13" xfId="0" applyFont="1" applyFill="1" applyBorder="1" applyAlignment="1">
      <alignment horizontal="center" vertical="center"/>
    </xf>
    <xf numFmtId="0" fontId="55" fillId="0" borderId="0" xfId="0" applyFont="1" applyFill="1" applyBorder="1" applyAlignment="1">
      <alignment horizontal="right"/>
    </xf>
    <xf numFmtId="0" fontId="3" fillId="0" borderId="21" xfId="0" applyFont="1" applyBorder="1" applyAlignment="1">
      <alignment vertical="center"/>
    </xf>
    <xf numFmtId="0" fontId="3" fillId="0" borderId="13" xfId="0" applyFont="1" applyBorder="1" applyAlignment="1">
      <alignment vertical="center"/>
    </xf>
    <xf numFmtId="0" fontId="55" fillId="0" borderId="0" xfId="0" applyFont="1" applyBorder="1" applyAlignment="1">
      <alignment horizontal="right"/>
    </xf>
    <xf numFmtId="0" fontId="3" fillId="0" borderId="12" xfId="0" applyFont="1" applyBorder="1" applyAlignment="1">
      <alignment vertical="center" shrinkToFit="1"/>
    </xf>
    <xf numFmtId="0" fontId="4" fillId="0" borderId="12" xfId="0" applyFont="1" applyBorder="1" applyAlignment="1">
      <alignment vertical="center" shrinkToFit="1"/>
    </xf>
    <xf numFmtId="0" fontId="4" fillId="0" borderId="12" xfId="0" applyFont="1" applyBorder="1" applyAlignment="1">
      <alignment horizontal="left" vertical="center" shrinkToFit="1"/>
    </xf>
    <xf numFmtId="0" fontId="3"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0" xfId="0" applyFont="1" applyFill="1" applyBorder="1" applyAlignment="1">
      <alignment horizontal="left"/>
    </xf>
    <xf numFmtId="0" fontId="3" fillId="0" borderId="15" xfId="0" applyFont="1" applyBorder="1" applyAlignment="1">
      <alignment vertical="center"/>
    </xf>
    <xf numFmtId="0" fontId="3" fillId="0" borderId="20" xfId="0" applyFont="1" applyBorder="1" applyAlignment="1">
      <alignment vertical="center"/>
    </xf>
    <xf numFmtId="0" fontId="55" fillId="0" borderId="23" xfId="0" applyFont="1" applyBorder="1" applyAlignment="1">
      <alignment vertical="center"/>
    </xf>
    <xf numFmtId="0" fontId="55" fillId="0" borderId="20" xfId="0" applyFont="1" applyBorder="1" applyAlignment="1">
      <alignment vertical="center"/>
    </xf>
    <xf numFmtId="0" fontId="3" fillId="0" borderId="0" xfId="0" applyFont="1" applyBorder="1" applyAlignment="1">
      <alignment horizontal="left" vertical="center"/>
    </xf>
    <xf numFmtId="0" fontId="3" fillId="0" borderId="17" xfId="0" applyFont="1" applyBorder="1" applyAlignment="1">
      <alignment horizontal="left" vertical="center"/>
    </xf>
    <xf numFmtId="0" fontId="3" fillId="0" borderId="14" xfId="0" applyFont="1" applyBorder="1" applyAlignment="1">
      <alignment horizontal="left" vertical="center"/>
    </xf>
    <xf numFmtId="0" fontId="55" fillId="0" borderId="0" xfId="0" applyFont="1" applyBorder="1" applyAlignment="1">
      <alignment horizontal="right" vertical="center"/>
    </xf>
    <xf numFmtId="0" fontId="55" fillId="0" borderId="12" xfId="0" applyFont="1" applyBorder="1" applyAlignment="1">
      <alignment horizontal="right" vertical="center"/>
    </xf>
    <xf numFmtId="0" fontId="55" fillId="0" borderId="14" xfId="0" applyFont="1" applyBorder="1" applyAlignment="1">
      <alignment horizontal="right" vertical="center"/>
    </xf>
    <xf numFmtId="0" fontId="9" fillId="0" borderId="20" xfId="0" applyFont="1" applyBorder="1" applyAlignment="1" applyProtection="1">
      <protection locked="0"/>
    </xf>
    <xf numFmtId="0" fontId="4" fillId="0" borderId="0" xfId="0" applyFont="1" applyBorder="1" applyAlignment="1">
      <alignment horizontal="right" vertical="center"/>
    </xf>
    <xf numFmtId="0" fontId="7" fillId="0" borderId="15" xfId="0" applyFont="1" applyFill="1" applyBorder="1" applyAlignment="1">
      <alignment horizontal="center" vertical="center" wrapText="1"/>
    </xf>
    <xf numFmtId="0" fontId="55" fillId="0" borderId="14" xfId="0" applyFont="1" applyBorder="1" applyAlignment="1">
      <alignment horizontal="center" vertical="center" textRotation="180"/>
    </xf>
    <xf numFmtId="0" fontId="9" fillId="0" borderId="0" xfId="0" applyFont="1" applyAlignment="1">
      <alignment horizontal="right" vertical="top"/>
    </xf>
    <xf numFmtId="0" fontId="9" fillId="0" borderId="12" xfId="0" applyFont="1" applyBorder="1" applyAlignment="1">
      <alignment horizontal="center"/>
    </xf>
    <xf numFmtId="0" fontId="9" fillId="0" borderId="14" xfId="0" applyFont="1" applyBorder="1" applyAlignment="1">
      <alignment horizontal="center"/>
    </xf>
    <xf numFmtId="2" fontId="9" fillId="0" borderId="0" xfId="0" applyNumberFormat="1" applyFont="1" applyBorder="1" applyAlignment="1">
      <alignment horizontal="center"/>
    </xf>
    <xf numFmtId="0" fontId="61" fillId="0" borderId="0" xfId="0" applyFont="1" applyAlignment="1">
      <alignment horizontal="left" vertical="top"/>
    </xf>
    <xf numFmtId="0" fontId="3" fillId="0" borderId="0" xfId="0" applyFont="1" applyBorder="1" applyAlignment="1">
      <alignment horizontal="left"/>
    </xf>
    <xf numFmtId="1" fontId="55" fillId="0" borderId="22" xfId="0" applyNumberFormat="1" applyFont="1" applyBorder="1" applyAlignment="1">
      <alignment horizontal="center" vertical="center"/>
    </xf>
    <xf numFmtId="0" fontId="9" fillId="0" borderId="0" xfId="0" applyFont="1" applyBorder="1" applyAlignment="1">
      <alignment vertical="center" wrapText="1"/>
    </xf>
    <xf numFmtId="0" fontId="4" fillId="0" borderId="0" xfId="0" applyFont="1" applyAlignment="1">
      <alignment horizontal="left" vertical="top" wrapText="1"/>
    </xf>
    <xf numFmtId="165" fontId="55" fillId="0" borderId="0" xfId="0" applyNumberFormat="1" applyFont="1"/>
    <xf numFmtId="0" fontId="4" fillId="0" borderId="19" xfId="0" quotePrefix="1" applyFont="1" applyBorder="1" applyAlignment="1">
      <alignment horizontal="center"/>
    </xf>
    <xf numFmtId="0" fontId="55" fillId="0" borderId="0" xfId="0" applyFont="1" applyBorder="1" applyAlignment="1">
      <alignment horizontal="center" vertical="top"/>
    </xf>
    <xf numFmtId="0" fontId="55" fillId="0" borderId="0" xfId="0" applyFont="1" applyFill="1" applyBorder="1" applyAlignment="1">
      <alignment horizontal="center" vertical="top"/>
    </xf>
    <xf numFmtId="0" fontId="9" fillId="0" borderId="0" xfId="0" applyFont="1" applyAlignment="1">
      <alignment vertical="top"/>
    </xf>
    <xf numFmtId="0" fontId="4" fillId="0" borderId="17" xfId="0" applyFont="1" applyBorder="1" applyAlignment="1">
      <alignment horizontal="left" vertical="center"/>
    </xf>
    <xf numFmtId="0" fontId="4" fillId="0" borderId="20" xfId="0" applyFont="1" applyBorder="1" applyAlignment="1">
      <alignment horizontal="left" vertical="top"/>
    </xf>
    <xf numFmtId="0" fontId="9" fillId="0" borderId="20" xfId="0" applyFont="1" applyBorder="1" applyAlignment="1">
      <alignment horizontal="right" vertical="top"/>
    </xf>
    <xf numFmtId="0" fontId="57" fillId="0" borderId="11" xfId="0" applyFont="1" applyBorder="1" applyAlignment="1">
      <alignment horizontal="center" vertical="center"/>
    </xf>
    <xf numFmtId="0" fontId="4" fillId="0" borderId="0" xfId="0" applyFont="1" applyBorder="1" applyAlignment="1">
      <alignment horizontal="center" vertical="center" wrapText="1"/>
    </xf>
    <xf numFmtId="0" fontId="55" fillId="0" borderId="24" xfId="0" quotePrefix="1" applyFont="1" applyFill="1" applyBorder="1" applyAlignment="1">
      <alignment horizontal="center" vertical="center"/>
    </xf>
    <xf numFmtId="0" fontId="4" fillId="0" borderId="0" xfId="0" applyFont="1" applyBorder="1" applyAlignment="1">
      <alignment horizontal="left"/>
    </xf>
    <xf numFmtId="0" fontId="55" fillId="0" borderId="0" xfId="0" applyFont="1" applyAlignment="1">
      <alignment vertical="top" wrapText="1"/>
    </xf>
    <xf numFmtId="0" fontId="95" fillId="0" borderId="0" xfId="0" applyFont="1" applyBorder="1" applyAlignment="1">
      <alignment horizontal="left"/>
    </xf>
    <xf numFmtId="0" fontId="4" fillId="0" borderId="14" xfId="0" applyFont="1" applyBorder="1" applyAlignment="1">
      <alignment horizontal="left" vertical="center" wrapText="1"/>
    </xf>
    <xf numFmtId="0" fontId="4" fillId="0" borderId="21" xfId="0" applyFont="1" applyFill="1" applyBorder="1" applyAlignment="1">
      <alignment horizontal="center" vertical="center" wrapText="1"/>
    </xf>
    <xf numFmtId="0" fontId="4" fillId="0" borderId="0" xfId="0" applyFont="1" applyFill="1" applyBorder="1" applyAlignment="1">
      <alignment horizontal="right"/>
    </xf>
    <xf numFmtId="0" fontId="4" fillId="0" borderId="0" xfId="0" applyFont="1" applyBorder="1" applyAlignment="1">
      <alignment horizontal="center" vertical="top" wrapText="1"/>
    </xf>
    <xf numFmtId="0" fontId="55" fillId="0" borderId="14" xfId="0" applyFont="1" applyFill="1" applyBorder="1" applyAlignment="1">
      <alignment horizontal="center" vertical="center"/>
    </xf>
    <xf numFmtId="0" fontId="4" fillId="0" borderId="0" xfId="0" applyFont="1" applyBorder="1" applyAlignment="1">
      <alignment horizontal="right" vertical="top"/>
    </xf>
    <xf numFmtId="0" fontId="4" fillId="0" borderId="12" xfId="0" applyFont="1" applyFill="1" applyBorder="1" applyAlignment="1">
      <alignment horizontal="center" vertical="center" wrapText="1"/>
    </xf>
    <xf numFmtId="0" fontId="55" fillId="0" borderId="0" xfId="0" quotePrefix="1" applyFont="1"/>
    <xf numFmtId="0" fontId="86" fillId="0" borderId="15" xfId="0" applyFont="1" applyBorder="1" applyAlignment="1">
      <alignment horizontal="center" vertical="center" wrapText="1"/>
    </xf>
    <xf numFmtId="1" fontId="3" fillId="0" borderId="23" xfId="0" applyNumberFormat="1" applyFont="1" applyBorder="1" applyAlignment="1">
      <alignment horizontal="center" vertical="center"/>
    </xf>
    <xf numFmtId="1" fontId="3" fillId="0" borderId="21" xfId="0" applyNumberFormat="1" applyFont="1" applyBorder="1" applyAlignment="1">
      <alignment horizontal="center" vertical="center"/>
    </xf>
    <xf numFmtId="44" fontId="9" fillId="0" borderId="0" xfId="28" applyFont="1" applyAlignment="1">
      <alignment horizontal="left" vertical="top"/>
    </xf>
    <xf numFmtId="44" fontId="9" fillId="0" borderId="0" xfId="28" applyFont="1"/>
    <xf numFmtId="0" fontId="1" fillId="0" borderId="0" xfId="0" applyFont="1"/>
    <xf numFmtId="0" fontId="4" fillId="0" borderId="0" xfId="0" applyFont="1" applyAlignment="1">
      <alignment horizontal="right" vertical="center"/>
    </xf>
    <xf numFmtId="0" fontId="55" fillId="0" borderId="20" xfId="0" applyFont="1" applyBorder="1" applyAlignment="1">
      <alignment horizontal="right" vertical="center"/>
    </xf>
    <xf numFmtId="0" fontId="9" fillId="0" borderId="20" xfId="0" applyFont="1" applyBorder="1" applyAlignment="1">
      <alignment horizontal="right" vertical="center"/>
    </xf>
    <xf numFmtId="0" fontId="55" fillId="0" borderId="0" xfId="0" applyFont="1" applyBorder="1" applyAlignment="1"/>
    <xf numFmtId="0" fontId="86" fillId="0" borderId="24" xfId="0" applyFont="1" applyBorder="1" applyAlignment="1">
      <alignment horizontal="center" vertical="center"/>
    </xf>
    <xf numFmtId="0" fontId="86" fillId="0" borderId="11" xfId="0" applyFont="1" applyBorder="1" applyAlignment="1">
      <alignment horizontal="center" vertical="center"/>
    </xf>
    <xf numFmtId="0" fontId="86" fillId="0" borderId="19" xfId="0" applyFont="1" applyBorder="1" applyAlignment="1">
      <alignment horizontal="center" vertical="center"/>
    </xf>
    <xf numFmtId="0" fontId="86" fillId="0" borderId="0" xfId="0" applyFont="1" applyAlignment="1">
      <alignment horizontal="center"/>
    </xf>
    <xf numFmtId="0" fontId="3" fillId="0" borderId="10" xfId="0" applyFont="1" applyBorder="1" applyAlignment="1">
      <alignment horizontal="left"/>
    </xf>
    <xf numFmtId="0" fontId="55" fillId="0" borderId="10" xfId="0" quotePrefix="1" applyFont="1" applyBorder="1" applyAlignment="1">
      <alignment horizontal="center" vertical="center"/>
    </xf>
    <xf numFmtId="0" fontId="55" fillId="0" borderId="16" xfId="0" quotePrefix="1" applyFont="1" applyBorder="1" applyAlignment="1">
      <alignment horizontal="center" vertical="center"/>
    </xf>
    <xf numFmtId="0" fontId="55" fillId="0" borderId="22" xfId="0" quotePrefix="1" applyFont="1" applyBorder="1" applyAlignment="1">
      <alignment horizontal="center" vertical="center"/>
    </xf>
    <xf numFmtId="0" fontId="55" fillId="0" borderId="20" xfId="0" applyFont="1" applyBorder="1" applyAlignment="1">
      <alignment vertical="top"/>
    </xf>
    <xf numFmtId="0" fontId="4" fillId="0" borderId="20" xfId="0" applyFont="1" applyBorder="1" applyAlignment="1">
      <alignment vertical="top"/>
    </xf>
    <xf numFmtId="0" fontId="4" fillId="0" borderId="10" xfId="0" quotePrefix="1" applyFont="1" applyBorder="1" applyAlignment="1">
      <alignment horizontal="right"/>
    </xf>
    <xf numFmtId="0" fontId="4" fillId="0" borderId="0" xfId="0" quotePrefix="1" applyFont="1" applyAlignment="1">
      <alignment horizontal="center" vertical="center"/>
    </xf>
    <xf numFmtId="0" fontId="6" fillId="0" borderId="12" xfId="0" applyFont="1" applyBorder="1" applyAlignment="1">
      <alignment horizontal="center" vertical="center"/>
    </xf>
    <xf numFmtId="0" fontId="3" fillId="0" borderId="21" xfId="0" quotePrefix="1" applyFont="1" applyBorder="1" applyAlignment="1">
      <alignment horizontal="center" vertical="center"/>
    </xf>
    <xf numFmtId="0" fontId="4" fillId="0" borderId="12" xfId="0" applyFont="1" applyBorder="1" applyAlignment="1">
      <alignment wrapText="1"/>
    </xf>
    <xf numFmtId="0" fontId="4" fillId="0" borderId="12" xfId="0" applyFont="1" applyBorder="1" applyAlignment="1">
      <alignment vertical="center" wrapText="1"/>
    </xf>
    <xf numFmtId="0" fontId="3" fillId="0" borderId="14" xfId="0" quotePrefix="1" applyFont="1" applyBorder="1" applyAlignment="1">
      <alignment horizontal="center" vertical="center"/>
    </xf>
    <xf numFmtId="0" fontId="9" fillId="0" borderId="14" xfId="0" applyFont="1" applyBorder="1" applyAlignment="1">
      <alignment vertical="center"/>
    </xf>
    <xf numFmtId="0" fontId="3" fillId="0" borderId="18" xfId="0" quotePrefix="1" applyFont="1" applyBorder="1" applyAlignment="1">
      <alignment horizontal="center" vertical="center"/>
    </xf>
    <xf numFmtId="0" fontId="1" fillId="0" borderId="0" xfId="0" applyFont="1" applyAlignment="1">
      <alignment horizontal="justify" vertical="center" textRotation="90"/>
    </xf>
    <xf numFmtId="0" fontId="55" fillId="0" borderId="0" xfId="0" applyFont="1" applyAlignment="1">
      <alignment horizontal="justify" vertical="center" textRotation="90"/>
    </xf>
    <xf numFmtId="0" fontId="86" fillId="0" borderId="0" xfId="0" applyFont="1" applyAlignment="1">
      <alignment horizontal="justify" vertical="center" textRotation="90"/>
    </xf>
    <xf numFmtId="0" fontId="4" fillId="0" borderId="10" xfId="0" applyFont="1" applyBorder="1" applyAlignment="1">
      <alignment horizontal="right" vertical="top"/>
    </xf>
    <xf numFmtId="0" fontId="57" fillId="0" borderId="11" xfId="0" applyFont="1" applyBorder="1" applyAlignment="1">
      <alignment horizontal="center" vertical="center" wrapText="1"/>
    </xf>
    <xf numFmtId="0" fontId="1" fillId="0" borderId="0" xfId="0" applyFont="1" applyAlignment="1" applyProtection="1">
      <alignment horizontal="center" vertical="center" textRotation="180"/>
      <protection hidden="1"/>
    </xf>
    <xf numFmtId="0" fontId="55" fillId="0" borderId="0" xfId="0" applyFont="1" applyAlignment="1" applyProtection="1">
      <alignment vertical="center"/>
      <protection hidden="1"/>
    </xf>
    <xf numFmtId="0" fontId="55" fillId="0" borderId="0" xfId="0" applyFont="1" applyAlignment="1" applyProtection="1">
      <alignment horizontal="center" vertical="center" textRotation="180"/>
      <protection hidden="1"/>
    </xf>
    <xf numFmtId="0" fontId="86" fillId="0" borderId="0" xfId="0" applyFont="1" applyAlignment="1" applyProtection="1">
      <alignment vertical="center"/>
      <protection hidden="1"/>
    </xf>
    <xf numFmtId="0" fontId="86" fillId="0" borderId="0" xfId="0" applyFont="1" applyAlignment="1" applyProtection="1">
      <alignment horizontal="center" vertical="center" textRotation="180"/>
      <protection hidden="1"/>
    </xf>
    <xf numFmtId="0" fontId="4" fillId="0" borderId="11"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2" fontId="4" fillId="0" borderId="11" xfId="0" applyNumberFormat="1" applyFont="1" applyBorder="1" applyAlignment="1" applyProtection="1">
      <alignment horizontal="center" vertical="center" wrapText="1"/>
      <protection hidden="1"/>
    </xf>
    <xf numFmtId="0" fontId="3" fillId="0" borderId="12" xfId="0" applyFont="1" applyBorder="1" applyAlignment="1" applyProtection="1">
      <alignment vertical="center"/>
      <protection hidden="1"/>
    </xf>
    <xf numFmtId="2" fontId="3" fillId="0" borderId="12" xfId="0" applyNumberFormat="1" applyFont="1" applyBorder="1" applyAlignment="1" applyProtection="1">
      <alignment horizontal="center" vertical="center"/>
      <protection hidden="1"/>
    </xf>
    <xf numFmtId="1" fontId="3" fillId="0" borderId="17" xfId="0" applyNumberFormat="1" applyFont="1" applyBorder="1" applyAlignment="1" applyProtection="1">
      <alignment horizontal="center" vertical="center"/>
      <protection hidden="1"/>
    </xf>
    <xf numFmtId="0" fontId="3" fillId="0" borderId="12" xfId="0" applyFont="1" applyBorder="1" applyAlignment="1" applyProtection="1">
      <alignment horizontal="center" vertical="center"/>
      <protection hidden="1"/>
    </xf>
    <xf numFmtId="0" fontId="4" fillId="0" borderId="12" xfId="0" applyFont="1" applyBorder="1" applyAlignment="1" applyProtection="1">
      <alignment vertical="center"/>
      <protection hidden="1"/>
    </xf>
    <xf numFmtId="0" fontId="4" fillId="0" borderId="0" xfId="0" applyFont="1" applyAlignment="1" applyProtection="1">
      <alignment horizontal="center" vertical="center" textRotation="180"/>
      <protection hidden="1"/>
    </xf>
    <xf numFmtId="0" fontId="3" fillId="0" borderId="11" xfId="0" applyFont="1" applyBorder="1" applyAlignment="1" applyProtection="1">
      <alignment vertical="center"/>
      <protection hidden="1"/>
    </xf>
    <xf numFmtId="2" fontId="3" fillId="0" borderId="11" xfId="0" applyNumberFormat="1" applyFont="1" applyBorder="1" applyAlignment="1" applyProtection="1">
      <alignment horizontal="center" vertical="center"/>
      <protection hidden="1"/>
    </xf>
    <xf numFmtId="1" fontId="3" fillId="0" borderId="11" xfId="0" applyNumberFormat="1"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4" fillId="0" borderId="0" xfId="0" applyFont="1" applyAlignment="1" applyProtection="1">
      <alignment vertical="center"/>
      <protection hidden="1"/>
    </xf>
    <xf numFmtId="0" fontId="4" fillId="0" borderId="20" xfId="0" applyFont="1" applyBorder="1" applyAlignment="1" applyProtection="1">
      <alignment horizontal="left" vertical="center"/>
      <protection hidden="1"/>
    </xf>
    <xf numFmtId="0" fontId="9" fillId="0" borderId="0" xfId="0" applyFont="1" applyAlignment="1" applyProtection="1">
      <alignment horizontal="right" vertical="center"/>
      <protection hidden="1"/>
    </xf>
    <xf numFmtId="0" fontId="4" fillId="0" borderId="0" xfId="0" applyFont="1" applyAlignment="1" applyProtection="1">
      <alignment horizontal="right" vertical="center"/>
      <protection hidden="1"/>
    </xf>
    <xf numFmtId="2" fontId="55" fillId="0" borderId="0" xfId="0" applyNumberFormat="1" applyFont="1" applyAlignment="1" applyProtection="1">
      <alignment vertical="center"/>
      <protection hidden="1"/>
    </xf>
    <xf numFmtId="0" fontId="55" fillId="0" borderId="0" xfId="0" applyFont="1" applyAlignment="1" applyProtection="1">
      <alignment horizontal="center" vertical="center"/>
      <protection hidden="1"/>
    </xf>
    <xf numFmtId="0" fontId="1" fillId="0" borderId="0" xfId="0" applyFont="1" applyAlignment="1">
      <alignment horizontal="justify" vertical="center" textRotation="180"/>
    </xf>
    <xf numFmtId="0" fontId="55" fillId="0" borderId="0" xfId="0" applyFont="1" applyAlignment="1">
      <alignment horizontal="justify" vertical="center" textRotation="180"/>
    </xf>
    <xf numFmtId="0" fontId="86" fillId="0" borderId="0" xfId="0" applyFont="1" applyAlignment="1">
      <alignment horizontal="justify" vertical="center" textRotation="180"/>
    </xf>
    <xf numFmtId="0" fontId="55" fillId="0" borderId="0" xfId="0" applyFont="1" applyAlignment="1" applyProtection="1">
      <alignment horizontal="center" vertical="center"/>
      <protection locked="0"/>
    </xf>
    <xf numFmtId="0" fontId="3" fillId="0" borderId="15" xfId="0" applyFont="1" applyBorder="1" applyAlignment="1" applyProtection="1">
      <alignment vertical="center"/>
      <protection locked="0"/>
    </xf>
    <xf numFmtId="0" fontId="3" fillId="0" borderId="21"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4" fillId="0" borderId="14" xfId="0" applyFont="1" applyBorder="1" applyAlignment="1">
      <alignment horizontal="center"/>
    </xf>
    <xf numFmtId="0" fontId="4" fillId="0" borderId="17" xfId="0" applyFont="1" applyBorder="1" applyAlignment="1">
      <alignment horizontal="center"/>
    </xf>
    <xf numFmtId="0" fontId="4" fillId="0" borderId="11" xfId="0" quotePrefix="1" applyFont="1" applyBorder="1" applyAlignment="1">
      <alignment horizontal="center" vertical="top" wrapText="1"/>
    </xf>
    <xf numFmtId="0" fontId="4" fillId="0" borderId="24" xfId="0" quotePrefix="1" applyFont="1" applyBorder="1" applyAlignment="1">
      <alignment horizontal="center"/>
    </xf>
    <xf numFmtId="0" fontId="4" fillId="0" borderId="18" xfId="0" quotePrefix="1" applyFont="1" applyBorder="1" applyAlignment="1">
      <alignment horizontal="center"/>
    </xf>
    <xf numFmtId="0" fontId="4" fillId="0" borderId="18" xfId="0" quotePrefix="1" applyFont="1" applyFill="1" applyBorder="1" applyAlignment="1">
      <alignment horizontal="center"/>
    </xf>
    <xf numFmtId="0" fontId="4" fillId="0" borderId="19" xfId="0" quotePrefix="1" applyFont="1" applyFill="1" applyBorder="1" applyAlignment="1">
      <alignment horizontal="center"/>
    </xf>
    <xf numFmtId="0" fontId="4" fillId="0" borderId="12" xfId="0" quotePrefix="1" applyFont="1" applyBorder="1" applyAlignment="1">
      <alignment horizontal="center" vertical="center" wrapText="1"/>
    </xf>
    <xf numFmtId="164" fontId="55" fillId="0" borderId="0" xfId="0" quotePrefix="1" applyNumberFormat="1" applyFont="1" applyBorder="1" applyAlignment="1" applyProtection="1">
      <alignment horizontal="center" vertical="center"/>
      <protection locked="0"/>
    </xf>
    <xf numFmtId="164" fontId="55" fillId="0" borderId="17" xfId="0" quotePrefix="1" applyNumberFormat="1" applyFont="1" applyBorder="1" applyAlignment="1" applyProtection="1">
      <alignment horizontal="center" vertical="center"/>
      <protection locked="0"/>
    </xf>
    <xf numFmtId="0" fontId="55" fillId="0" borderId="0" xfId="0" quotePrefix="1" applyFont="1" applyBorder="1" applyAlignment="1">
      <alignment horizontal="center" vertical="center"/>
    </xf>
    <xf numFmtId="0" fontId="55" fillId="0" borderId="17" xfId="0" quotePrefix="1" applyFont="1" applyBorder="1" applyAlignment="1" applyProtection="1">
      <alignment horizontal="center" vertical="center"/>
      <protection locked="0"/>
    </xf>
    <xf numFmtId="164" fontId="55" fillId="0" borderId="0" xfId="0" quotePrefix="1" applyNumberFormat="1" applyFont="1" applyBorder="1" applyAlignment="1">
      <alignment horizontal="center" vertical="center"/>
    </xf>
    <xf numFmtId="0" fontId="55" fillId="0" borderId="17" xfId="0" quotePrefix="1" applyFont="1" applyFill="1" applyBorder="1" applyAlignment="1">
      <alignment horizontal="center" vertical="center"/>
    </xf>
    <xf numFmtId="164" fontId="55" fillId="0" borderId="17" xfId="0" quotePrefix="1" applyNumberFormat="1" applyFont="1" applyFill="1" applyBorder="1" applyAlignment="1">
      <alignment horizontal="center" vertical="center"/>
    </xf>
    <xf numFmtId="164" fontId="55" fillId="0" borderId="17" xfId="0" applyNumberFormat="1" applyFont="1" applyBorder="1" applyAlignment="1" applyProtection="1">
      <alignment horizontal="center" vertical="center"/>
      <protection locked="0"/>
    </xf>
    <xf numFmtId="0" fontId="3" fillId="0" borderId="11" xfId="0" applyFont="1" applyFill="1" applyBorder="1" applyAlignment="1">
      <alignment horizontal="center" vertical="center" wrapText="1"/>
    </xf>
    <xf numFmtId="164" fontId="41" fillId="0" borderId="24" xfId="0" applyNumberFormat="1" applyFont="1" applyBorder="1" applyAlignment="1">
      <alignment horizontal="center" vertical="center"/>
    </xf>
    <xf numFmtId="2" fontId="41" fillId="0" borderId="18" xfId="0" applyNumberFormat="1" applyFont="1" applyBorder="1" applyAlignment="1">
      <alignment horizontal="center" vertical="center"/>
    </xf>
    <xf numFmtId="2" fontId="41" fillId="0" borderId="16" xfId="0" applyNumberFormat="1" applyFont="1" applyBorder="1" applyAlignment="1">
      <alignment horizontal="center" vertical="center"/>
    </xf>
    <xf numFmtId="1" fontId="55" fillId="0" borderId="17" xfId="0" quotePrefix="1" applyNumberFormat="1" applyFont="1" applyBorder="1" applyAlignment="1" applyProtection="1">
      <alignment horizontal="center" vertical="center"/>
      <protection locked="0"/>
    </xf>
    <xf numFmtId="1" fontId="55" fillId="0" borderId="0" xfId="0" quotePrefix="1" applyNumberFormat="1" applyFont="1" applyBorder="1" applyAlignment="1">
      <alignment horizontal="center" vertical="center"/>
    </xf>
    <xf numFmtId="1" fontId="55" fillId="0" borderId="17" xfId="0" quotePrefix="1" applyNumberFormat="1" applyFont="1" applyFill="1" applyBorder="1" applyAlignment="1">
      <alignment horizontal="center" vertical="center"/>
    </xf>
    <xf numFmtId="1" fontId="41" fillId="0" borderId="24" xfId="0" applyNumberFormat="1" applyFont="1" applyBorder="1" applyAlignment="1">
      <alignment horizontal="center" vertical="center"/>
    </xf>
    <xf numFmtId="0" fontId="3" fillId="0" borderId="12" xfId="0" applyFont="1" applyBorder="1" applyAlignment="1" applyProtection="1">
      <alignment horizontal="left" vertical="center"/>
      <protection locked="0"/>
    </xf>
    <xf numFmtId="0" fontId="3" fillId="0" borderId="14" xfId="0" quotePrefix="1" applyFont="1" applyBorder="1" applyAlignment="1" applyProtection="1">
      <alignment horizontal="center" vertical="center"/>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0" xfId="0" quotePrefix="1" applyFont="1" applyBorder="1" applyAlignment="1" applyProtection="1">
      <alignment horizontal="center" vertical="center"/>
      <protection locked="0"/>
    </xf>
    <xf numFmtId="2" fontId="9" fillId="0" borderId="0" xfId="0" applyNumberFormat="1" applyFont="1" applyBorder="1" applyAlignment="1">
      <alignment horizontal="right" vertical="center"/>
    </xf>
    <xf numFmtId="0" fontId="55" fillId="0" borderId="13" xfId="0" applyFont="1" applyBorder="1" applyAlignment="1">
      <alignment vertical="center"/>
    </xf>
    <xf numFmtId="0" fontId="3" fillId="0" borderId="13" xfId="0" applyFont="1" applyBorder="1" applyAlignment="1" applyProtection="1">
      <alignment horizontal="left" vertical="center"/>
      <protection locked="0"/>
    </xf>
    <xf numFmtId="0" fontId="3" fillId="0" borderId="18" xfId="0" quotePrefix="1"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2" fontId="3" fillId="0" borderId="11" xfId="0" applyNumberFormat="1" applyFont="1" applyBorder="1" applyAlignment="1">
      <alignment horizontal="center" vertical="center"/>
    </xf>
    <xf numFmtId="0" fontId="4" fillId="0" borderId="14" xfId="0" applyFont="1" applyBorder="1" applyAlignment="1">
      <alignment horizontal="center" vertical="center" shrinkToFit="1"/>
    </xf>
    <xf numFmtId="2" fontId="4" fillId="0" borderId="18" xfId="0" quotePrefix="1" applyNumberFormat="1" applyFont="1" applyBorder="1" applyAlignment="1">
      <alignment horizontal="center" vertical="center"/>
    </xf>
    <xf numFmtId="2" fontId="4" fillId="0" borderId="11" xfId="0" quotePrefix="1" applyNumberFormat="1" applyFont="1" applyBorder="1" applyAlignment="1">
      <alignment horizontal="center" vertical="center"/>
    </xf>
    <xf numFmtId="0" fontId="3" fillId="0" borderId="15" xfId="0" applyFont="1" applyBorder="1" applyAlignment="1">
      <alignment vertical="center" shrinkToFit="1"/>
    </xf>
    <xf numFmtId="0" fontId="3" fillId="0" borderId="12" xfId="0" applyFont="1" applyBorder="1" applyAlignment="1">
      <alignment vertical="center" wrapText="1" shrinkToFit="1"/>
    </xf>
    <xf numFmtId="0" fontId="4" fillId="0" borderId="13" xfId="0" applyFont="1" applyBorder="1" applyAlignment="1">
      <alignment vertical="center" shrinkToFit="1"/>
    </xf>
    <xf numFmtId="0" fontId="4" fillId="0" borderId="0" xfId="0" applyFont="1" applyBorder="1" applyAlignment="1">
      <alignment vertical="center" shrinkToFit="1"/>
    </xf>
    <xf numFmtId="0" fontId="2" fillId="0" borderId="12" xfId="0" applyFont="1" applyBorder="1" applyAlignment="1">
      <alignment vertical="center" shrinkToFit="1"/>
    </xf>
    <xf numFmtId="2" fontId="55" fillId="0" borderId="12" xfId="0" applyNumberFormat="1" applyFont="1" applyBorder="1" applyAlignment="1" applyProtection="1">
      <alignment horizontal="center" vertical="center"/>
      <protection locked="0"/>
    </xf>
    <xf numFmtId="0" fontId="4" fillId="0" borderId="23" xfId="0" applyFont="1" applyBorder="1" applyAlignment="1">
      <alignment vertical="center"/>
    </xf>
    <xf numFmtId="0" fontId="4" fillId="0" borderId="21" xfId="0" applyFont="1" applyBorder="1" applyAlignment="1">
      <alignment vertical="center"/>
    </xf>
    <xf numFmtId="0" fontId="3" fillId="0" borderId="16" xfId="0" applyFont="1" applyBorder="1" applyAlignment="1">
      <alignment vertical="center"/>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4" fillId="0" borderId="10" xfId="0" applyFont="1" applyBorder="1" applyAlignment="1" applyProtection="1">
      <alignment horizontal="right"/>
    </xf>
    <xf numFmtId="1" fontId="55" fillId="0" borderId="12" xfId="0" applyNumberFormat="1" applyFont="1" applyBorder="1" applyAlignment="1" applyProtection="1">
      <alignment horizontal="center" vertical="center"/>
      <protection locked="0"/>
    </xf>
    <xf numFmtId="2" fontId="55" fillId="0" borderId="0" xfId="0" applyNumberFormat="1" applyFont="1" applyBorder="1" applyAlignment="1" applyProtection="1">
      <alignment horizontal="center" vertical="center"/>
    </xf>
    <xf numFmtId="2" fontId="55" fillId="0" borderId="14" xfId="0" applyNumberFormat="1" applyFont="1" applyBorder="1" applyAlignment="1" applyProtection="1">
      <alignment horizontal="center" vertical="center"/>
    </xf>
    <xf numFmtId="1" fontId="55" fillId="0" borderId="12" xfId="0" applyNumberFormat="1" applyFont="1" applyBorder="1" applyAlignment="1" applyProtection="1">
      <alignment horizontal="center" vertical="center"/>
    </xf>
    <xf numFmtId="3" fontId="4" fillId="0" borderId="17" xfId="0" applyNumberFormat="1" applyFont="1" applyBorder="1" applyAlignment="1">
      <alignment horizontal="center" vertical="center"/>
    </xf>
    <xf numFmtId="3" fontId="4" fillId="0" borderId="0" xfId="0" applyNumberFormat="1" applyFont="1" applyBorder="1" applyAlignment="1">
      <alignment horizontal="center" vertical="center"/>
    </xf>
    <xf numFmtId="3" fontId="4" fillId="0" borderId="14" xfId="0" applyNumberFormat="1" applyFont="1" applyBorder="1" applyAlignment="1">
      <alignment horizontal="center" vertical="center"/>
    </xf>
    <xf numFmtId="0" fontId="3" fillId="0" borderId="17" xfId="0" applyFont="1" applyBorder="1" applyAlignment="1" applyProtection="1">
      <alignment vertical="center"/>
      <protection hidden="1"/>
    </xf>
    <xf numFmtId="1" fontId="3" fillId="0" borderId="0" xfId="0" applyNumberFormat="1" applyFont="1" applyBorder="1" applyAlignment="1">
      <alignment horizontal="center" vertical="center"/>
    </xf>
    <xf numFmtId="0" fontId="4" fillId="0" borderId="17" xfId="0" applyFont="1" applyBorder="1" applyAlignment="1" applyProtection="1">
      <alignment vertical="center"/>
      <protection hidden="1"/>
    </xf>
    <xf numFmtId="0" fontId="55" fillId="0" borderId="17" xfId="0" applyFont="1" applyBorder="1" applyAlignment="1">
      <alignment horizontal="center"/>
    </xf>
    <xf numFmtId="0" fontId="55" fillId="0" borderId="17" xfId="0" quotePrefix="1" applyFont="1" applyBorder="1" applyAlignment="1">
      <alignment horizontal="center"/>
    </xf>
    <xf numFmtId="0" fontId="55" fillId="0" borderId="0" xfId="0" quotePrefix="1" applyFont="1" applyBorder="1" applyAlignment="1">
      <alignment horizontal="center"/>
    </xf>
    <xf numFmtId="0" fontId="10" fillId="0" borderId="17" xfId="0" applyFont="1" applyBorder="1" applyAlignment="1" applyProtection="1">
      <alignment vertical="center"/>
      <protection hidden="1"/>
    </xf>
    <xf numFmtId="0" fontId="3" fillId="0" borderId="19" xfId="0" applyFont="1" applyBorder="1" applyAlignment="1">
      <alignment horizontal="left" vertical="center"/>
    </xf>
    <xf numFmtId="1" fontId="3" fillId="0" borderId="19" xfId="0" applyNumberFormat="1" applyFont="1" applyBorder="1" applyAlignment="1">
      <alignment horizontal="center" vertical="center"/>
    </xf>
    <xf numFmtId="0" fontId="3" fillId="0" borderId="11" xfId="0" applyFont="1" applyBorder="1" applyAlignment="1">
      <alignment horizontal="center" vertical="center" wrapText="1"/>
    </xf>
    <xf numFmtId="0" fontId="86" fillId="0" borderId="0" xfId="0" applyFont="1" applyProtection="1">
      <protection locked="0"/>
    </xf>
    <xf numFmtId="0" fontId="86" fillId="0" borderId="10" xfId="0" applyFont="1" applyBorder="1" applyProtection="1">
      <protection locked="0"/>
    </xf>
    <xf numFmtId="0" fontId="4" fillId="0" borderId="10" xfId="0" applyFont="1" applyBorder="1" applyAlignment="1" applyProtection="1">
      <alignment horizontal="right"/>
      <protection locked="0"/>
    </xf>
    <xf numFmtId="0" fontId="4" fillId="0" borderId="15"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1" xfId="0" quotePrefix="1" applyFont="1" applyBorder="1" applyAlignment="1" applyProtection="1">
      <alignment horizontal="center" vertical="center"/>
      <protection locked="0"/>
    </xf>
    <xf numFmtId="0" fontId="4" fillId="0" borderId="18" xfId="0" quotePrefix="1" applyFont="1" applyBorder="1" applyAlignment="1" applyProtection="1">
      <alignment horizontal="center" vertical="center"/>
      <protection locked="0"/>
    </xf>
    <xf numFmtId="0" fontId="3" fillId="0" borderId="12"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55" fillId="0" borderId="10" xfId="0" applyFont="1" applyBorder="1" applyAlignment="1" applyProtection="1">
      <alignment horizontal="center" vertical="center"/>
      <protection locked="0"/>
    </xf>
    <xf numFmtId="0" fontId="4" fillId="0" borderId="0" xfId="0" applyFont="1" applyBorder="1" applyAlignment="1" applyProtection="1">
      <alignment horizontal="left" vertical="center" wrapText="1"/>
      <protection locked="0"/>
    </xf>
    <xf numFmtId="0" fontId="55" fillId="0" borderId="0" xfId="0" applyFont="1" applyAlignment="1" applyProtection="1">
      <alignment vertical="center"/>
      <protection locked="0"/>
    </xf>
    <xf numFmtId="0" fontId="55" fillId="0" borderId="10" xfId="0" applyFont="1" applyBorder="1" applyAlignment="1" applyProtection="1">
      <alignment vertical="center"/>
      <protection locked="0"/>
    </xf>
    <xf numFmtId="0" fontId="4" fillId="0" borderId="10" xfId="0" applyFont="1" applyBorder="1" applyAlignment="1" applyProtection="1">
      <alignment horizontal="right" vertical="center"/>
      <protection locked="0"/>
    </xf>
    <xf numFmtId="0" fontId="3" fillId="0" borderId="12" xfId="0" applyFont="1" applyBorder="1" applyAlignment="1" applyProtection="1">
      <alignment vertical="center" wrapText="1"/>
      <protection locked="0"/>
    </xf>
    <xf numFmtId="0" fontId="9" fillId="0" borderId="0" xfId="0" applyFont="1" applyAlignment="1" applyProtection="1">
      <alignment horizontal="right" vertical="top"/>
      <protection locked="0"/>
    </xf>
    <xf numFmtId="0" fontId="9" fillId="0" borderId="0" xfId="0" applyFont="1" applyAlignment="1" applyProtection="1">
      <alignment vertical="top"/>
      <protection locked="0"/>
    </xf>
    <xf numFmtId="0" fontId="86" fillId="0" borderId="0" xfId="0" applyFont="1" applyAlignment="1" applyProtection="1">
      <alignment vertical="center"/>
      <protection locked="0"/>
    </xf>
    <xf numFmtId="0" fontId="86" fillId="0" borderId="10" xfId="0" applyFont="1" applyBorder="1" applyAlignment="1" applyProtection="1">
      <alignment vertical="center"/>
      <protection locked="0"/>
    </xf>
    <xf numFmtId="0" fontId="9" fillId="0" borderId="0" xfId="0" applyFont="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55" fillId="0" borderId="11" xfId="0" quotePrefix="1" applyFont="1" applyBorder="1" applyAlignment="1" applyProtection="1">
      <alignment horizontal="center" vertical="center"/>
      <protection locked="0"/>
    </xf>
    <xf numFmtId="0" fontId="55" fillId="0" borderId="24" xfId="0" quotePrefix="1" applyFont="1" applyBorder="1" applyAlignment="1" applyProtection="1">
      <alignment horizontal="center" vertical="center"/>
      <protection locked="0"/>
    </xf>
    <xf numFmtId="0" fontId="55" fillId="0" borderId="20" xfId="0" applyFont="1" applyBorder="1" applyAlignment="1" applyProtection="1">
      <alignment horizontal="center" vertical="center"/>
      <protection locked="0"/>
    </xf>
    <xf numFmtId="0" fontId="55" fillId="0" borderId="21" xfId="0" applyFont="1" applyBorder="1" applyAlignment="1" applyProtection="1">
      <alignment horizontal="center" vertical="center"/>
    </xf>
    <xf numFmtId="0" fontId="55" fillId="0" borderId="14" xfId="0" applyFont="1" applyBorder="1" applyAlignment="1" applyProtection="1">
      <alignment horizontal="center" vertical="center"/>
    </xf>
    <xf numFmtId="0" fontId="3" fillId="0" borderId="12" xfId="0" applyFont="1" applyBorder="1" applyAlignment="1" applyProtection="1">
      <alignment horizontal="left" vertical="center" shrinkToFit="1"/>
      <protection locked="0"/>
    </xf>
    <xf numFmtId="0" fontId="3" fillId="0" borderId="14" xfId="0" applyFont="1" applyBorder="1" applyAlignment="1" applyProtection="1">
      <alignment horizontal="center" vertical="center"/>
    </xf>
    <xf numFmtId="0" fontId="3" fillId="0" borderId="23"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4" fillId="0" borderId="12" xfId="0" applyFont="1" applyBorder="1" applyAlignment="1" applyProtection="1">
      <alignment horizontal="left" vertical="center" shrinkToFit="1"/>
      <protection locked="0"/>
    </xf>
    <xf numFmtId="0" fontId="9" fillId="0" borderId="0" xfId="0" applyFont="1" applyAlignment="1" applyProtection="1">
      <alignment horizontal="right" vertical="center"/>
      <protection locked="0"/>
    </xf>
    <xf numFmtId="0" fontId="3" fillId="0" borderId="23" xfId="0" applyFont="1" applyBorder="1" applyAlignment="1">
      <alignment vertical="center"/>
    </xf>
    <xf numFmtId="0" fontId="55" fillId="0" borderId="0" xfId="0" applyFont="1" applyFill="1" applyBorder="1" applyAlignment="1" applyProtection="1">
      <alignment horizontal="center" vertical="center"/>
      <protection locked="0"/>
    </xf>
    <xf numFmtId="0" fontId="4" fillId="0" borderId="0" xfId="0" applyFont="1" applyAlignment="1" applyProtection="1">
      <alignment horizontal="right"/>
      <protection locked="0"/>
    </xf>
    <xf numFmtId="0" fontId="4" fillId="0" borderId="11" xfId="0" applyFont="1" applyBorder="1" applyAlignment="1" applyProtection="1">
      <alignment horizontal="center" vertical="center" wrapText="1"/>
      <protection locked="0"/>
    </xf>
    <xf numFmtId="0" fontId="55" fillId="0" borderId="18" xfId="0" quotePrefix="1" applyFont="1" applyBorder="1" applyAlignment="1" applyProtection="1">
      <alignment horizontal="center" vertical="center"/>
      <protection locked="0"/>
    </xf>
    <xf numFmtId="0" fontId="55" fillId="0" borderId="0" xfId="0" applyFont="1" applyBorder="1" applyAlignment="1" applyProtection="1">
      <alignment horizontal="center" vertical="center"/>
    </xf>
    <xf numFmtId="0" fontId="9" fillId="0" borderId="0" xfId="0" applyFont="1" applyAlignment="1" applyProtection="1">
      <alignment vertical="top" wrapText="1"/>
      <protection locked="0"/>
    </xf>
    <xf numFmtId="0" fontId="4" fillId="0" borderId="13" xfId="0" quotePrefix="1" applyFont="1" applyBorder="1" applyAlignment="1">
      <alignment horizontal="center" vertical="center" wrapText="1"/>
    </xf>
    <xf numFmtId="0" fontId="3" fillId="0" borderId="17"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3" fillId="0" borderId="23" xfId="0" applyFont="1" applyBorder="1" applyAlignment="1">
      <alignment horizontal="left"/>
    </xf>
    <xf numFmtId="0" fontId="4" fillId="0" borderId="0" xfId="0" applyFont="1" applyBorder="1" applyAlignment="1">
      <alignment vertical="top"/>
    </xf>
    <xf numFmtId="0" fontId="4" fillId="0" borderId="14" xfId="0" applyFont="1" applyBorder="1"/>
    <xf numFmtId="0" fontId="55" fillId="0" borderId="12" xfId="0" quotePrefix="1" applyFont="1" applyBorder="1" applyAlignment="1" applyProtection="1">
      <alignment horizontal="center" vertical="center"/>
      <protection locked="0"/>
    </xf>
    <xf numFmtId="0" fontId="55" fillId="0" borderId="14" xfId="0" quotePrefix="1" applyFont="1" applyBorder="1" applyAlignment="1" applyProtection="1">
      <alignment horizontal="center" vertical="center"/>
      <protection locked="0"/>
    </xf>
    <xf numFmtId="0" fontId="3" fillId="0" borderId="17" xfId="0" applyFont="1" applyBorder="1" applyAlignment="1">
      <alignment horizontal="left"/>
    </xf>
    <xf numFmtId="0" fontId="3" fillId="0" borderId="14" xfId="0" applyFont="1" applyBorder="1" applyAlignment="1">
      <alignment horizontal="left"/>
    </xf>
    <xf numFmtId="0" fontId="3" fillId="0" borderId="17" xfId="0" applyFont="1" applyBorder="1" applyAlignment="1">
      <alignment horizontal="left" vertical="top"/>
    </xf>
    <xf numFmtId="0" fontId="3" fillId="0" borderId="22" xfId="0" applyFont="1" applyBorder="1" applyAlignment="1">
      <alignment horizontal="left"/>
    </xf>
    <xf numFmtId="0" fontId="61" fillId="0" borderId="0" xfId="0" applyFont="1" applyProtection="1">
      <protection locked="0"/>
    </xf>
    <xf numFmtId="0" fontId="61" fillId="0" borderId="0" xfId="0" applyFont="1" applyAlignment="1" applyProtection="1">
      <alignment horizontal="right"/>
      <protection locked="0"/>
    </xf>
    <xf numFmtId="0" fontId="61" fillId="0" borderId="0" xfId="0" applyFont="1" applyAlignment="1" applyProtection="1">
      <protection locked="0"/>
    </xf>
    <xf numFmtId="0" fontId="55" fillId="0" borderId="24" xfId="0" quotePrefix="1" applyFont="1" applyBorder="1" applyAlignment="1">
      <alignment horizontal="center"/>
    </xf>
    <xf numFmtId="0" fontId="55" fillId="0" borderId="18" xfId="0" quotePrefix="1" applyFont="1" applyBorder="1" applyAlignment="1">
      <alignment horizontal="center"/>
    </xf>
    <xf numFmtId="0" fontId="55" fillId="0" borderId="11" xfId="0" quotePrefix="1" applyFont="1" applyBorder="1" applyAlignment="1">
      <alignment horizontal="center"/>
    </xf>
    <xf numFmtId="0" fontId="3" fillId="0" borderId="23" xfId="0" applyFont="1" applyBorder="1" applyAlignment="1">
      <alignment horizontal="left" vertical="center"/>
    </xf>
    <xf numFmtId="0" fontId="4" fillId="0" borderId="0" xfId="0" applyFont="1" applyBorder="1" applyAlignment="1">
      <alignment vertical="center" wrapText="1"/>
    </xf>
    <xf numFmtId="0" fontId="55" fillId="0" borderId="0" xfId="0" applyFont="1" applyBorder="1" applyAlignment="1">
      <alignment vertical="center" wrapText="1"/>
    </xf>
    <xf numFmtId="0" fontId="4" fillId="0" borderId="14" xfId="0" applyFont="1" applyBorder="1" applyAlignment="1">
      <alignment vertical="center" wrapText="1"/>
    </xf>
    <xf numFmtId="0" fontId="4" fillId="0" borderId="0" xfId="0" applyFont="1" applyBorder="1" applyAlignment="1">
      <alignment vertical="top" wrapText="1"/>
    </xf>
    <xf numFmtId="0" fontId="9" fillId="0" borderId="14" xfId="0" applyFont="1" applyBorder="1" applyAlignment="1">
      <alignment vertical="center" wrapText="1"/>
    </xf>
    <xf numFmtId="0" fontId="4" fillId="0" borderId="20" xfId="0" applyFont="1" applyBorder="1" applyAlignment="1" applyProtection="1">
      <alignment vertical="top"/>
      <protection locked="0"/>
    </xf>
    <xf numFmtId="0" fontId="9" fillId="0" borderId="20" xfId="0" applyFont="1" applyBorder="1" applyAlignment="1" applyProtection="1">
      <alignment horizontal="right" vertical="top"/>
      <protection locked="0"/>
    </xf>
    <xf numFmtId="0" fontId="4" fillId="0" borderId="0" xfId="0" applyFont="1" applyAlignment="1" applyProtection="1">
      <alignment vertical="top"/>
      <protection locked="0"/>
    </xf>
    <xf numFmtId="0" fontId="4" fillId="0" borderId="12" xfId="0" applyFont="1" applyBorder="1" applyAlignment="1">
      <alignment horizontal="center" vertical="top"/>
    </xf>
    <xf numFmtId="0" fontId="3" fillId="0" borderId="22" xfId="0" applyFont="1" applyBorder="1" applyAlignment="1">
      <alignment horizontal="left" vertical="center"/>
    </xf>
    <xf numFmtId="0" fontId="4" fillId="0" borderId="0" xfId="0" applyFont="1" applyAlignment="1" applyProtection="1">
      <protection locked="0"/>
    </xf>
    <xf numFmtId="0" fontId="3" fillId="0" borderId="14" xfId="0" applyFont="1" applyBorder="1"/>
    <xf numFmtId="0" fontId="4" fillId="0" borderId="14" xfId="0" applyFont="1" applyBorder="1" applyAlignment="1">
      <alignment vertical="top"/>
    </xf>
    <xf numFmtId="0" fontId="4" fillId="0" borderId="14" xfId="0" applyFont="1" applyBorder="1" applyAlignment="1">
      <alignment vertical="top" shrinkToFit="1"/>
    </xf>
    <xf numFmtId="0" fontId="4" fillId="0" borderId="14" xfId="0" applyFont="1" applyBorder="1" applyAlignment="1">
      <alignment wrapText="1"/>
    </xf>
    <xf numFmtId="0" fontId="3" fillId="0" borderId="10" xfId="0" applyFont="1" applyBorder="1" applyAlignment="1">
      <alignment horizontal="center"/>
    </xf>
    <xf numFmtId="0" fontId="55" fillId="0" borderId="21" xfId="0" applyFont="1" applyBorder="1" applyAlignment="1" applyProtection="1">
      <alignment horizontal="center" vertical="center"/>
      <protection locked="0"/>
    </xf>
    <xf numFmtId="0" fontId="55" fillId="0" borderId="14" xfId="0" applyFont="1" applyFill="1" applyBorder="1" applyAlignment="1" applyProtection="1">
      <alignment horizontal="center" vertical="center"/>
      <protection locked="0"/>
    </xf>
    <xf numFmtId="0" fontId="3" fillId="0" borderId="12" xfId="0" applyFont="1" applyBorder="1" applyAlignment="1">
      <alignment horizontal="center"/>
    </xf>
    <xf numFmtId="0" fontId="3" fillId="0" borderId="14" xfId="0" applyFont="1" applyBorder="1" applyAlignment="1">
      <alignment horizontal="center"/>
    </xf>
    <xf numFmtId="0" fontId="55" fillId="0" borderId="14" xfId="0" applyFont="1" applyBorder="1" applyAlignment="1" applyProtection="1">
      <alignment horizontal="center"/>
      <protection locked="0"/>
    </xf>
    <xf numFmtId="0" fontId="55" fillId="0" borderId="14" xfId="0" quotePrefix="1" applyFont="1" applyBorder="1" applyAlignment="1" applyProtection="1">
      <alignment horizontal="center"/>
      <protection locked="0"/>
    </xf>
    <xf numFmtId="0" fontId="4" fillId="0" borderId="14" xfId="0" applyFont="1" applyBorder="1" applyAlignment="1">
      <alignment vertical="top" wrapText="1"/>
    </xf>
    <xf numFmtId="0" fontId="9" fillId="0" borderId="14" xfId="0" applyFont="1" applyBorder="1"/>
    <xf numFmtId="0" fontId="3" fillId="0" borderId="14" xfId="0" applyFont="1" applyBorder="1" applyAlignment="1" applyProtection="1">
      <alignment horizontal="center"/>
      <protection locked="0"/>
    </xf>
    <xf numFmtId="0" fontId="3" fillId="0" borderId="11" xfId="0" applyFont="1" applyBorder="1" applyAlignment="1">
      <alignment horizontal="center"/>
    </xf>
    <xf numFmtId="0" fontId="96" fillId="0" borderId="0" xfId="0" applyFont="1" applyBorder="1" applyAlignment="1">
      <alignment horizontal="left" vertical="top" wrapText="1"/>
    </xf>
    <xf numFmtId="0" fontId="96" fillId="0" borderId="10" xfId="0" applyFont="1" applyBorder="1" applyAlignment="1">
      <alignment horizontal="right"/>
    </xf>
    <xf numFmtId="0" fontId="9" fillId="0" borderId="20" xfId="0" applyFont="1" applyBorder="1" applyAlignment="1" applyProtection="1">
      <alignment horizontal="right" vertical="center"/>
      <protection locked="0"/>
    </xf>
    <xf numFmtId="0" fontId="0" fillId="0" borderId="17"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0" xfId="0" applyAlignment="1" applyProtection="1">
      <alignment horizontal="center"/>
      <protection locked="0"/>
    </xf>
    <xf numFmtId="0" fontId="0" fillId="0" borderId="0"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4" xfId="0" applyBorder="1" applyAlignment="1" applyProtection="1">
      <alignment horizontal="center"/>
      <protection locked="0"/>
    </xf>
    <xf numFmtId="0" fontId="4" fillId="0" borderId="13" xfId="0" applyFont="1" applyFill="1" applyBorder="1" applyAlignment="1" applyProtection="1">
      <alignment horizontal="center" vertical="center"/>
      <protection locked="0"/>
    </xf>
    <xf numFmtId="164" fontId="55" fillId="0" borderId="14" xfId="0" applyNumberFormat="1"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164" fontId="4" fillId="0" borderId="14" xfId="0" applyNumberFormat="1" applyFont="1" applyFill="1" applyBorder="1" applyAlignment="1" applyProtection="1">
      <alignment horizontal="center" vertical="center"/>
      <protection locked="0"/>
    </xf>
    <xf numFmtId="0" fontId="3" fillId="0" borderId="12" xfId="0" applyFont="1" applyFill="1" applyBorder="1" applyAlignment="1">
      <alignment horizontal="center" vertical="center"/>
    </xf>
    <xf numFmtId="1" fontId="55" fillId="0" borderId="12" xfId="0" applyNumberFormat="1" applyFont="1" applyFill="1" applyBorder="1" applyAlignment="1" applyProtection="1">
      <alignment horizontal="center" vertical="center"/>
      <protection locked="0"/>
    </xf>
    <xf numFmtId="1" fontId="55" fillId="0" borderId="17" xfId="0" applyNumberFormat="1" applyFont="1" applyFill="1" applyBorder="1" applyAlignment="1" applyProtection="1">
      <alignment horizontal="center" vertical="center"/>
      <protection locked="0"/>
    </xf>
    <xf numFmtId="2" fontId="0" fillId="0" borderId="12" xfId="0" applyNumberFormat="1" applyFill="1" applyBorder="1" applyAlignment="1">
      <alignment horizontal="center" vertical="center"/>
    </xf>
    <xf numFmtId="0" fontId="3" fillId="0" borderId="18"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1" xfId="0" applyFont="1" applyFill="1" applyBorder="1" applyAlignment="1">
      <alignment horizontal="center" vertical="center"/>
    </xf>
    <xf numFmtId="2" fontId="0" fillId="0" borderId="16" xfId="0" applyNumberFormat="1" applyBorder="1" applyAlignment="1" applyProtection="1">
      <alignment horizontal="center" vertical="center"/>
      <protection locked="0"/>
    </xf>
    <xf numFmtId="164" fontId="1" fillId="0" borderId="14" xfId="0" applyNumberFormat="1" applyFont="1" applyBorder="1" applyAlignment="1">
      <alignment horizontal="center" vertical="center"/>
    </xf>
    <xf numFmtId="164" fontId="1" fillId="0" borderId="16" xfId="0" applyNumberFormat="1" applyFont="1" applyBorder="1" applyAlignment="1">
      <alignment horizontal="center" vertical="center"/>
    </xf>
    <xf numFmtId="0" fontId="1" fillId="0" borderId="14"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right" vertical="center" wrapText="1"/>
    </xf>
    <xf numFmtId="0" fontId="3" fillId="0" borderId="15" xfId="0" quotePrefix="1" applyFont="1" applyBorder="1" applyAlignment="1">
      <alignment horizontal="center" vertical="top"/>
    </xf>
    <xf numFmtId="0" fontId="3" fillId="0" borderId="14" xfId="0" applyFont="1" applyBorder="1" applyAlignment="1">
      <alignment horizontal="left" vertical="top" wrapText="1"/>
    </xf>
    <xf numFmtId="0" fontId="1" fillId="0" borderId="12" xfId="0" applyFont="1" applyBorder="1"/>
    <xf numFmtId="0" fontId="1" fillId="0" borderId="0" xfId="0" applyFont="1" applyBorder="1" applyAlignment="1">
      <alignment horizontal="center"/>
    </xf>
    <xf numFmtId="0" fontId="1" fillId="0" borderId="23" xfId="0" applyFont="1" applyBorder="1" applyAlignment="1">
      <alignment horizontal="center"/>
    </xf>
    <xf numFmtId="0" fontId="1" fillId="0" borderId="0" xfId="0" applyFont="1" applyBorder="1"/>
    <xf numFmtId="0" fontId="4" fillId="0" borderId="12" xfId="0" applyFont="1" applyBorder="1" applyAlignment="1">
      <alignment horizontal="center"/>
    </xf>
    <xf numFmtId="0" fontId="3" fillId="0" borderId="13" xfId="0" applyFont="1" applyBorder="1" applyAlignment="1">
      <alignment horizontal="center" vertical="top" wrapText="1"/>
    </xf>
    <xf numFmtId="0" fontId="3" fillId="0" borderId="16" xfId="0" applyFont="1" applyBorder="1" applyAlignment="1">
      <alignment horizontal="left" vertical="top" wrapText="1"/>
    </xf>
    <xf numFmtId="0" fontId="9" fillId="0" borderId="0" xfId="0" applyFont="1" applyBorder="1" applyAlignment="1">
      <alignment vertical="top"/>
    </xf>
    <xf numFmtId="0" fontId="1" fillId="0" borderId="0" xfId="0" applyFont="1" applyBorder="1" applyAlignment="1">
      <alignment horizontal="left"/>
    </xf>
    <xf numFmtId="0" fontId="1" fillId="0" borderId="0" xfId="0" applyFont="1" applyFill="1" applyBorder="1" applyAlignment="1">
      <alignment horizontal="right"/>
    </xf>
    <xf numFmtId="0" fontId="83" fillId="0" borderId="0" xfId="0" applyFont="1" applyFill="1" applyBorder="1" applyAlignment="1">
      <alignment horizontal="left" vertical="center"/>
    </xf>
    <xf numFmtId="164" fontId="1" fillId="0" borderId="14" xfId="0" applyNumberFormat="1" applyFont="1" applyFill="1" applyBorder="1" applyAlignment="1" applyProtection="1">
      <alignment horizontal="center" vertical="center"/>
      <protection locked="0"/>
    </xf>
    <xf numFmtId="164" fontId="41" fillId="0" borderId="12" xfId="0" applyNumberFormat="1" applyFont="1" applyFill="1" applyBorder="1" applyAlignment="1">
      <alignment horizontal="center" vertical="center"/>
    </xf>
    <xf numFmtId="164" fontId="3" fillId="0" borderId="12" xfId="0" applyNumberFormat="1" applyFont="1" applyFill="1" applyBorder="1" applyAlignment="1">
      <alignment horizontal="center" vertical="center"/>
    </xf>
    <xf numFmtId="0" fontId="3" fillId="0" borderId="13" xfId="0" applyFont="1" applyFill="1" applyBorder="1" applyAlignment="1">
      <alignment horizontal="center" vertical="center"/>
    </xf>
    <xf numFmtId="2" fontId="0" fillId="0" borderId="0" xfId="0" applyNumberFormat="1"/>
    <xf numFmtId="0" fontId="28" fillId="0" borderId="0" xfId="0" applyFont="1" applyAlignment="1">
      <alignment horizontal="right"/>
    </xf>
    <xf numFmtId="0" fontId="28" fillId="0" borderId="0" xfId="0" applyFont="1" applyAlignment="1"/>
    <xf numFmtId="0" fontId="9" fillId="0" borderId="0" xfId="0" applyFont="1" applyBorder="1" applyAlignment="1" applyProtection="1">
      <alignment horizontal="left" vertical="center"/>
      <protection locked="0"/>
    </xf>
    <xf numFmtId="0" fontId="9" fillId="0" borderId="0" xfId="0" applyFont="1" applyBorder="1" applyAlignment="1" applyProtection="1">
      <alignment horizontal="left" vertical="top"/>
      <protection locked="0"/>
    </xf>
    <xf numFmtId="0" fontId="34" fillId="0" borderId="10" xfId="0" applyFont="1" applyBorder="1" applyAlignment="1">
      <alignment horizontal="center" vertical="center"/>
    </xf>
    <xf numFmtId="0" fontId="34" fillId="0" borderId="16" xfId="0" applyFont="1" applyBorder="1" applyAlignment="1">
      <alignment horizontal="center" vertical="center"/>
    </xf>
    <xf numFmtId="0" fontId="34" fillId="0" borderId="22" xfId="0" applyFont="1" applyBorder="1" applyAlignment="1">
      <alignment horizontal="center" vertical="center"/>
    </xf>
    <xf numFmtId="0" fontId="0" fillId="0" borderId="0" xfId="0" applyAlignment="1">
      <alignment horizontal="right" vertical="top"/>
    </xf>
    <xf numFmtId="0" fontId="9" fillId="0" borderId="0" xfId="0" applyFont="1" applyFill="1" applyBorder="1" applyAlignment="1">
      <alignment vertical="center"/>
    </xf>
    <xf numFmtId="2" fontId="0" fillId="0" borderId="14" xfId="0" applyNumberFormat="1" applyBorder="1" applyAlignment="1" applyProtection="1">
      <alignment horizontal="center" vertical="center"/>
      <protection locked="0"/>
    </xf>
    <xf numFmtId="2" fontId="55" fillId="0" borderId="16" xfId="0" applyNumberFormat="1" applyFont="1" applyBorder="1" applyAlignment="1" applyProtection="1">
      <alignment horizontal="center" vertical="center"/>
      <protection locked="0"/>
    </xf>
    <xf numFmtId="2" fontId="3" fillId="0" borderId="18" xfId="0" applyNumberFormat="1" applyFont="1" applyBorder="1" applyAlignment="1" applyProtection="1">
      <alignment horizontal="center" vertical="center"/>
    </xf>
    <xf numFmtId="0" fontId="55" fillId="0" borderId="20" xfId="0" applyFont="1" applyBorder="1" applyAlignment="1" applyProtection="1">
      <alignment vertical="center"/>
      <protection locked="0"/>
    </xf>
    <xf numFmtId="2" fontId="0" fillId="0" borderId="0" xfId="0" applyNumberFormat="1" applyBorder="1" applyAlignment="1" applyProtection="1">
      <alignment horizontal="center" vertical="center"/>
      <protection locked="0"/>
    </xf>
    <xf numFmtId="0" fontId="9" fillId="0" borderId="0" xfId="0" applyFont="1" applyBorder="1" applyAlignment="1"/>
    <xf numFmtId="164" fontId="4" fillId="0" borderId="16" xfId="0" applyNumberFormat="1" applyFont="1" applyBorder="1" applyAlignment="1">
      <alignment horizontal="center" vertical="center"/>
    </xf>
    <xf numFmtId="0" fontId="34" fillId="0" borderId="24" xfId="0" applyFont="1" applyBorder="1" applyAlignment="1">
      <alignment horizontal="center" vertical="center"/>
    </xf>
    <xf numFmtId="0" fontId="34" fillId="0" borderId="18" xfId="0" applyFont="1" applyBorder="1" applyAlignment="1">
      <alignment horizontal="center" vertical="center"/>
    </xf>
    <xf numFmtId="0" fontId="4" fillId="0" borderId="12" xfId="0" applyFont="1" applyFill="1" applyBorder="1" applyAlignment="1">
      <alignment horizontal="center" vertical="center"/>
    </xf>
    <xf numFmtId="0" fontId="55" fillId="0" borderId="12"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14" xfId="0" quotePrefix="1" applyFont="1" applyBorder="1" applyAlignment="1">
      <alignment horizontal="center" vertical="center"/>
    </xf>
    <xf numFmtId="0" fontId="55" fillId="0" borderId="12" xfId="0" applyFont="1" applyBorder="1" applyAlignment="1">
      <alignment horizontal="center" vertical="center"/>
    </xf>
    <xf numFmtId="2" fontId="4" fillId="0" borderId="14" xfId="0" applyNumberFormat="1" applyFont="1" applyBorder="1" applyAlignment="1">
      <alignment horizontal="center" vertical="center"/>
    </xf>
    <xf numFmtId="0" fontId="55" fillId="0" borderId="13" xfId="0" applyFont="1" applyBorder="1" applyAlignment="1" applyProtection="1">
      <alignment horizontal="center" vertical="center"/>
    </xf>
    <xf numFmtId="0" fontId="0" fillId="0" borderId="17" xfId="0" quotePrefix="1" applyBorder="1" applyAlignment="1" applyProtection="1">
      <alignment horizontal="center" vertical="center"/>
      <protection locked="0"/>
    </xf>
    <xf numFmtId="0" fontId="3" fillId="0" borderId="17" xfId="0" quotePrefix="1" applyFont="1" applyBorder="1" applyAlignment="1" applyProtection="1">
      <alignment horizontal="center" vertical="center"/>
      <protection locked="0"/>
    </xf>
    <xf numFmtId="0" fontId="0" fillId="0" borderId="12" xfId="0" quotePrefix="1" applyBorder="1" applyAlignment="1" applyProtection="1">
      <alignment horizontal="center" vertical="center"/>
      <protection locked="0"/>
    </xf>
    <xf numFmtId="0" fontId="3" fillId="0" borderId="22" xfId="0" quotePrefix="1" applyFont="1" applyBorder="1" applyAlignment="1" applyProtection="1">
      <alignment horizontal="center" vertical="center"/>
      <protection locked="0"/>
    </xf>
    <xf numFmtId="0" fontId="0" fillId="0" borderId="0" xfId="0" quotePrefix="1" applyBorder="1" applyAlignment="1" applyProtection="1">
      <alignment horizontal="center" vertical="center"/>
      <protection locked="0"/>
    </xf>
    <xf numFmtId="0" fontId="55" fillId="0" borderId="14" xfId="0" applyFont="1" applyBorder="1" applyAlignment="1">
      <alignment horizontal="center" vertical="center"/>
    </xf>
    <xf numFmtId="0" fontId="55" fillId="0" borderId="12" xfId="0" applyFont="1" applyBorder="1" applyAlignment="1">
      <alignment horizontal="center" vertical="center"/>
    </xf>
    <xf numFmtId="0" fontId="3" fillId="0" borderId="14" xfId="0" applyFont="1" applyBorder="1" applyAlignment="1">
      <alignment horizontal="center" vertical="center"/>
    </xf>
    <xf numFmtId="0" fontId="0" fillId="0" borderId="12" xfId="0" quotePrefix="1" applyBorder="1" applyAlignment="1">
      <alignment horizontal="center" vertical="center"/>
    </xf>
    <xf numFmtId="2" fontId="0" fillId="0" borderId="14" xfId="0" quotePrefix="1" applyNumberFormat="1" applyBorder="1" applyAlignment="1" applyProtection="1">
      <alignment horizontal="center" vertical="center"/>
      <protection locked="0"/>
    </xf>
    <xf numFmtId="1" fontId="0" fillId="0" borderId="14" xfId="0" quotePrefix="1" applyNumberFormat="1" applyBorder="1" applyAlignment="1" applyProtection="1">
      <alignment horizontal="center" vertical="center"/>
      <protection locked="0"/>
    </xf>
    <xf numFmtId="0" fontId="0" fillId="0" borderId="13" xfId="0" quotePrefix="1" applyBorder="1" applyAlignment="1">
      <alignment horizontal="center" vertical="center"/>
    </xf>
    <xf numFmtId="0" fontId="0" fillId="0" borderId="0" xfId="0" quotePrefix="1" applyBorder="1" applyAlignment="1">
      <alignment horizontal="center" vertical="center"/>
    </xf>
    <xf numFmtId="1" fontId="0" fillId="0" borderId="12" xfId="0" applyNumberFormat="1" applyBorder="1" applyAlignment="1">
      <alignment horizontal="center" vertical="center"/>
    </xf>
    <xf numFmtId="1" fontId="0" fillId="0" borderId="0" xfId="0" quotePrefix="1" applyNumberFormat="1" applyBorder="1" applyAlignment="1">
      <alignment horizontal="center" vertical="center"/>
    </xf>
    <xf numFmtId="0" fontId="0" fillId="0" borderId="14" xfId="0" quotePrefix="1" applyBorder="1" applyAlignment="1">
      <alignment horizontal="center" vertical="center"/>
    </xf>
    <xf numFmtId="0" fontId="4" fillId="0" borderId="12" xfId="0" quotePrefix="1" applyFont="1" applyBorder="1" applyAlignment="1" applyProtection="1">
      <alignment horizontal="center" vertical="center"/>
      <protection locked="0"/>
    </xf>
    <xf numFmtId="0" fontId="4" fillId="0" borderId="12" xfId="0" quotePrefix="1" applyFont="1" applyBorder="1" applyAlignment="1" applyProtection="1">
      <alignment horizontal="center" vertical="center"/>
      <protection locked="0"/>
    </xf>
    <xf numFmtId="0" fontId="0" fillId="0" borderId="14" xfId="0" quotePrefix="1" applyBorder="1" applyAlignment="1" applyProtection="1">
      <alignment horizontal="center" vertical="center"/>
      <protection locked="0"/>
    </xf>
    <xf numFmtId="0" fontId="0" fillId="0" borderId="0" xfId="0" applyProtection="1">
      <protection locked="0"/>
    </xf>
    <xf numFmtId="0" fontId="4" fillId="0" borderId="14" xfId="0" quotePrefix="1" applyFont="1" applyBorder="1" applyAlignment="1">
      <alignment horizontal="center" vertical="center"/>
    </xf>
    <xf numFmtId="0" fontId="4" fillId="0" borderId="12" xfId="0" quotePrefix="1" applyFont="1" applyBorder="1" applyAlignment="1" applyProtection="1">
      <alignment horizontal="center" vertical="center"/>
      <protection locked="0"/>
    </xf>
    <xf numFmtId="0" fontId="0" fillId="0" borderId="14" xfId="0" quotePrefix="1" applyBorder="1" applyAlignment="1" applyProtection="1">
      <alignment horizontal="center"/>
      <protection locked="0"/>
    </xf>
    <xf numFmtId="0" fontId="4" fillId="0" borderId="14" xfId="0" quotePrefix="1" applyFont="1" applyBorder="1" applyAlignment="1" applyProtection="1">
      <alignment horizontal="center"/>
      <protection locked="0"/>
    </xf>
    <xf numFmtId="0" fontId="4" fillId="0" borderId="17" xfId="0" quotePrefix="1" applyFont="1" applyBorder="1" applyAlignment="1">
      <alignment horizontal="center" vertical="center"/>
    </xf>
    <xf numFmtId="0" fontId="4" fillId="0" borderId="14" xfId="0" quotePrefix="1" applyFont="1" applyBorder="1" applyAlignment="1">
      <alignment horizontal="center" vertical="center"/>
    </xf>
    <xf numFmtId="0" fontId="4" fillId="0" borderId="12" xfId="0" quotePrefix="1" applyFont="1" applyBorder="1" applyAlignment="1" applyProtection="1">
      <alignment horizontal="center" vertical="center"/>
      <protection locked="0"/>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3" fillId="0" borderId="14" xfId="0" applyFont="1" applyBorder="1" applyAlignment="1">
      <alignment horizontal="center" vertical="center"/>
    </xf>
    <xf numFmtId="0" fontId="7" fillId="0" borderId="12" xfId="0" applyFont="1" applyBorder="1" applyAlignment="1">
      <alignment horizontal="center"/>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4" xfId="0" applyFont="1" applyBorder="1" applyAlignment="1">
      <alignment horizontal="center" vertical="center"/>
    </xf>
    <xf numFmtId="0" fontId="4" fillId="0" borderId="22" xfId="0" applyFont="1" applyBorder="1" applyAlignment="1">
      <alignment horizontal="center" vertical="center"/>
    </xf>
    <xf numFmtId="0" fontId="3" fillId="0" borderId="16" xfId="0" applyFont="1" applyBorder="1" applyAlignment="1">
      <alignment horizontal="center" vertical="center"/>
    </xf>
    <xf numFmtId="0" fontId="55" fillId="0" borderId="12" xfId="0" applyFont="1" applyBorder="1" applyAlignment="1">
      <alignment horizontal="center" vertical="center"/>
    </xf>
    <xf numFmtId="0" fontId="11" fillId="0" borderId="15" xfId="0" applyFont="1" applyBorder="1" applyAlignment="1">
      <alignment horizontal="left" vertical="center"/>
    </xf>
    <xf numFmtId="2" fontId="3" fillId="0" borderId="12" xfId="0" applyNumberFormat="1" applyFont="1" applyBorder="1" applyAlignment="1" applyProtection="1">
      <alignment horizontal="center" vertical="center"/>
      <protection locked="0"/>
    </xf>
    <xf numFmtId="2" fontId="3" fillId="0" borderId="13" xfId="0" applyNumberFormat="1" applyFont="1" applyBorder="1" applyAlignment="1" applyProtection="1">
      <alignment horizontal="center" vertical="center"/>
      <protection locked="0"/>
    </xf>
    <xf numFmtId="2" fontId="55" fillId="0" borderId="12" xfId="0" applyNumberFormat="1" applyFont="1" applyBorder="1" applyAlignment="1" applyProtection="1">
      <alignment horizontal="center" vertical="center" wrapText="1"/>
      <protection locked="0"/>
    </xf>
    <xf numFmtId="2" fontId="55" fillId="0" borderId="12" xfId="0" quotePrefix="1" applyNumberFormat="1" applyFont="1" applyBorder="1" applyAlignment="1" applyProtection="1">
      <alignment horizontal="center" vertical="center"/>
      <protection locked="0"/>
    </xf>
    <xf numFmtId="1" fontId="55" fillId="0" borderId="12" xfId="0" quotePrefix="1" applyNumberFormat="1" applyFont="1" applyBorder="1" applyAlignment="1" applyProtection="1">
      <alignment horizontal="center" vertical="center"/>
      <protection locked="0"/>
    </xf>
    <xf numFmtId="2" fontId="0" fillId="0" borderId="13" xfId="0" applyNumberFormat="1" applyBorder="1" applyAlignment="1" applyProtection="1">
      <alignment horizontal="center" vertical="center"/>
      <protection locked="0"/>
    </xf>
    <xf numFmtId="2" fontId="55" fillId="0" borderId="13" xfId="0" applyNumberFormat="1" applyFont="1" applyBorder="1" applyAlignment="1" applyProtection="1">
      <alignment horizontal="center" vertical="center"/>
      <protection locked="0"/>
    </xf>
    <xf numFmtId="0" fontId="0" fillId="0" borderId="0" xfId="0" applyFont="1"/>
    <xf numFmtId="165" fontId="4" fillId="0" borderId="22" xfId="0" quotePrefix="1" applyNumberFormat="1" applyFont="1" applyBorder="1" applyAlignment="1">
      <alignment horizontal="center" vertical="center"/>
    </xf>
    <xf numFmtId="0" fontId="4" fillId="0" borderId="24" xfId="0" applyFont="1" applyBorder="1" applyAlignment="1">
      <alignment horizontal="center" vertical="center"/>
    </xf>
    <xf numFmtId="0" fontId="3" fillId="0" borderId="0" xfId="0" applyFont="1" applyBorder="1" applyAlignment="1">
      <alignment horizontal="center" vertical="center"/>
    </xf>
    <xf numFmtId="0" fontId="55" fillId="0" borderId="0"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Alignment="1">
      <alignment horizontal="center" vertical="center"/>
    </xf>
    <xf numFmtId="0" fontId="4" fillId="0" borderId="12" xfId="0" applyFont="1" applyBorder="1" applyAlignment="1" applyProtection="1">
      <alignment horizontal="center" vertical="center"/>
      <protection locked="0"/>
    </xf>
    <xf numFmtId="0" fontId="55" fillId="0" borderId="12" xfId="0" applyFont="1" applyBorder="1" applyAlignment="1" applyProtection="1">
      <alignment horizontal="center" vertical="center"/>
      <protection locked="0"/>
    </xf>
    <xf numFmtId="0" fontId="0" fillId="0" borderId="12" xfId="0" quotePrefix="1" applyBorder="1" applyAlignment="1" applyProtection="1">
      <alignment horizontal="center" vertical="center"/>
      <protection locked="0"/>
    </xf>
    <xf numFmtId="0" fontId="4" fillId="0" borderId="12" xfId="0" quotePrefix="1" applyFont="1" applyBorder="1" applyAlignment="1" applyProtection="1">
      <alignment horizontal="center" vertical="center"/>
      <protection locked="0"/>
    </xf>
    <xf numFmtId="0" fontId="0" fillId="0" borderId="0" xfId="0" applyFont="1" applyFill="1" applyBorder="1" applyAlignment="1">
      <alignment horizontal="center" vertical="center"/>
    </xf>
    <xf numFmtId="0" fontId="4" fillId="0" borderId="14" xfId="0" applyFont="1" applyFill="1" applyBorder="1" applyAlignment="1">
      <alignment vertical="center"/>
    </xf>
    <xf numFmtId="1" fontId="4" fillId="0" borderId="13" xfId="0" quotePrefix="1" applyNumberFormat="1"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19" xfId="0" quotePrefix="1" applyFont="1" applyBorder="1" applyAlignment="1">
      <alignment horizontal="center" vertical="center"/>
    </xf>
    <xf numFmtId="0" fontId="4" fillId="0" borderId="18" xfId="0" quotePrefix="1"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vertical="center"/>
    </xf>
    <xf numFmtId="0" fontId="4" fillId="0" borderId="10" xfId="0" applyFont="1" applyBorder="1" applyAlignment="1">
      <alignment horizontal="center" vertical="center"/>
    </xf>
    <xf numFmtId="0" fontId="55" fillId="0" borderId="12" xfId="0" applyFont="1" applyBorder="1" applyAlignment="1">
      <alignment horizontal="center" vertical="center"/>
    </xf>
    <xf numFmtId="0" fontId="4" fillId="0" borderId="16" xfId="0" applyFont="1" applyBorder="1" applyAlignment="1">
      <alignment horizontal="center" vertical="center"/>
    </xf>
    <xf numFmtId="0" fontId="4" fillId="0" borderId="24" xfId="0" quotePrefix="1" applyFont="1" applyBorder="1" applyAlignment="1">
      <alignment horizontal="center" vertical="center"/>
    </xf>
    <xf numFmtId="0" fontId="4" fillId="0" borderId="17" xfId="0" applyFont="1" applyBorder="1" applyAlignment="1">
      <alignment horizontal="center" vertical="center"/>
    </xf>
    <xf numFmtId="0" fontId="55" fillId="0" borderId="12"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0" fillId="0" borderId="12" xfId="0" quotePrefix="1" applyBorder="1" applyAlignment="1" applyProtection="1">
      <alignment horizontal="center" vertical="center"/>
      <protection locked="0"/>
    </xf>
    <xf numFmtId="0" fontId="3" fillId="0" borderId="18" xfId="0" applyFont="1" applyBorder="1" applyAlignment="1">
      <alignment horizontal="center" vertical="center"/>
    </xf>
    <xf numFmtId="0" fontId="0" fillId="0" borderId="12" xfId="0" applyBorder="1" applyAlignment="1">
      <alignment horizontal="center" vertical="center"/>
    </xf>
    <xf numFmtId="0" fontId="4" fillId="0" borderId="16"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22" xfId="0" applyFont="1" applyBorder="1" applyAlignment="1">
      <alignment horizontal="center" vertical="center"/>
    </xf>
    <xf numFmtId="1" fontId="4" fillId="0" borderId="17" xfId="0" applyNumberFormat="1" applyFont="1" applyBorder="1" applyAlignment="1">
      <alignment horizontal="center" vertical="center"/>
    </xf>
    <xf numFmtId="1" fontId="4" fillId="0" borderId="14" xfId="0" applyNumberFormat="1" applyFont="1" applyBorder="1" applyAlignment="1">
      <alignment horizontal="center" vertical="center"/>
    </xf>
    <xf numFmtId="1" fontId="4" fillId="0" borderId="16" xfId="0" applyNumberFormat="1" applyFont="1" applyBorder="1" applyAlignment="1">
      <alignment horizontal="center" vertical="center"/>
    </xf>
    <xf numFmtId="2" fontId="4" fillId="0" borderId="14" xfId="0" applyNumberFormat="1" applyFont="1" applyBorder="1" applyAlignment="1">
      <alignment horizontal="center" vertical="center"/>
    </xf>
    <xf numFmtId="2" fontId="4" fillId="0" borderId="16" xfId="0" applyNumberFormat="1" applyFont="1" applyBorder="1" applyAlignment="1">
      <alignment horizontal="center" vertical="center"/>
    </xf>
    <xf numFmtId="0" fontId="1" fillId="0" borderId="11" xfId="0" quotePrefix="1" applyFont="1" applyBorder="1" applyAlignment="1">
      <alignment horizontal="center" vertical="center"/>
    </xf>
    <xf numFmtId="0" fontId="1" fillId="0" borderId="24" xfId="0" quotePrefix="1" applyFont="1" applyBorder="1" applyAlignment="1">
      <alignment horizontal="center" vertical="center"/>
    </xf>
    <xf numFmtId="0" fontId="1" fillId="0" borderId="18" xfId="0" quotePrefix="1" applyFont="1" applyBorder="1" applyAlignment="1">
      <alignment horizontal="center" vertical="center"/>
    </xf>
    <xf numFmtId="0" fontId="4" fillId="0" borderId="14" xfId="0" quotePrefix="1" applyFont="1" applyFill="1" applyBorder="1" applyAlignment="1" applyProtection="1">
      <alignment horizontal="center" vertical="center"/>
      <protection locked="0"/>
    </xf>
    <xf numFmtId="1" fontId="0" fillId="0" borderId="12" xfId="0" quotePrefix="1" applyNumberFormat="1" applyBorder="1" applyAlignment="1">
      <alignment horizontal="center" vertical="center"/>
    </xf>
    <xf numFmtId="1" fontId="0" fillId="0" borderId="13" xfId="0" quotePrefix="1" applyNumberFormat="1" applyBorder="1" applyAlignment="1">
      <alignment horizontal="center" vertical="center"/>
    </xf>
    <xf numFmtId="1" fontId="0" fillId="0" borderId="15" xfId="0" quotePrefix="1" applyNumberFormat="1" applyBorder="1" applyAlignment="1">
      <alignment horizontal="center" vertical="center"/>
    </xf>
    <xf numFmtId="1" fontId="0" fillId="0" borderId="14" xfId="0" quotePrefix="1" applyNumberFormat="1" applyBorder="1" applyAlignment="1">
      <alignment horizontal="center" vertical="center"/>
    </xf>
    <xf numFmtId="1" fontId="0" fillId="0" borderId="16" xfId="0" quotePrefix="1" applyNumberFormat="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19" xfId="0" quotePrefix="1" applyFont="1" applyBorder="1" applyAlignment="1">
      <alignment horizontal="center" vertical="center"/>
    </xf>
    <xf numFmtId="0" fontId="4" fillId="0" borderId="18" xfId="0" quotePrefix="1" applyFont="1" applyBorder="1" applyAlignment="1">
      <alignment horizontal="center" vertical="center"/>
    </xf>
    <xf numFmtId="0" fontId="4" fillId="0" borderId="23"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vertical="center"/>
    </xf>
    <xf numFmtId="0" fontId="4" fillId="0" borderId="10" xfId="0" applyFont="1" applyBorder="1" applyAlignment="1">
      <alignment horizontal="center" vertical="center"/>
    </xf>
    <xf numFmtId="0" fontId="4" fillId="0" borderId="16" xfId="0" applyFont="1" applyBorder="1" applyAlignment="1">
      <alignment horizontal="center" vertical="center"/>
    </xf>
    <xf numFmtId="0" fontId="4" fillId="0" borderId="24" xfId="0" quotePrefix="1" applyFont="1" applyBorder="1" applyAlignment="1">
      <alignment horizontal="center" vertical="center"/>
    </xf>
    <xf numFmtId="0" fontId="4" fillId="0" borderId="17" xfId="0" applyFont="1" applyBorder="1" applyAlignment="1">
      <alignment horizontal="center" vertical="center"/>
    </xf>
    <xf numFmtId="0" fontId="4" fillId="0" borderId="14" xfId="0" applyFont="1" applyBorder="1" applyAlignment="1">
      <alignment horizontal="center" vertical="center"/>
    </xf>
    <xf numFmtId="0" fontId="4" fillId="0" borderId="22" xfId="0" applyFont="1" applyBorder="1" applyAlignment="1">
      <alignment horizontal="center" vertical="center"/>
    </xf>
    <xf numFmtId="0" fontId="4" fillId="0" borderId="0" xfId="0" applyFont="1" applyBorder="1" applyAlignment="1">
      <alignment horizontal="center" vertical="center"/>
    </xf>
    <xf numFmtId="1" fontId="4" fillId="0" borderId="17" xfId="0" applyNumberFormat="1" applyFont="1" applyBorder="1" applyAlignment="1">
      <alignment horizontal="center" vertical="center"/>
    </xf>
    <xf numFmtId="1" fontId="4" fillId="0" borderId="14" xfId="0" applyNumberFormat="1" applyFont="1" applyBorder="1" applyAlignment="1">
      <alignment horizontal="center" vertical="center"/>
    </xf>
    <xf numFmtId="1" fontId="4" fillId="0" borderId="22" xfId="0" applyNumberFormat="1" applyFont="1" applyBorder="1" applyAlignment="1">
      <alignment horizontal="center" vertical="center"/>
    </xf>
    <xf numFmtId="1" fontId="4" fillId="0" borderId="16" xfId="0" applyNumberFormat="1" applyFont="1" applyBorder="1" applyAlignment="1">
      <alignment horizontal="center" vertical="center"/>
    </xf>
    <xf numFmtId="2" fontId="4" fillId="0" borderId="14" xfId="0" applyNumberFormat="1" applyFont="1" applyBorder="1" applyAlignment="1">
      <alignment horizontal="center" vertical="center"/>
    </xf>
    <xf numFmtId="2" fontId="9" fillId="0" borderId="14" xfId="0" applyNumberFormat="1" applyFont="1" applyBorder="1" applyAlignment="1">
      <alignment horizontal="center" vertical="center"/>
    </xf>
    <xf numFmtId="0" fontId="9" fillId="0" borderId="0" xfId="0" applyFont="1" applyAlignment="1">
      <alignment horizontal="right" vertical="center"/>
    </xf>
    <xf numFmtId="0" fontId="55" fillId="0" borderId="16" xfId="0" applyFont="1" applyBorder="1" applyAlignment="1">
      <alignment horizontal="center" vertical="center"/>
    </xf>
    <xf numFmtId="0" fontId="3" fillId="0" borderId="18" xfId="0" applyFont="1" applyBorder="1" applyAlignment="1">
      <alignment horizontal="center" vertical="center"/>
    </xf>
    <xf numFmtId="0" fontId="0" fillId="0" borderId="12" xfId="0" applyBorder="1" applyAlignment="1">
      <alignment horizontal="center" vertical="center"/>
    </xf>
    <xf numFmtId="0" fontId="3" fillId="0" borderId="0" xfId="0" applyFont="1" applyBorder="1" applyAlignment="1">
      <alignment horizontal="left"/>
    </xf>
    <xf numFmtId="0" fontId="55" fillId="0" borderId="10" xfId="0" applyFont="1" applyBorder="1" applyAlignment="1">
      <alignment horizontal="center" vertical="center"/>
    </xf>
    <xf numFmtId="0" fontId="1" fillId="0" borderId="21" xfId="0" applyFont="1" applyBorder="1" applyAlignment="1">
      <alignment horizontal="center" vertical="center"/>
    </xf>
    <xf numFmtId="0" fontId="1" fillId="0" borderId="17" xfId="0" applyFont="1" applyBorder="1" applyAlignment="1">
      <alignment horizontal="center" vertical="center"/>
    </xf>
    <xf numFmtId="0" fontId="1" fillId="0" borderId="14" xfId="0" applyFont="1" applyBorder="1" applyAlignment="1">
      <alignment horizontal="center" vertical="center"/>
    </xf>
    <xf numFmtId="0" fontId="9" fillId="0" borderId="0" xfId="0" applyFont="1" applyAlignment="1">
      <alignment horizontal="right"/>
    </xf>
    <xf numFmtId="0" fontId="100" fillId="0" borderId="0" xfId="0" applyFont="1" applyBorder="1" applyAlignment="1">
      <alignment horizontal="right"/>
    </xf>
    <xf numFmtId="0" fontId="100" fillId="0" borderId="0" xfId="0" applyFont="1" applyAlignment="1">
      <alignment horizontal="right"/>
    </xf>
    <xf numFmtId="0" fontId="100" fillId="0" borderId="0" xfId="0" applyFont="1" applyAlignment="1"/>
    <xf numFmtId="0" fontId="100" fillId="0" borderId="0" xfId="0" applyFont="1"/>
    <xf numFmtId="0" fontId="9" fillId="0" borderId="0" xfId="0" applyFont="1" applyBorder="1" applyAlignment="1">
      <alignment vertical="center"/>
    </xf>
    <xf numFmtId="0" fontId="55" fillId="0" borderId="0" xfId="0" applyFont="1" applyAlignment="1" applyProtection="1">
      <alignment horizontal="center"/>
      <protection locked="0"/>
    </xf>
    <xf numFmtId="0" fontId="4" fillId="0" borderId="12"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55" fillId="0" borderId="12" xfId="0" applyFont="1" applyBorder="1" applyAlignment="1" applyProtection="1">
      <alignment horizontal="center" vertical="center"/>
      <protection locked="0"/>
    </xf>
    <xf numFmtId="0" fontId="0" fillId="0" borderId="12" xfId="0" quotePrefix="1" applyBorder="1" applyAlignment="1" applyProtection="1">
      <alignment horizontal="center" vertical="center"/>
      <protection locked="0"/>
    </xf>
    <xf numFmtId="0" fontId="4" fillId="0" borderId="12" xfId="0" quotePrefix="1" applyFont="1" applyBorder="1" applyAlignment="1" applyProtection="1">
      <alignment horizontal="center" vertical="center"/>
      <protection locked="0"/>
    </xf>
    <xf numFmtId="0" fontId="55" fillId="0" borderId="12" xfId="0" applyFont="1" applyBorder="1" applyAlignment="1" applyProtection="1">
      <alignment horizontal="center" vertical="center"/>
    </xf>
    <xf numFmtId="0" fontId="1" fillId="0" borderId="10" xfId="0" applyFont="1" applyBorder="1" applyAlignment="1">
      <alignment horizontal="center" vertical="top"/>
    </xf>
    <xf numFmtId="0" fontId="1" fillId="0" borderId="11"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1" xfId="0" quotePrefix="1" applyFont="1" applyFill="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vertical="top"/>
    </xf>
    <xf numFmtId="0" fontId="1" fillId="0" borderId="0" xfId="0" applyFont="1" applyBorder="1" applyAlignment="1">
      <alignment horizontal="left" vertical="center"/>
    </xf>
    <xf numFmtId="0" fontId="1" fillId="0" borderId="14" xfId="0" applyFont="1" applyBorder="1" applyAlignment="1">
      <alignment horizontal="left" vertical="center"/>
    </xf>
    <xf numFmtId="0" fontId="0" fillId="0" borderId="0" xfId="0" applyBorder="1" applyAlignment="1">
      <alignment vertical="center"/>
    </xf>
    <xf numFmtId="0" fontId="1" fillId="0" borderId="0" xfId="0" applyFont="1" applyBorder="1" applyAlignment="1">
      <alignment horizontal="left" vertical="center" wrapText="1"/>
    </xf>
    <xf numFmtId="0" fontId="1" fillId="0" borderId="14" xfId="0" applyFont="1" applyBorder="1" applyAlignment="1">
      <alignment horizontal="left" vertical="center" wrapText="1"/>
    </xf>
    <xf numFmtId="0" fontId="1" fillId="0" borderId="0" xfId="0" applyFont="1" applyAlignment="1">
      <alignment vertical="top" wrapText="1"/>
    </xf>
    <xf numFmtId="0" fontId="1" fillId="0" borderId="0" xfId="0" applyFont="1" applyBorder="1" applyAlignment="1">
      <alignment wrapText="1"/>
    </xf>
    <xf numFmtId="0" fontId="1" fillId="0" borderId="0" xfId="0" applyFont="1" applyAlignment="1">
      <alignment horizontal="center"/>
    </xf>
    <xf numFmtId="0" fontId="1" fillId="0" borderId="0" xfId="0" applyFont="1" applyAlignment="1"/>
    <xf numFmtId="0" fontId="0" fillId="0" borderId="12" xfId="0" applyBorder="1" applyAlignment="1">
      <alignment horizontal="center" vertical="center"/>
    </xf>
    <xf numFmtId="0" fontId="55" fillId="0" borderId="17" xfId="0" applyFont="1" applyBorder="1" applyAlignment="1" applyProtection="1">
      <alignment horizontal="center"/>
      <protection locked="0"/>
    </xf>
    <xf numFmtId="0" fontId="0" fillId="0" borderId="22" xfId="0" applyBorder="1" applyAlignment="1" applyProtection="1">
      <alignment horizontal="center" vertical="center"/>
      <protection locked="0"/>
    </xf>
    <xf numFmtId="1" fontId="4" fillId="0" borderId="14" xfId="0" applyNumberFormat="1" applyFont="1" applyBorder="1" applyAlignment="1">
      <alignment horizontal="center" vertical="center"/>
    </xf>
    <xf numFmtId="0" fontId="1" fillId="0" borderId="14" xfId="0" applyFont="1" applyBorder="1" applyAlignment="1">
      <alignment horizontal="center" vertical="center"/>
    </xf>
    <xf numFmtId="0" fontId="9" fillId="0" borderId="0" xfId="0" applyFont="1" applyAlignment="1">
      <alignment horizontal="right"/>
    </xf>
    <xf numFmtId="0" fontId="3" fillId="0" borderId="14" xfId="0" applyFont="1" applyBorder="1" applyAlignment="1">
      <alignment horizontal="center" vertical="center"/>
    </xf>
    <xf numFmtId="0" fontId="1" fillId="0" borderId="14" xfId="0" applyFont="1" applyBorder="1" applyAlignment="1">
      <alignment horizontal="center" vertical="center"/>
    </xf>
    <xf numFmtId="0" fontId="0" fillId="0" borderId="13" xfId="0" quotePrefix="1" applyBorder="1" applyAlignment="1" applyProtection="1">
      <alignment horizontal="center" vertical="center"/>
      <protection locked="0"/>
    </xf>
    <xf numFmtId="0" fontId="55" fillId="0" borderId="17" xfId="0" applyFont="1" applyBorder="1" applyProtection="1">
      <protection locked="0"/>
    </xf>
    <xf numFmtId="0" fontId="1" fillId="0" borderId="17"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0" xfId="0" applyFont="1" applyBorder="1" applyAlignment="1" applyProtection="1">
      <alignment horizontal="center"/>
      <protection locked="0"/>
    </xf>
    <xf numFmtId="0" fontId="15" fillId="0" borderId="0" xfId="0" applyFont="1" applyAlignment="1">
      <alignment horizontal="center"/>
    </xf>
    <xf numFmtId="0" fontId="81" fillId="0" borderId="0" xfId="0" applyFont="1" applyAlignment="1">
      <alignment horizontal="center"/>
    </xf>
    <xf numFmtId="0" fontId="14" fillId="0" borderId="0" xfId="0" applyFont="1" applyAlignment="1">
      <alignment horizontal="center"/>
    </xf>
    <xf numFmtId="0" fontId="35" fillId="0" borderId="0" xfId="0" applyFont="1" applyAlignment="1">
      <alignment horizontal="center"/>
    </xf>
    <xf numFmtId="0" fontId="82" fillId="0" borderId="0" xfId="0" applyFont="1" applyAlignment="1">
      <alignment horizontal="center"/>
    </xf>
    <xf numFmtId="0" fontId="42" fillId="0" borderId="0" xfId="0" applyFont="1" applyAlignment="1">
      <alignment horizontal="center"/>
    </xf>
    <xf numFmtId="0" fontId="43" fillId="0" borderId="0" xfId="0" applyFont="1" applyAlignment="1">
      <alignment horizontal="center"/>
    </xf>
    <xf numFmtId="0" fontId="44" fillId="0" borderId="0" xfId="0" applyFont="1" applyAlignment="1">
      <alignment horizontal="center"/>
    </xf>
    <xf numFmtId="0" fontId="36" fillId="0" borderId="0" xfId="0" applyFont="1" applyAlignment="1">
      <alignment horizontal="center" vertical="top"/>
    </xf>
    <xf numFmtId="0" fontId="40" fillId="0" borderId="0" xfId="0" applyFont="1" applyAlignment="1">
      <alignment horizontal="center"/>
    </xf>
    <xf numFmtId="0" fontId="58" fillId="0" borderId="0" xfId="0" applyFont="1" applyAlignment="1">
      <alignment horizontal="justify" vertical="justify" wrapText="1"/>
    </xf>
    <xf numFmtId="0" fontId="59" fillId="0" borderId="0" xfId="0" applyFont="1" applyAlignment="1">
      <alignment horizontal="justify" vertical="justify" wrapText="1"/>
    </xf>
    <xf numFmtId="0" fontId="60" fillId="0" borderId="0" xfId="0" applyFont="1" applyAlignment="1">
      <alignment wrapText="1"/>
    </xf>
    <xf numFmtId="0" fontId="0" fillId="0" borderId="0" xfId="0" applyAlignment="1">
      <alignment wrapText="1"/>
    </xf>
    <xf numFmtId="0" fontId="79" fillId="0" borderId="0" xfId="0" applyFont="1" applyAlignment="1">
      <alignment horizontal="left"/>
    </xf>
    <xf numFmtId="0" fontId="49" fillId="0" borderId="10" xfId="0" applyFont="1" applyBorder="1" applyAlignment="1">
      <alignment horizontal="center"/>
    </xf>
    <xf numFmtId="0" fontId="50" fillId="0" borderId="10" xfId="0" applyFont="1" applyBorder="1" applyAlignment="1">
      <alignment horizontal="center"/>
    </xf>
    <xf numFmtId="0" fontId="47" fillId="0" borderId="0" xfId="0" applyFont="1" applyAlignment="1">
      <alignment horizontal="center" vertical="top"/>
    </xf>
    <xf numFmtId="0" fontId="47" fillId="0" borderId="10" xfId="0" applyFont="1" applyBorder="1" applyAlignment="1">
      <alignment horizontal="center" vertical="top"/>
    </xf>
    <xf numFmtId="0" fontId="0" fillId="0" borderId="0" xfId="0" applyAlignment="1">
      <alignment horizontal="center"/>
    </xf>
    <xf numFmtId="0" fontId="55" fillId="0" borderId="17" xfId="0" applyFont="1" applyBorder="1" applyAlignment="1">
      <alignment horizontal="center" vertical="center"/>
    </xf>
    <xf numFmtId="0" fontId="55" fillId="0" borderId="14" xfId="0" applyFont="1" applyBorder="1" applyAlignment="1">
      <alignment horizontal="center" vertical="center"/>
    </xf>
    <xf numFmtId="0" fontId="55" fillId="0" borderId="22" xfId="0" applyFont="1" applyBorder="1" applyAlignment="1">
      <alignment horizontal="center" vertical="center"/>
    </xf>
    <xf numFmtId="0" fontId="55" fillId="0" borderId="16" xfId="0" applyFont="1" applyBorder="1" applyAlignment="1">
      <alignment horizontal="center" vertical="center"/>
    </xf>
    <xf numFmtId="0" fontId="3" fillId="0" borderId="22"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Border="1" applyAlignment="1">
      <alignment horizontal="center"/>
    </xf>
    <xf numFmtId="0" fontId="4" fillId="0" borderId="24"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85" fillId="0" borderId="0" xfId="0" applyFont="1" applyBorder="1" applyAlignment="1">
      <alignment horizontal="center"/>
    </xf>
    <xf numFmtId="0" fontId="4" fillId="0" borderId="17" xfId="0" quotePrefix="1" applyFont="1" applyBorder="1" applyAlignment="1">
      <alignment horizontal="center" vertical="center"/>
    </xf>
    <xf numFmtId="0" fontId="4" fillId="0" borderId="14" xfId="0" quotePrefix="1" applyFont="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19" xfId="0" quotePrefix="1" applyFont="1" applyBorder="1" applyAlignment="1">
      <alignment horizontal="center" vertical="center"/>
    </xf>
    <xf numFmtId="0" fontId="4" fillId="0" borderId="18" xfId="0" quotePrefix="1" applyFont="1" applyBorder="1" applyAlignment="1">
      <alignment horizontal="center" vertical="center"/>
    </xf>
    <xf numFmtId="0" fontId="3" fillId="0" borderId="0" xfId="0" applyFont="1" applyBorder="1" applyAlignment="1">
      <alignment horizontal="center" vertical="center"/>
    </xf>
    <xf numFmtId="0" fontId="4" fillId="0" borderId="15" xfId="0" applyFont="1" applyBorder="1" applyAlignment="1">
      <alignment horizontal="center" vertical="center" wrapText="1"/>
    </xf>
    <xf numFmtId="0" fontId="4" fillId="0" borderId="13" xfId="0" applyFont="1" applyBorder="1" applyAlignment="1">
      <alignment horizontal="center" vertical="center" wrapText="1"/>
    </xf>
    <xf numFmtId="0" fontId="85" fillId="0" borderId="0" xfId="0" applyFont="1" applyBorder="1" applyAlignment="1">
      <alignment horizontal="center" vertical="top"/>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85" fillId="0" borderId="0" xfId="0" applyFont="1" applyAlignment="1">
      <alignment horizontal="center"/>
    </xf>
    <xf numFmtId="0" fontId="4" fillId="0" borderId="23" xfId="0" applyFont="1" applyBorder="1" applyAlignment="1">
      <alignment horizontal="center" vertical="center"/>
    </xf>
    <xf numFmtId="0" fontId="85" fillId="0" borderId="0" xfId="0" applyFont="1" applyAlignment="1">
      <alignment horizontal="center" vertical="top" wrapText="1"/>
    </xf>
    <xf numFmtId="0" fontId="4" fillId="0" borderId="12" xfId="0" applyFont="1" applyBorder="1" applyAlignment="1">
      <alignment horizontal="center" vertical="center"/>
    </xf>
    <xf numFmtId="0" fontId="7" fillId="0" borderId="12" xfId="0" applyFont="1" applyBorder="1" applyAlignment="1">
      <alignment horizontal="center" vertical="center"/>
    </xf>
    <xf numFmtId="0" fontId="3" fillId="0" borderId="12" xfId="0" applyFont="1" applyBorder="1" applyAlignment="1">
      <alignment vertical="top" wrapText="1"/>
    </xf>
    <xf numFmtId="0" fontId="4" fillId="0" borderId="12" xfId="0" applyFont="1" applyBorder="1" applyAlignment="1">
      <alignment vertical="top"/>
    </xf>
    <xf numFmtId="0" fontId="4" fillId="0" borderId="12" xfId="0" applyFont="1" applyBorder="1" applyAlignment="1">
      <alignment horizontal="left" vertical="center"/>
    </xf>
    <xf numFmtId="0" fontId="4" fillId="0" borderId="15" xfId="0" applyFont="1" applyFill="1" applyBorder="1" applyAlignment="1">
      <alignment horizontal="center" vertical="center" wrapText="1"/>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15" xfId="0" applyFont="1" applyBorder="1" applyAlignment="1">
      <alignment vertical="top" wrapText="1"/>
    </xf>
    <xf numFmtId="0" fontId="4" fillId="0" borderId="12" xfId="0" applyFont="1" applyBorder="1" applyAlignment="1">
      <alignment vertical="top" wrapText="1"/>
    </xf>
    <xf numFmtId="0" fontId="4" fillId="0" borderId="12" xfId="0" applyFont="1" applyBorder="1" applyAlignment="1">
      <alignment horizontal="left" vertical="center" wrapText="1"/>
    </xf>
    <xf numFmtId="0" fontId="3" fillId="0" borderId="12" xfId="0" applyFont="1" applyBorder="1" applyAlignment="1">
      <alignment vertical="center" wrapText="1"/>
    </xf>
    <xf numFmtId="0" fontId="3" fillId="0" borderId="12" xfId="0" applyFont="1" applyBorder="1" applyAlignment="1">
      <alignment horizontal="left" vertical="center" wrapText="1"/>
    </xf>
    <xf numFmtId="0" fontId="55" fillId="0" borderId="12" xfId="0" applyFont="1" applyBorder="1" applyAlignment="1">
      <alignment vertical="center" wrapText="1"/>
    </xf>
    <xf numFmtId="0" fontId="4" fillId="0" borderId="12" xfId="0" applyFont="1" applyBorder="1" applyAlignment="1">
      <alignment vertical="center"/>
    </xf>
    <xf numFmtId="0" fontId="7" fillId="0" borderId="12" xfId="0" applyFont="1" applyBorder="1" applyAlignment="1">
      <alignment vertical="center"/>
    </xf>
    <xf numFmtId="0" fontId="6" fillId="0" borderId="10" xfId="0" applyFont="1" applyBorder="1" applyAlignment="1" applyProtection="1">
      <alignment horizontal="center"/>
    </xf>
    <xf numFmtId="0" fontId="4" fillId="0" borderId="10" xfId="0" applyFont="1" applyBorder="1" applyAlignment="1">
      <alignment horizontal="center" vertical="center"/>
    </xf>
    <xf numFmtId="0" fontId="7" fillId="0" borderId="15" xfId="0" applyFont="1" applyBorder="1" applyAlignment="1">
      <alignment horizontal="center" vertical="center" wrapText="1"/>
    </xf>
    <xf numFmtId="0" fontId="7" fillId="0" borderId="13" xfId="0" applyFont="1" applyBorder="1" applyAlignment="1">
      <alignment horizontal="center" vertical="center" wrapText="1"/>
    </xf>
    <xf numFmtId="0" fontId="4" fillId="0" borderId="19" xfId="0" applyFont="1" applyBorder="1" applyAlignment="1">
      <alignment horizontal="center" vertical="center" wrapText="1" shrinkToFit="1"/>
    </xf>
    <xf numFmtId="0" fontId="4" fillId="0" borderId="18" xfId="0" applyFont="1" applyBorder="1" applyAlignment="1">
      <alignment horizontal="center" vertical="center" shrinkToFit="1"/>
    </xf>
    <xf numFmtId="0" fontId="55" fillId="0" borderId="12" xfId="0" applyFont="1" applyBorder="1" applyAlignment="1">
      <alignment horizontal="center" vertical="center"/>
    </xf>
    <xf numFmtId="0" fontId="55" fillId="0" borderId="0" xfId="0" applyFont="1" applyAlignment="1"/>
    <xf numFmtId="0" fontId="85" fillId="0" borderId="0" xfId="0" applyFont="1" applyBorder="1" applyAlignment="1">
      <alignment horizontal="center" vertical="center" wrapText="1"/>
    </xf>
    <xf numFmtId="0" fontId="86" fillId="0" borderId="0" xfId="0" applyFont="1" applyAlignment="1"/>
    <xf numFmtId="0" fontId="85" fillId="0" borderId="0" xfId="0" applyFont="1" applyAlignment="1">
      <alignment horizontal="center" vertical="center" shrinkToFit="1"/>
    </xf>
    <xf numFmtId="0" fontId="4" fillId="0" borderId="12" xfId="0" applyFont="1" applyBorder="1" applyAlignment="1">
      <alignment horizontal="center" vertical="center" wrapText="1"/>
    </xf>
    <xf numFmtId="0" fontId="85" fillId="0" borderId="10" xfId="0"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9" fillId="0" borderId="20" xfId="0" applyFont="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Border="1" applyAlignment="1">
      <alignment horizontal="right" vertical="top"/>
    </xf>
    <xf numFmtId="0" fontId="4" fillId="0" borderId="20" xfId="0" applyFont="1" applyBorder="1" applyAlignment="1">
      <alignment horizontal="center" vertical="center" wrapText="1"/>
    </xf>
    <xf numFmtId="0" fontId="4" fillId="0" borderId="0" xfId="0" applyFont="1" applyAlignment="1">
      <alignment horizontal="center" vertical="center" wrapText="1"/>
    </xf>
    <xf numFmtId="0" fontId="4" fillId="0" borderId="10" xfId="0" applyFont="1" applyBorder="1" applyAlignment="1">
      <alignment horizontal="center" vertical="center" wrapText="1"/>
    </xf>
    <xf numFmtId="0" fontId="4" fillId="0" borderId="15" xfId="0" applyFont="1" applyBorder="1" applyAlignment="1">
      <alignment horizontal="center" vertical="top" wrapText="1"/>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4" fillId="0" borderId="24"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4" fillId="0" borderId="10" xfId="0" applyFont="1" applyBorder="1" applyAlignment="1">
      <alignment horizontal="center"/>
    </xf>
    <xf numFmtId="0" fontId="4" fillId="0" borderId="16" xfId="0" applyFont="1" applyBorder="1" applyAlignment="1">
      <alignment horizontal="center"/>
    </xf>
    <xf numFmtId="0" fontId="55" fillId="0" borderId="24" xfId="0" applyFont="1" applyBorder="1" applyAlignment="1">
      <alignment horizontal="center"/>
    </xf>
    <xf numFmtId="0" fontId="55" fillId="0" borderId="18" xfId="0" applyFont="1" applyBorder="1" applyAlignment="1">
      <alignment horizontal="center"/>
    </xf>
    <xf numFmtId="0" fontId="55" fillId="0" borderId="19" xfId="0" applyFont="1" applyBorder="1" applyAlignment="1">
      <alignment horizontal="center"/>
    </xf>
    <xf numFmtId="0" fontId="9" fillId="0" borderId="20" xfId="0" applyFont="1" applyBorder="1" applyAlignment="1">
      <alignment horizontal="right" vertical="center"/>
    </xf>
    <xf numFmtId="0" fontId="4" fillId="0" borderId="19" xfId="0" applyFont="1" applyBorder="1" applyAlignment="1">
      <alignment horizontal="center" vertical="center" wrapText="1"/>
    </xf>
    <xf numFmtId="0" fontId="4" fillId="0" borderId="18" xfId="0" applyFont="1" applyBorder="1" applyAlignment="1">
      <alignment horizontal="center" vertical="center" wrapText="1"/>
    </xf>
    <xf numFmtId="0" fontId="85" fillId="0" borderId="0" xfId="0" applyFont="1" applyAlignment="1">
      <alignment horizontal="center" vertical="center" wrapText="1"/>
    </xf>
    <xf numFmtId="0" fontId="9" fillId="0" borderId="0" xfId="0" applyFont="1" applyAlignment="1">
      <alignment horizontal="right" vertical="center"/>
    </xf>
    <xf numFmtId="0" fontId="4" fillId="0" borderId="16" xfId="0" applyFont="1" applyBorder="1" applyAlignment="1">
      <alignment horizontal="center" vertical="center"/>
    </xf>
    <xf numFmtId="0" fontId="85" fillId="0" borderId="0" xfId="0" applyFont="1" applyAlignment="1">
      <alignment horizontal="center" vertical="center"/>
    </xf>
    <xf numFmtId="0" fontId="4" fillId="0" borderId="24" xfId="0" quotePrefix="1" applyFont="1" applyBorder="1" applyAlignment="1">
      <alignment horizontal="center" vertical="center"/>
    </xf>
    <xf numFmtId="0" fontId="9" fillId="0" borderId="0" xfId="0" applyFont="1" applyBorder="1" applyAlignment="1">
      <alignment horizontal="right"/>
    </xf>
    <xf numFmtId="0" fontId="4" fillId="0" borderId="17" xfId="0" applyFont="1" applyBorder="1" applyAlignment="1">
      <alignment horizontal="right" vertical="center"/>
    </xf>
    <xf numFmtId="0" fontId="4" fillId="0" borderId="0" xfId="0" applyFont="1" applyBorder="1" applyAlignment="1">
      <alignment horizontal="right" vertical="center"/>
    </xf>
    <xf numFmtId="0" fontId="55" fillId="0" borderId="0" xfId="0" applyFont="1" applyBorder="1" applyAlignment="1">
      <alignment horizontal="center" vertical="center"/>
    </xf>
    <xf numFmtId="0" fontId="3" fillId="0" borderId="17" xfId="0" applyFont="1" applyBorder="1" applyAlignment="1">
      <alignment horizontal="center" vertical="center"/>
    </xf>
    <xf numFmtId="0" fontId="4" fillId="0" borderId="23" xfId="0" applyFont="1" applyBorder="1" applyAlignment="1">
      <alignment horizontal="center" vertical="center" wrapText="1"/>
    </xf>
    <xf numFmtId="0" fontId="4" fillId="0" borderId="22" xfId="0" applyFont="1" applyBorder="1" applyAlignment="1">
      <alignment horizontal="center" vertical="center" wrapText="1"/>
    </xf>
    <xf numFmtId="0" fontId="3" fillId="0" borderId="0" xfId="0" applyFont="1" applyBorder="1" applyAlignment="1">
      <alignment horizontal="center" wrapText="1"/>
    </xf>
    <xf numFmtId="0" fontId="4" fillId="0" borderId="17" xfId="0" applyFont="1" applyBorder="1" applyAlignment="1">
      <alignment horizontal="center" vertical="center" wrapText="1"/>
    </xf>
    <xf numFmtId="0" fontId="4" fillId="0" borderId="0" xfId="0" applyFont="1" applyBorder="1" applyAlignment="1">
      <alignment horizontal="center" vertical="center" wrapText="1"/>
    </xf>
    <xf numFmtId="0" fontId="85" fillId="0" borderId="0" xfId="0" applyFont="1" applyBorder="1" applyAlignment="1">
      <alignment horizontal="center" wrapText="1"/>
    </xf>
    <xf numFmtId="0" fontId="3" fillId="0" borderId="10" xfId="0" applyFont="1" applyBorder="1" applyAlignment="1">
      <alignment horizontal="center" vertical="center"/>
    </xf>
    <xf numFmtId="0" fontId="57" fillId="0" borderId="23"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1" xfId="0" applyFont="1" applyBorder="1" applyAlignment="1">
      <alignment horizontal="center" vertical="center" wrapText="1"/>
    </xf>
    <xf numFmtId="0" fontId="57" fillId="0" borderId="1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14"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10" xfId="0" applyFont="1" applyBorder="1" applyAlignment="1">
      <alignment horizontal="center" vertical="center" wrapText="1"/>
    </xf>
    <xf numFmtId="0" fontId="57" fillId="0" borderId="16" xfId="0" applyFont="1" applyBorder="1" applyAlignment="1">
      <alignment horizontal="center" vertical="center" wrapText="1"/>
    </xf>
    <xf numFmtId="0" fontId="9" fillId="0" borderId="20" xfId="0" applyFont="1" applyBorder="1" applyAlignment="1">
      <alignment horizontal="right"/>
    </xf>
    <xf numFmtId="0" fontId="85" fillId="0" borderId="0" xfId="0" applyFont="1" applyBorder="1" applyAlignment="1">
      <alignment horizontal="center" vertical="top" wrapText="1"/>
    </xf>
    <xf numFmtId="0" fontId="4" fillId="0" borderId="17" xfId="0" applyFont="1" applyBorder="1" applyAlignment="1">
      <alignment horizontal="center" vertical="center"/>
    </xf>
    <xf numFmtId="3" fontId="4" fillId="0" borderId="19" xfId="0" applyNumberFormat="1" applyFont="1" applyBorder="1" applyAlignment="1">
      <alignment horizontal="center" vertical="center"/>
    </xf>
    <xf numFmtId="3" fontId="4" fillId="0" borderId="24" xfId="0" applyNumberFormat="1" applyFont="1" applyBorder="1" applyAlignment="1">
      <alignment horizontal="center" vertical="center"/>
    </xf>
    <xf numFmtId="3" fontId="4" fillId="0" borderId="18" xfId="0" applyNumberFormat="1" applyFont="1" applyBorder="1" applyAlignment="1">
      <alignment horizontal="center" vertical="center"/>
    </xf>
    <xf numFmtId="0" fontId="85" fillId="0" borderId="0" xfId="0" applyFont="1" applyBorder="1" applyAlignment="1">
      <alignment horizontal="center" vertical="center"/>
    </xf>
    <xf numFmtId="0" fontId="4" fillId="0" borderId="24" xfId="0" applyFont="1" applyBorder="1" applyAlignment="1">
      <alignment vertical="center"/>
    </xf>
    <xf numFmtId="0" fontId="4" fillId="0" borderId="18" xfId="0" applyFont="1" applyBorder="1" applyAlignment="1">
      <alignment vertical="center"/>
    </xf>
    <xf numFmtId="0" fontId="55" fillId="0" borderId="12" xfId="0" applyFont="1" applyBorder="1" applyAlignment="1" applyProtection="1">
      <alignment horizontal="center" vertical="center"/>
      <protection locked="0"/>
    </xf>
    <xf numFmtId="0" fontId="4" fillId="0" borderId="12"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0" xfId="0" applyFont="1" applyBorder="1" applyAlignment="1" applyProtection="1">
      <alignment horizontal="center" vertical="center"/>
      <protection locked="0"/>
    </xf>
    <xf numFmtId="0" fontId="4" fillId="0" borderId="15"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55" fillId="0" borderId="0" xfId="0" applyFont="1" applyAlignment="1" applyProtection="1">
      <alignment horizontal="center"/>
      <protection locked="0"/>
    </xf>
    <xf numFmtId="0" fontId="3" fillId="0" borderId="0" xfId="0" applyFont="1" applyBorder="1" applyAlignment="1" applyProtection="1">
      <alignment horizontal="center"/>
      <protection locked="0"/>
    </xf>
    <xf numFmtId="0" fontId="85" fillId="0" borderId="0" xfId="0" applyFont="1" applyBorder="1" applyAlignment="1" applyProtection="1">
      <alignment horizontal="center" vertical="top" wrapText="1"/>
      <protection locked="0"/>
    </xf>
    <xf numFmtId="0" fontId="4" fillId="0" borderId="12" xfId="0" applyFont="1" applyBorder="1" applyAlignment="1" applyProtection="1">
      <alignment horizontal="center" vertical="center"/>
      <protection locked="0"/>
    </xf>
    <xf numFmtId="0" fontId="4" fillId="0" borderId="19"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shrinkToFit="1"/>
      <protection locked="0"/>
    </xf>
    <xf numFmtId="0" fontId="7" fillId="0" borderId="24" xfId="0" applyFont="1" applyBorder="1" applyAlignment="1" applyProtection="1">
      <alignment horizontal="center" vertical="center" shrinkToFit="1"/>
      <protection locked="0"/>
    </xf>
    <xf numFmtId="0" fontId="7" fillId="0" borderId="18" xfId="0" applyFont="1" applyBorder="1" applyAlignment="1" applyProtection="1">
      <alignment horizontal="center" vertical="center" shrinkToFit="1"/>
      <protection locked="0"/>
    </xf>
    <xf numFmtId="0" fontId="3" fillId="0" borderId="22"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85" fillId="0" borderId="0" xfId="0" applyFont="1" applyBorder="1" applyAlignment="1" applyProtection="1">
      <alignment horizontal="center" vertical="center" wrapText="1"/>
      <protection locked="0"/>
    </xf>
    <xf numFmtId="0" fontId="3" fillId="0" borderId="19" xfId="0" applyFont="1" applyBorder="1" applyAlignment="1">
      <alignment horizontal="center" vertical="center"/>
    </xf>
    <xf numFmtId="0" fontId="3" fillId="0" borderId="24" xfId="0" applyFont="1" applyBorder="1" applyAlignment="1">
      <alignment horizontal="center" vertical="center"/>
    </xf>
    <xf numFmtId="0" fontId="3" fillId="0" borderId="18" xfId="0" applyFont="1" applyBorder="1" applyAlignment="1">
      <alignment horizontal="center" vertical="center"/>
    </xf>
    <xf numFmtId="0" fontId="0" fillId="0" borderId="12" xfId="0" applyBorder="1" applyAlignment="1">
      <alignment horizontal="center" vertical="center"/>
    </xf>
    <xf numFmtId="0" fontId="9" fillId="0" borderId="0" xfId="0" applyFont="1" applyAlignment="1" applyProtection="1">
      <alignment horizontal="left" vertical="top" wrapText="1"/>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9" fillId="0" borderId="0" xfId="0" applyFont="1" applyAlignment="1" applyProtection="1">
      <alignment vertical="top" wrapText="1"/>
      <protection locked="0"/>
    </xf>
    <xf numFmtId="0" fontId="9" fillId="0" borderId="0" xfId="0" applyFont="1" applyAlignment="1">
      <alignment wrapText="1"/>
    </xf>
    <xf numFmtId="0" fontId="4" fillId="0" borderId="22"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4" xfId="0" applyFont="1" applyBorder="1" applyAlignment="1">
      <alignment horizontal="center" vertical="center"/>
    </xf>
    <xf numFmtId="0" fontId="4" fillId="0" borderId="22" xfId="0" applyFont="1" applyBorder="1" applyAlignment="1">
      <alignment horizontal="center" vertical="center"/>
    </xf>
    <xf numFmtId="0" fontId="4" fillId="0" borderId="0" xfId="0" quotePrefix="1" applyFont="1" applyBorder="1" applyAlignment="1">
      <alignment horizontal="center" vertical="center"/>
    </xf>
    <xf numFmtId="0" fontId="41" fillId="0" borderId="0" xfId="0" applyFont="1" applyBorder="1" applyAlignment="1" applyProtection="1">
      <alignment horizontal="center" vertical="center"/>
      <protection locked="0"/>
    </xf>
    <xf numFmtId="0" fontId="41" fillId="0" borderId="17" xfId="0" applyFont="1" applyBorder="1" applyAlignment="1" applyProtection="1">
      <alignment horizontal="center" vertical="center"/>
      <protection locked="0"/>
    </xf>
    <xf numFmtId="0" fontId="41" fillId="0" borderId="14"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10" xfId="0" applyFont="1" applyBorder="1" applyAlignment="1" applyProtection="1">
      <alignment horizontal="center" vertical="center"/>
      <protection locked="0"/>
    </xf>
    <xf numFmtId="0" fontId="41" fillId="0" borderId="23" xfId="0" applyFont="1" applyBorder="1" applyAlignment="1" applyProtection="1">
      <alignment horizontal="center" vertical="center"/>
      <protection locked="0"/>
    </xf>
    <xf numFmtId="0" fontId="41" fillId="0" borderId="21" xfId="0" applyFont="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55" fillId="0" borderId="23" xfId="0" applyFont="1" applyBorder="1" applyAlignment="1">
      <alignment horizontal="center" vertical="center"/>
    </xf>
    <xf numFmtId="0" fontId="55" fillId="0" borderId="21" xfId="0" applyFont="1" applyBorder="1" applyAlignment="1">
      <alignment horizontal="center" vertical="center"/>
    </xf>
    <xf numFmtId="0" fontId="4" fillId="0" borderId="23"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19" xfId="0" quotePrefix="1" applyFont="1" applyBorder="1" applyAlignment="1">
      <alignment horizontal="center" vertical="center" wrapText="1"/>
    </xf>
    <xf numFmtId="0" fontId="4" fillId="0" borderId="18" xfId="0" quotePrefix="1" applyFont="1" applyBorder="1" applyAlignment="1">
      <alignment horizontal="center" vertical="center" wrapText="1"/>
    </xf>
    <xf numFmtId="0" fontId="4" fillId="0" borderId="24" xfId="0" quotePrefix="1" applyFont="1" applyBorder="1" applyAlignment="1">
      <alignment horizontal="center" vertical="center" wrapText="1"/>
    </xf>
    <xf numFmtId="0" fontId="41" fillId="0" borderId="20" xfId="0" applyFont="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61" fillId="0" borderId="0" xfId="0" applyFont="1" applyAlignment="1" applyProtection="1">
      <alignment wrapText="1"/>
      <protection locked="0"/>
    </xf>
    <xf numFmtId="0" fontId="3" fillId="0" borderId="0" xfId="0" applyFont="1" applyBorder="1" applyAlignment="1">
      <alignment horizontal="left" vertical="top" wrapText="1"/>
    </xf>
    <xf numFmtId="0" fontId="3" fillId="0" borderId="14" xfId="0" applyFont="1" applyBorder="1" applyAlignment="1">
      <alignment horizontal="left" vertical="top" wrapText="1"/>
    </xf>
    <xf numFmtId="0" fontId="4" fillId="0" borderId="0" xfId="0" applyFont="1" applyBorder="1" applyAlignment="1">
      <alignment horizontal="left" vertical="top" wrapText="1"/>
    </xf>
    <xf numFmtId="0" fontId="4" fillId="0" borderId="14" xfId="0" applyFont="1" applyBorder="1" applyAlignment="1">
      <alignment horizontal="left" vertical="top" wrapText="1"/>
    </xf>
    <xf numFmtId="0" fontId="3" fillId="0" borderId="20" xfId="0" applyFont="1" applyBorder="1" applyAlignment="1">
      <alignment horizontal="left"/>
    </xf>
    <xf numFmtId="0" fontId="3" fillId="0" borderId="21" xfId="0" applyFont="1" applyBorder="1" applyAlignment="1">
      <alignment horizontal="left"/>
    </xf>
    <xf numFmtId="0" fontId="3" fillId="0" borderId="10" xfId="0" applyFont="1" applyBorder="1" applyAlignment="1">
      <alignment horizontal="left"/>
    </xf>
    <xf numFmtId="0" fontId="3" fillId="0" borderId="16" xfId="0" applyFont="1" applyBorder="1" applyAlignment="1">
      <alignment horizontal="left"/>
    </xf>
    <xf numFmtId="0" fontId="4" fillId="0" borderId="19" xfId="0" quotePrefix="1" applyFont="1" applyBorder="1" applyAlignment="1">
      <alignment horizontal="center"/>
    </xf>
    <xf numFmtId="0" fontId="4" fillId="0" borderId="24" xfId="0" quotePrefix="1" applyFont="1" applyBorder="1" applyAlignment="1">
      <alignment horizontal="center"/>
    </xf>
    <xf numFmtId="0" fontId="4" fillId="0" borderId="18" xfId="0" quotePrefix="1" applyFont="1" applyBorder="1" applyAlignment="1">
      <alignment horizontal="center"/>
    </xf>
    <xf numFmtId="0" fontId="3" fillId="0" borderId="0" xfId="0" applyFont="1" applyBorder="1" applyAlignment="1">
      <alignment horizontal="left" vertical="center" wrapText="1"/>
    </xf>
    <xf numFmtId="0" fontId="3" fillId="0" borderId="14" xfId="0" applyFont="1" applyBorder="1" applyAlignment="1">
      <alignment horizontal="left" vertical="center" wrapText="1"/>
    </xf>
    <xf numFmtId="0" fontId="3" fillId="0" borderId="10" xfId="0" applyFont="1" applyBorder="1" applyAlignment="1">
      <alignment horizontal="left" vertical="center" wrapText="1"/>
    </xf>
    <xf numFmtId="0" fontId="3" fillId="0" borderId="16" xfId="0" applyFont="1" applyBorder="1" applyAlignment="1">
      <alignment horizontal="left" vertical="center" wrapText="1"/>
    </xf>
    <xf numFmtId="0" fontId="3" fillId="0" borderId="0" xfId="0" applyFont="1" applyAlignment="1">
      <alignment horizontal="center"/>
    </xf>
    <xf numFmtId="0" fontId="55" fillId="0" borderId="19" xfId="0" quotePrefix="1" applyFont="1" applyBorder="1" applyAlignment="1">
      <alignment horizontal="center"/>
    </xf>
    <xf numFmtId="0" fontId="55" fillId="0" borderId="24" xfId="0" quotePrefix="1" applyFont="1" applyBorder="1" applyAlignment="1">
      <alignment horizontal="center"/>
    </xf>
    <xf numFmtId="0" fontId="55" fillId="0" borderId="18" xfId="0" quotePrefix="1" applyFont="1" applyBorder="1" applyAlignment="1">
      <alignment horizontal="center"/>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4" fillId="0" borderId="0"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top" wrapText="1"/>
    </xf>
    <xf numFmtId="0" fontId="4" fillId="0" borderId="22" xfId="0" applyFont="1" applyBorder="1" applyAlignment="1">
      <alignment horizontal="left" vertical="center"/>
    </xf>
    <xf numFmtId="0" fontId="4" fillId="0" borderId="10" xfId="0" applyFont="1" applyBorder="1" applyAlignment="1">
      <alignment horizontal="left" vertical="center"/>
    </xf>
    <xf numFmtId="0" fontId="4" fillId="0" borderId="16" xfId="0" applyFont="1" applyBorder="1" applyAlignment="1">
      <alignment horizontal="left" vertical="center"/>
    </xf>
    <xf numFmtId="0" fontId="4" fillId="0" borderId="0" xfId="0" applyFont="1" applyBorder="1" applyAlignment="1">
      <alignment horizontal="left" vertical="center" wrapText="1"/>
    </xf>
    <xf numFmtId="0" fontId="4" fillId="0" borderId="14" xfId="0" applyFont="1" applyBorder="1" applyAlignment="1">
      <alignment horizontal="left" vertical="center" wrapText="1"/>
    </xf>
    <xf numFmtId="0" fontId="4" fillId="0" borderId="20" xfId="0" applyFont="1" applyBorder="1" applyAlignment="1">
      <alignment vertical="center"/>
    </xf>
    <xf numFmtId="0" fontId="4" fillId="0" borderId="21" xfId="0" applyFont="1" applyBorder="1" applyAlignment="1">
      <alignmen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0"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10" xfId="0" applyFont="1" applyBorder="1" applyAlignment="1">
      <alignment horizontal="left" vertical="center"/>
    </xf>
    <xf numFmtId="0" fontId="3" fillId="0" borderId="16" xfId="0" applyFont="1" applyBorder="1" applyAlignment="1">
      <alignment horizontal="left" vertical="center"/>
    </xf>
    <xf numFmtId="0" fontId="3" fillId="0" borderId="0"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Border="1" applyAlignment="1">
      <alignment horizontal="left"/>
    </xf>
    <xf numFmtId="0" fontId="3" fillId="0" borderId="14" xfId="0" applyFont="1" applyBorder="1" applyAlignment="1">
      <alignment horizontal="left"/>
    </xf>
    <xf numFmtId="0" fontId="3" fillId="0" borderId="19" xfId="0" applyFont="1" applyBorder="1" applyAlignment="1">
      <alignment horizontal="center"/>
    </xf>
    <xf numFmtId="0" fontId="3" fillId="0" borderId="24" xfId="0" applyFont="1" applyBorder="1" applyAlignment="1">
      <alignment horizontal="center"/>
    </xf>
    <xf numFmtId="0" fontId="55" fillId="0" borderId="19" xfId="0" quotePrefix="1" applyFont="1" applyBorder="1" applyAlignment="1">
      <alignment horizontal="center" vertical="center"/>
    </xf>
    <xf numFmtId="0" fontId="55" fillId="0" borderId="24" xfId="0" quotePrefix="1" applyFont="1" applyBorder="1" applyAlignment="1">
      <alignment horizontal="center" vertical="center"/>
    </xf>
    <xf numFmtId="0" fontId="55" fillId="0" borderId="18" xfId="0" quotePrefix="1" applyFont="1" applyBorder="1" applyAlignment="1">
      <alignment horizontal="center" vertical="center"/>
    </xf>
    <xf numFmtId="0" fontId="3" fillId="0" borderId="0" xfId="0" applyFont="1" applyBorder="1" applyAlignment="1">
      <alignment horizontal="justify" vertical="top" wrapText="1"/>
    </xf>
    <xf numFmtId="0" fontId="3" fillId="0" borderId="14" xfId="0" applyFont="1" applyBorder="1" applyAlignment="1">
      <alignment horizontal="justify" vertical="top" wrapText="1"/>
    </xf>
    <xf numFmtId="0" fontId="86" fillId="0" borderId="10" xfId="0" applyFont="1" applyBorder="1" applyAlignment="1">
      <alignment horizontal="center"/>
    </xf>
    <xf numFmtId="0" fontId="3" fillId="0" borderId="18" xfId="0" applyFont="1" applyBorder="1" applyAlignment="1">
      <alignment horizontal="center"/>
    </xf>
    <xf numFmtId="0" fontId="4" fillId="0" borderId="20" xfId="0" applyFont="1" applyBorder="1" applyAlignment="1">
      <alignment horizontal="center"/>
    </xf>
    <xf numFmtId="0" fontId="4" fillId="0" borderId="24" xfId="0" applyFont="1" applyBorder="1" applyAlignment="1">
      <alignment horizontal="center" vertical="center" wrapText="1"/>
    </xf>
    <xf numFmtId="0" fontId="1" fillId="0" borderId="19" xfId="0" applyFont="1" applyBorder="1" applyAlignment="1">
      <alignment horizontal="center" vertical="center"/>
    </xf>
    <xf numFmtId="0" fontId="9" fillId="0" borderId="0" xfId="0" applyFont="1" applyAlignment="1" applyProtection="1">
      <alignment horizontal="left"/>
      <protection locked="0"/>
    </xf>
    <xf numFmtId="0" fontId="9" fillId="0" borderId="20"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55" fillId="0" borderId="24" xfId="0" applyFont="1" applyBorder="1" applyAlignment="1">
      <alignment horizontal="center" vertical="center"/>
    </xf>
    <xf numFmtId="0" fontId="55" fillId="0" borderId="18" xfId="0" applyFont="1" applyBorder="1" applyAlignment="1">
      <alignment horizontal="center" vertical="center"/>
    </xf>
    <xf numFmtId="0" fontId="9" fillId="0" borderId="20" xfId="0" applyFont="1" applyBorder="1" applyAlignment="1" applyProtection="1">
      <alignment horizontal="right"/>
      <protection locked="0"/>
    </xf>
    <xf numFmtId="0" fontId="46" fillId="0" borderId="0" xfId="0" applyFont="1" applyAlignment="1">
      <alignment horizontal="center" vertical="center" wrapText="1"/>
    </xf>
    <xf numFmtId="0" fontId="9" fillId="0" borderId="19" xfId="0" applyFont="1" applyBorder="1" applyAlignment="1">
      <alignment horizontal="center" vertical="center"/>
    </xf>
    <xf numFmtId="0" fontId="9" fillId="0" borderId="18" xfId="0" applyFont="1" applyBorder="1" applyAlignment="1">
      <alignment horizontal="center" vertical="center"/>
    </xf>
    <xf numFmtId="1" fontId="4" fillId="0" borderId="23" xfId="0" applyNumberFormat="1" applyFont="1" applyBorder="1" applyAlignment="1" applyProtection="1">
      <alignment horizontal="center" vertical="center"/>
      <protection locked="0"/>
    </xf>
    <xf numFmtId="1" fontId="4" fillId="0" borderId="21" xfId="0" applyNumberFormat="1"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protection locked="0"/>
    </xf>
    <xf numFmtId="1" fontId="4" fillId="0" borderId="14" xfId="0" applyNumberFormat="1" applyFont="1" applyBorder="1" applyAlignment="1" applyProtection="1">
      <alignment horizontal="center" vertical="center"/>
      <protection locked="0"/>
    </xf>
    <xf numFmtId="0" fontId="4" fillId="0" borderId="23" xfId="0" quotePrefix="1" applyFont="1" applyBorder="1" applyAlignment="1">
      <alignment horizontal="center" vertical="center"/>
    </xf>
    <xf numFmtId="0" fontId="4" fillId="0" borderId="20" xfId="0" quotePrefix="1" applyFont="1" applyBorder="1" applyAlignment="1">
      <alignment horizontal="center" vertical="center"/>
    </xf>
    <xf numFmtId="0" fontId="9" fillId="0" borderId="0" xfId="0" applyFont="1" applyBorder="1" applyAlignment="1" applyProtection="1">
      <alignment horizontal="right"/>
      <protection locked="0"/>
    </xf>
    <xf numFmtId="0" fontId="9" fillId="0" borderId="23"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16" xfId="0" applyFont="1" applyBorder="1" applyAlignment="1">
      <alignment horizontal="center" vertical="center"/>
    </xf>
    <xf numFmtId="0" fontId="9" fillId="0" borderId="20" xfId="0" applyFont="1" applyBorder="1" applyAlignment="1">
      <alignment horizontal="center" vertical="center"/>
    </xf>
    <xf numFmtId="0" fontId="9" fillId="0" borderId="23"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0" xfId="0" applyFont="1" applyBorder="1" applyAlignment="1">
      <alignment horizontal="center" vertical="center"/>
    </xf>
    <xf numFmtId="0" fontId="4" fillId="0" borderId="22" xfId="0" applyFont="1" applyFill="1" applyBorder="1" applyAlignment="1">
      <alignment horizontal="center" vertical="center"/>
    </xf>
    <xf numFmtId="0" fontId="4" fillId="0" borderId="10" xfId="0" applyFont="1" applyFill="1" applyBorder="1" applyAlignment="1">
      <alignment horizontal="center" vertical="center"/>
    </xf>
    <xf numFmtId="1" fontId="4" fillId="0" borderId="22" xfId="0" applyNumberFormat="1" applyFont="1" applyBorder="1" applyAlignment="1" applyProtection="1">
      <alignment horizontal="center" vertical="center"/>
      <protection locked="0"/>
    </xf>
    <xf numFmtId="1" fontId="4" fillId="0" borderId="16" xfId="0" applyNumberFormat="1" applyFont="1" applyBorder="1" applyAlignment="1" applyProtection="1">
      <alignment horizontal="center" vertical="center"/>
      <protection locked="0"/>
    </xf>
    <xf numFmtId="0" fontId="4" fillId="0" borderId="0" xfId="0" applyFont="1" applyBorder="1" applyAlignment="1">
      <alignment horizontal="right"/>
    </xf>
    <xf numFmtId="0" fontId="9" fillId="0" borderId="14" xfId="0" applyFont="1" applyBorder="1" applyAlignment="1">
      <alignment horizontal="center" vertical="center" wrapText="1"/>
    </xf>
    <xf numFmtId="0" fontId="55" fillId="0" borderId="19" xfId="0" applyFont="1" applyBorder="1" applyAlignment="1">
      <alignment horizontal="center" vertical="center"/>
    </xf>
    <xf numFmtId="0" fontId="55" fillId="0" borderId="16" xfId="0" applyFont="1" applyBorder="1"/>
    <xf numFmtId="0" fontId="55" fillId="0" borderId="14" xfId="0" applyFont="1" applyBorder="1"/>
    <xf numFmtId="0" fontId="55" fillId="0" borderId="18" xfId="0" applyFont="1" applyBorder="1"/>
    <xf numFmtId="0" fontId="55" fillId="0" borderId="24" xfId="0" applyFont="1" applyBorder="1"/>
    <xf numFmtId="0" fontId="10" fillId="0" borderId="0" xfId="0" applyFont="1" applyAlignment="1">
      <alignment horizontal="center"/>
    </xf>
    <xf numFmtId="0" fontId="55" fillId="0" borderId="21" xfId="0" applyFont="1" applyBorder="1"/>
    <xf numFmtId="0" fontId="55" fillId="0" borderId="22" xfId="0" applyFont="1" applyBorder="1"/>
    <xf numFmtId="0" fontId="85" fillId="0" borderId="0" xfId="0" applyFont="1" applyAlignment="1">
      <alignment horizontal="center" wrapText="1"/>
    </xf>
    <xf numFmtId="2" fontId="4" fillId="0" borderId="23" xfId="0" applyNumberFormat="1" applyFont="1" applyBorder="1" applyAlignment="1">
      <alignment horizontal="center" vertical="center"/>
    </xf>
    <xf numFmtId="2" fontId="4" fillId="0" borderId="21" xfId="0" applyNumberFormat="1" applyFont="1" applyBorder="1" applyAlignment="1">
      <alignment horizontal="center" vertical="center"/>
    </xf>
    <xf numFmtId="0" fontId="85" fillId="0" borderId="10" xfId="0" applyFont="1" applyBorder="1" applyAlignment="1">
      <alignment horizontal="center"/>
    </xf>
    <xf numFmtId="0" fontId="9" fillId="0" borderId="0" xfId="0" applyFont="1" applyAlignment="1" applyProtection="1">
      <alignment horizontal="left" vertical="center" wrapText="1"/>
      <protection locked="0"/>
    </xf>
    <xf numFmtId="0" fontId="9" fillId="0" borderId="0" xfId="0" applyFont="1" applyAlignment="1" applyProtection="1">
      <alignment horizontal="left" vertical="center"/>
      <protection locked="0"/>
    </xf>
    <xf numFmtId="0" fontId="4" fillId="0" borderId="21" xfId="0" quotePrefix="1" applyFont="1" applyBorder="1" applyAlignment="1">
      <alignment horizontal="center" vertical="center"/>
    </xf>
    <xf numFmtId="0" fontId="9" fillId="0" borderId="0" xfId="0" applyFont="1" applyAlignment="1">
      <alignment horizontal="left"/>
    </xf>
    <xf numFmtId="0" fontId="9" fillId="0" borderId="0" xfId="0" applyFont="1" applyBorder="1" applyAlignment="1">
      <alignment vertical="top" wrapText="1"/>
    </xf>
    <xf numFmtId="0" fontId="9" fillId="0" borderId="0" xfId="0" applyFont="1" applyAlignment="1">
      <alignment vertical="top" wrapText="1"/>
    </xf>
    <xf numFmtId="0" fontId="3" fillId="0" borderId="17" xfId="0" applyFont="1" applyBorder="1" applyAlignment="1">
      <alignment horizontal="left" vertical="center"/>
    </xf>
    <xf numFmtId="0" fontId="85" fillId="0" borderId="10" xfId="0" applyFont="1" applyBorder="1" applyAlignment="1">
      <alignment horizontal="center" vertical="center"/>
    </xf>
    <xf numFmtId="2" fontId="55" fillId="0" borderId="10" xfId="0" applyNumberFormat="1" applyFont="1" applyBorder="1" applyAlignment="1">
      <alignment horizontal="center" vertical="center"/>
    </xf>
    <xf numFmtId="2" fontId="55" fillId="0" borderId="17" xfId="0" applyNumberFormat="1" applyFont="1" applyBorder="1" applyAlignment="1">
      <alignment horizontal="center" vertical="center"/>
    </xf>
    <xf numFmtId="2" fontId="55" fillId="0" borderId="0" xfId="0" applyNumberFormat="1" applyFont="1" applyBorder="1" applyAlignment="1">
      <alignment horizontal="center" vertical="center"/>
    </xf>
    <xf numFmtId="2" fontId="55" fillId="0" borderId="14" xfId="0" applyNumberFormat="1" applyFont="1" applyBorder="1" applyAlignment="1">
      <alignment horizontal="center" vertical="center"/>
    </xf>
    <xf numFmtId="0" fontId="55" fillId="0" borderId="18" xfId="0" applyFont="1" applyBorder="1" applyAlignment="1">
      <alignment horizontal="center" vertical="center" wrapText="1"/>
    </xf>
    <xf numFmtId="1" fontId="4" fillId="0" borderId="17" xfId="0" applyNumberFormat="1" applyFont="1" applyBorder="1" applyAlignment="1">
      <alignment horizontal="center" vertical="center"/>
    </xf>
    <xf numFmtId="1" fontId="4" fillId="0" borderId="14" xfId="0" applyNumberFormat="1" applyFont="1" applyBorder="1" applyAlignment="1">
      <alignment horizontal="center" vertical="center"/>
    </xf>
    <xf numFmtId="0" fontId="9" fillId="0" borderId="0" xfId="0" applyFont="1" applyBorder="1" applyAlignment="1">
      <alignment horizontal="left" vertical="top" wrapText="1"/>
    </xf>
    <xf numFmtId="0" fontId="55" fillId="0" borderId="20" xfId="0" applyFont="1" applyBorder="1" applyAlignment="1">
      <alignment horizontal="center" vertical="center"/>
    </xf>
    <xf numFmtId="0" fontId="85" fillId="0" borderId="10" xfId="0" applyFont="1" applyBorder="1" applyAlignment="1">
      <alignment horizontal="center" wrapText="1"/>
    </xf>
    <xf numFmtId="0" fontId="86" fillId="0" borderId="20"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10"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18" xfId="0" applyFont="1" applyFill="1" applyBorder="1" applyAlignment="1">
      <alignment horizontal="center" vertical="center" wrapText="1"/>
    </xf>
    <xf numFmtId="1" fontId="55" fillId="0" borderId="22" xfId="0" applyNumberFormat="1" applyFont="1" applyBorder="1" applyAlignment="1">
      <alignment horizontal="center" vertical="center"/>
    </xf>
    <xf numFmtId="1" fontId="55" fillId="0" borderId="16" xfId="0" applyNumberFormat="1" applyFont="1" applyBorder="1" applyAlignment="1">
      <alignment horizontal="center" vertical="center"/>
    </xf>
    <xf numFmtId="1" fontId="55" fillId="0" borderId="17" xfId="0" applyNumberFormat="1" applyFont="1" applyBorder="1" applyAlignment="1">
      <alignment horizontal="center" vertical="center"/>
    </xf>
    <xf numFmtId="1" fontId="55" fillId="0" borderId="14" xfId="0" applyNumberFormat="1" applyFont="1" applyBorder="1" applyAlignment="1">
      <alignment horizontal="center" vertical="center"/>
    </xf>
    <xf numFmtId="1" fontId="4" fillId="0" borderId="22" xfId="0" applyNumberFormat="1" applyFont="1" applyBorder="1" applyAlignment="1">
      <alignment horizontal="center" vertical="center"/>
    </xf>
    <xf numFmtId="1" fontId="4" fillId="0" borderId="16" xfId="0" applyNumberFormat="1" applyFont="1" applyBorder="1" applyAlignment="1">
      <alignment horizontal="center" vertical="center"/>
    </xf>
    <xf numFmtId="1" fontId="55" fillId="0" borderId="10" xfId="0" applyNumberFormat="1" applyFont="1" applyBorder="1" applyAlignment="1">
      <alignment horizontal="center" vertical="center"/>
    </xf>
    <xf numFmtId="1" fontId="55" fillId="0" borderId="0" xfId="0" applyNumberFormat="1" applyFont="1" applyBorder="1" applyAlignment="1">
      <alignment horizontal="center" vertical="center"/>
    </xf>
    <xf numFmtId="0" fontId="9" fillId="0" borderId="20" xfId="0" applyFont="1" applyBorder="1" applyAlignment="1">
      <alignment horizontal="left" vertical="top" wrapText="1"/>
    </xf>
    <xf numFmtId="0" fontId="9" fillId="0" borderId="0" xfId="0" applyFont="1" applyAlignment="1">
      <alignment horizontal="left" vertical="top" wrapText="1"/>
    </xf>
    <xf numFmtId="0" fontId="0" fillId="0" borderId="22" xfId="0" applyBorder="1" applyAlignment="1">
      <alignment horizontal="left" vertical="center" wrapText="1"/>
    </xf>
    <xf numFmtId="0" fontId="0" fillId="0" borderId="10" xfId="0" applyBorder="1" applyAlignment="1">
      <alignment horizontal="left" vertical="center" wrapText="1"/>
    </xf>
    <xf numFmtId="0" fontId="0" fillId="0" borderId="16" xfId="0" applyBorder="1" applyAlignment="1">
      <alignment horizontal="left" vertical="center" wrapText="1"/>
    </xf>
    <xf numFmtId="0" fontId="1" fillId="0" borderId="17" xfId="0" applyFont="1" applyBorder="1" applyAlignment="1">
      <alignment horizontal="left" vertical="center" wrapText="1"/>
    </xf>
    <xf numFmtId="0" fontId="1" fillId="0" borderId="0" xfId="0" applyFont="1" applyBorder="1" applyAlignment="1">
      <alignment horizontal="left" vertical="center" wrapText="1"/>
    </xf>
    <xf numFmtId="0" fontId="1" fillId="0" borderId="14" xfId="0" applyFont="1" applyBorder="1" applyAlignment="1">
      <alignment horizontal="left" vertical="center" wrapText="1"/>
    </xf>
    <xf numFmtId="0" fontId="0" fillId="0" borderId="0" xfId="0" applyBorder="1" applyAlignment="1">
      <alignment horizontal="left" vertical="center" wrapText="1"/>
    </xf>
    <xf numFmtId="0" fontId="0" fillId="0" borderId="14" xfId="0" applyBorder="1" applyAlignment="1">
      <alignment horizontal="left" vertical="center" wrapText="1"/>
    </xf>
    <xf numFmtId="0" fontId="1" fillId="0" borderId="10" xfId="0" applyFont="1" applyBorder="1" applyAlignment="1">
      <alignment horizontal="right" vertical="center"/>
    </xf>
    <xf numFmtId="0" fontId="1" fillId="0" borderId="24" xfId="0" applyFont="1" applyBorder="1" applyAlignment="1">
      <alignment horizontal="center" vertical="center"/>
    </xf>
    <xf numFmtId="0" fontId="1" fillId="0" borderId="18" xfId="0" applyFont="1" applyBorder="1" applyAlignment="1">
      <alignment horizontal="center" vertical="center"/>
    </xf>
    <xf numFmtId="0" fontId="1" fillId="0" borderId="23" xfId="0" applyFont="1" applyBorder="1" applyAlignment="1">
      <alignment horizontal="left" vertical="center" wrapText="1"/>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57" fillId="0" borderId="15" xfId="0" applyFont="1" applyBorder="1" applyAlignment="1">
      <alignment horizontal="center" vertical="center"/>
    </xf>
    <xf numFmtId="0" fontId="57" fillId="0" borderId="13" xfId="0" applyFont="1" applyBorder="1" applyAlignment="1">
      <alignment horizontal="center" vertical="center"/>
    </xf>
    <xf numFmtId="0" fontId="55" fillId="0" borderId="10" xfId="0" applyFont="1" applyBorder="1" applyAlignment="1">
      <alignment horizontal="center" vertical="center"/>
    </xf>
    <xf numFmtId="2" fontId="55" fillId="0" borderId="22" xfId="0" applyNumberFormat="1" applyFont="1" applyBorder="1" applyAlignment="1">
      <alignment horizontal="center" vertical="center"/>
    </xf>
    <xf numFmtId="0" fontId="55" fillId="0" borderId="17"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14" xfId="0" applyFont="1" applyFill="1" applyBorder="1" applyAlignment="1">
      <alignment horizontal="center" vertical="center"/>
    </xf>
    <xf numFmtId="0" fontId="85" fillId="0" borderId="0" xfId="0" applyFont="1" applyAlignment="1">
      <alignment horizontal="center" vertical="top"/>
    </xf>
    <xf numFmtId="0" fontId="57" fillId="0" borderId="15" xfId="0" applyFont="1" applyBorder="1" applyAlignment="1">
      <alignment horizontal="center" vertical="center" wrapText="1"/>
    </xf>
    <xf numFmtId="0" fontId="57" fillId="0" borderId="13" xfId="0" applyFont="1" applyBorder="1" applyAlignment="1">
      <alignment horizontal="center" vertical="center" wrapText="1"/>
    </xf>
    <xf numFmtId="0" fontId="99" fillId="0" borderId="22" xfId="0" applyFont="1" applyBorder="1" applyAlignment="1">
      <alignment horizontal="center" vertical="center"/>
    </xf>
    <xf numFmtId="0" fontId="99" fillId="0" borderId="16" xfId="0" applyFont="1" applyBorder="1" applyAlignment="1">
      <alignment horizontal="center" vertical="center"/>
    </xf>
    <xf numFmtId="0" fontId="55" fillId="0" borderId="0" xfId="0" applyFont="1" applyBorder="1"/>
    <xf numFmtId="0" fontId="99" fillId="0" borderId="17" xfId="0" applyFont="1" applyBorder="1" applyAlignment="1">
      <alignment horizontal="center" vertical="center"/>
    </xf>
    <xf numFmtId="0" fontId="99" fillId="0" borderId="14" xfId="0" applyFont="1" applyBorder="1" applyAlignment="1">
      <alignment horizontal="center" vertical="center"/>
    </xf>
    <xf numFmtId="0" fontId="1" fillId="0" borderId="23" xfId="0" applyFont="1" applyBorder="1" applyAlignment="1">
      <alignment horizontal="center" vertical="center"/>
    </xf>
    <xf numFmtId="0" fontId="1" fillId="0" borderId="21" xfId="0" applyFont="1" applyBorder="1" applyAlignment="1">
      <alignment horizontal="center" vertical="center"/>
    </xf>
    <xf numFmtId="0" fontId="1" fillId="0" borderId="17" xfId="0" applyFont="1" applyBorder="1" applyAlignment="1">
      <alignment horizontal="center" vertical="center"/>
    </xf>
    <xf numFmtId="0" fontId="1" fillId="0" borderId="14" xfId="0" applyFont="1" applyBorder="1" applyAlignment="1">
      <alignment horizontal="center" vertical="center"/>
    </xf>
    <xf numFmtId="0" fontId="99" fillId="0" borderId="23" xfId="0" applyFont="1" applyBorder="1" applyAlignment="1">
      <alignment horizontal="center" vertical="center"/>
    </xf>
    <xf numFmtId="0" fontId="99" fillId="0" borderId="21" xfId="0" applyFont="1" applyBorder="1" applyAlignment="1">
      <alignment horizontal="center" vertical="center"/>
    </xf>
    <xf numFmtId="0" fontId="85" fillId="0" borderId="10" xfId="0" applyFont="1" applyBorder="1" applyAlignment="1">
      <alignment horizontal="center" vertical="top" wrapText="1"/>
    </xf>
    <xf numFmtId="0" fontId="99" fillId="0" borderId="23" xfId="0" applyFont="1" applyBorder="1" applyAlignment="1">
      <alignment horizontal="center" vertical="center" wrapText="1"/>
    </xf>
    <xf numFmtId="0" fontId="99" fillId="0" borderId="21" xfId="0" applyFont="1" applyBorder="1" applyAlignment="1">
      <alignment horizontal="center" vertical="center" wrapText="1"/>
    </xf>
    <xf numFmtId="0" fontId="4" fillId="0" borderId="10" xfId="0" applyFont="1" applyBorder="1" applyAlignment="1">
      <alignment horizontal="right"/>
    </xf>
    <xf numFmtId="0" fontId="9" fillId="0" borderId="0" xfId="0" applyFont="1" applyBorder="1" applyAlignment="1">
      <alignment horizontal="left"/>
    </xf>
    <xf numFmtId="0" fontId="60" fillId="0" borderId="19" xfId="0" quotePrefix="1" applyFont="1" applyBorder="1" applyAlignment="1">
      <alignment horizontal="center" vertical="center"/>
    </xf>
    <xf numFmtId="0" fontId="60" fillId="0" borderId="18" xfId="0" quotePrefix="1"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18" fillId="0" borderId="17" xfId="0" applyFont="1" applyBorder="1" applyAlignment="1">
      <alignment horizontal="center" vertical="center"/>
    </xf>
    <xf numFmtId="0" fontId="18" fillId="0" borderId="14" xfId="0" applyFont="1" applyBorder="1" applyAlignment="1">
      <alignment horizontal="center" vertical="center"/>
    </xf>
    <xf numFmtId="0" fontId="18" fillId="0" borderId="22" xfId="0" applyFont="1" applyBorder="1" applyAlignment="1">
      <alignment horizontal="center" vertical="center"/>
    </xf>
    <xf numFmtId="0" fontId="18" fillId="0" borderId="16" xfId="0" applyFont="1" applyBorder="1" applyAlignment="1">
      <alignment horizontal="center" vertical="center"/>
    </xf>
    <xf numFmtId="0" fontId="99" fillId="0" borderId="19" xfId="0" applyFont="1" applyBorder="1" applyAlignment="1">
      <alignment horizontal="center" vertical="center" wrapText="1"/>
    </xf>
    <xf numFmtId="0" fontId="99" fillId="0" borderId="18" xfId="0" applyFont="1" applyBorder="1" applyAlignment="1">
      <alignment horizontal="center" vertical="center" wrapText="1"/>
    </xf>
    <xf numFmtId="0" fontId="22" fillId="0" borderId="19" xfId="0" quotePrefix="1" applyFont="1" applyBorder="1" applyAlignment="1">
      <alignment horizontal="center" vertical="center"/>
    </xf>
    <xf numFmtId="0" fontId="22" fillId="0" borderId="18" xfId="0" quotePrefix="1" applyFont="1" applyBorder="1" applyAlignment="1">
      <alignment horizontal="center" vertical="center"/>
    </xf>
    <xf numFmtId="0" fontId="18" fillId="0" borderId="23" xfId="0" applyFont="1" applyBorder="1" applyAlignment="1">
      <alignment horizontal="center" vertical="center"/>
    </xf>
    <xf numFmtId="0" fontId="18" fillId="0" borderId="21" xfId="0" applyFont="1" applyBorder="1" applyAlignment="1">
      <alignment horizontal="center" vertical="center"/>
    </xf>
    <xf numFmtId="1" fontId="0" fillId="0" borderId="22" xfId="0" applyNumberFormat="1" applyBorder="1" applyAlignment="1" applyProtection="1">
      <alignment horizontal="center" vertical="center"/>
      <protection locked="0"/>
    </xf>
    <xf numFmtId="1" fontId="55" fillId="0" borderId="16" xfId="0" applyNumberFormat="1" applyFont="1" applyBorder="1" applyAlignment="1">
      <alignment vertical="center"/>
    </xf>
    <xf numFmtId="1" fontId="55" fillId="0" borderId="23" xfId="0" applyNumberFormat="1" applyFont="1" applyBorder="1" applyAlignment="1">
      <alignment horizontal="center" vertical="center"/>
    </xf>
    <xf numFmtId="1" fontId="55" fillId="0" borderId="21" xfId="0" applyNumberFormat="1" applyFont="1" applyBorder="1" applyAlignment="1">
      <alignment horizontal="center" vertical="center"/>
    </xf>
    <xf numFmtId="1" fontId="55" fillId="0" borderId="23" xfId="0" applyNumberFormat="1" applyFont="1" applyBorder="1" applyAlignment="1" applyProtection="1">
      <alignment horizontal="center" vertical="center"/>
      <protection locked="0"/>
    </xf>
    <xf numFmtId="1" fontId="55" fillId="0" borderId="21" xfId="0" applyNumberFormat="1" applyFont="1" applyBorder="1" applyAlignment="1" applyProtection="1">
      <alignment horizontal="center" vertical="center"/>
      <protection locked="0"/>
    </xf>
    <xf numFmtId="1" fontId="0" fillId="0" borderId="17" xfId="0" applyNumberFormat="1" applyBorder="1" applyAlignment="1" applyProtection="1">
      <alignment horizontal="center" vertical="center"/>
      <protection locked="0"/>
    </xf>
    <xf numFmtId="1" fontId="55" fillId="0" borderId="14" xfId="0" applyNumberFormat="1" applyFont="1" applyBorder="1" applyAlignment="1">
      <alignment vertical="center"/>
    </xf>
    <xf numFmtId="1" fontId="55" fillId="0" borderId="17" xfId="0" applyNumberFormat="1" applyFont="1" applyBorder="1" applyAlignment="1" applyProtection="1">
      <alignment horizontal="center" vertical="center"/>
      <protection locked="0"/>
    </xf>
    <xf numFmtId="1" fontId="55" fillId="0" borderId="14" xfId="0" applyNumberFormat="1" applyFont="1" applyBorder="1" applyAlignment="1" applyProtection="1">
      <alignment horizontal="center" vertical="center"/>
      <protection locked="0"/>
    </xf>
    <xf numFmtId="1" fontId="1" fillId="0" borderId="22" xfId="0" applyNumberFormat="1" applyFont="1" applyBorder="1" applyAlignment="1" applyProtection="1">
      <alignment horizontal="center" vertical="center"/>
      <protection locked="0"/>
    </xf>
    <xf numFmtId="0" fontId="4" fillId="0" borderId="10" xfId="0" applyFont="1" applyBorder="1" applyAlignment="1">
      <alignment horizontal="right" vertical="top" wrapText="1"/>
    </xf>
    <xf numFmtId="0" fontId="4" fillId="0" borderId="19" xfId="0" applyFont="1" applyBorder="1" applyAlignment="1">
      <alignment horizontal="center" vertical="top" wrapText="1"/>
    </xf>
    <xf numFmtId="0" fontId="4" fillId="0" borderId="24" xfId="0" applyFont="1" applyBorder="1" applyAlignment="1">
      <alignment horizontal="center" vertical="top" wrapText="1"/>
    </xf>
    <xf numFmtId="0" fontId="4" fillId="0" borderId="18" xfId="0" applyFont="1" applyBorder="1" applyAlignment="1">
      <alignment horizontal="center" vertical="top" wrapText="1"/>
    </xf>
    <xf numFmtId="0" fontId="9" fillId="0" borderId="0" xfId="0" applyFont="1" applyFill="1" applyBorder="1" applyAlignment="1">
      <alignment horizontal="left" vertical="top" wrapText="1"/>
    </xf>
    <xf numFmtId="0" fontId="3" fillId="0" borderId="0" xfId="0" applyFont="1" applyAlignment="1">
      <alignment horizontal="center" vertical="center"/>
    </xf>
    <xf numFmtId="0" fontId="55" fillId="0" borderId="18" xfId="0" applyFont="1" applyBorder="1" applyAlignment="1">
      <alignment vertical="center"/>
    </xf>
    <xf numFmtId="0" fontId="100" fillId="0" borderId="20" xfId="0" applyFont="1" applyBorder="1" applyAlignment="1">
      <alignment vertical="top" wrapText="1"/>
    </xf>
    <xf numFmtId="0" fontId="0" fillId="0" borderId="20" xfId="0" applyBorder="1" applyAlignment="1">
      <alignment vertical="top" wrapText="1"/>
    </xf>
    <xf numFmtId="0" fontId="0" fillId="0" borderId="0" xfId="0" applyAlignment="1">
      <alignment vertical="top" wrapText="1"/>
    </xf>
    <xf numFmtId="2" fontId="55" fillId="0" borderId="17" xfId="0" applyNumberFormat="1" applyFont="1" applyBorder="1" applyAlignment="1" applyProtection="1">
      <alignment horizontal="center" vertical="center"/>
      <protection locked="0"/>
    </xf>
    <xf numFmtId="2" fontId="55" fillId="0" borderId="14" xfId="0" applyNumberFormat="1" applyFont="1" applyBorder="1" applyAlignment="1" applyProtection="1">
      <alignment horizontal="center" vertical="center"/>
      <protection locked="0"/>
    </xf>
    <xf numFmtId="2" fontId="4" fillId="0" borderId="17" xfId="0" applyNumberFormat="1" applyFont="1" applyBorder="1" applyAlignment="1">
      <alignment horizontal="center" vertical="center"/>
    </xf>
    <xf numFmtId="2" fontId="4" fillId="0" borderId="14" xfId="0" applyNumberFormat="1" applyFont="1" applyBorder="1" applyAlignment="1">
      <alignment horizontal="center" vertical="center"/>
    </xf>
    <xf numFmtId="0" fontId="3" fillId="0" borderId="2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6" xfId="0" applyFont="1" applyFill="1" applyBorder="1" applyAlignment="1">
      <alignment horizontal="center" vertical="center"/>
    </xf>
    <xf numFmtId="2" fontId="4" fillId="0" borderId="22" xfId="0" applyNumberFormat="1" applyFont="1" applyBorder="1" applyAlignment="1" applyProtection="1">
      <alignment horizontal="center" vertical="center"/>
      <protection locked="0"/>
    </xf>
    <xf numFmtId="2" fontId="4" fillId="0" borderId="16" xfId="0" applyNumberFormat="1" applyFont="1" applyBorder="1" applyAlignment="1" applyProtection="1">
      <alignment horizontal="center" vertical="center"/>
      <protection locked="0"/>
    </xf>
    <xf numFmtId="2" fontId="4" fillId="0" borderId="10" xfId="0" applyNumberFormat="1" applyFont="1" applyBorder="1" applyAlignment="1" applyProtection="1">
      <alignment horizontal="center" vertical="center"/>
      <protection locked="0"/>
    </xf>
    <xf numFmtId="2" fontId="55" fillId="0" borderId="16" xfId="0" applyNumberFormat="1" applyFont="1" applyBorder="1" applyAlignment="1">
      <alignment horizontal="center" vertical="center"/>
    </xf>
    <xf numFmtId="2" fontId="4" fillId="0" borderId="17" xfId="0" applyNumberFormat="1" applyFont="1" applyBorder="1" applyAlignment="1" applyProtection="1">
      <alignment horizontal="center" vertical="center"/>
      <protection locked="0"/>
    </xf>
    <xf numFmtId="2" fontId="4" fillId="0" borderId="14"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2" fontId="4" fillId="0" borderId="0" xfId="0" applyNumberFormat="1" applyFont="1" applyBorder="1" applyAlignment="1" applyProtection="1">
      <alignment horizontal="center" vertical="center"/>
      <protection locked="0"/>
    </xf>
    <xf numFmtId="2" fontId="4" fillId="0" borderId="22" xfId="0" applyNumberFormat="1" applyFont="1" applyBorder="1" applyAlignment="1">
      <alignment horizontal="center" vertical="center"/>
    </xf>
    <xf numFmtId="2" fontId="4" fillId="0" borderId="16" xfId="0" applyNumberFormat="1" applyFont="1" applyBorder="1" applyAlignment="1">
      <alignment horizontal="center" vertical="center"/>
    </xf>
    <xf numFmtId="0" fontId="9" fillId="0" borderId="0" xfId="0" applyFont="1" applyAlignment="1">
      <alignment horizontal="right"/>
    </xf>
    <xf numFmtId="2" fontId="55" fillId="0" borderId="23" xfId="0" applyNumberFormat="1" applyFont="1" applyBorder="1" applyAlignment="1" applyProtection="1">
      <alignment horizontal="center" vertical="center"/>
      <protection locked="0"/>
    </xf>
    <xf numFmtId="2" fontId="55" fillId="0" borderId="21" xfId="0" applyNumberFormat="1" applyFont="1" applyBorder="1" applyAlignment="1" applyProtection="1">
      <alignment horizontal="center" vertical="center"/>
      <protection locked="0"/>
    </xf>
    <xf numFmtId="0" fontId="3" fillId="0" borderId="14" xfId="0" applyFont="1" applyBorder="1" applyAlignment="1">
      <alignment horizontal="center" vertical="center"/>
    </xf>
    <xf numFmtId="0" fontId="4" fillId="0" borderId="0" xfId="0" applyFont="1" applyAlignment="1"/>
    <xf numFmtId="0" fontId="4" fillId="0" borderId="23" xfId="0" applyFont="1" applyBorder="1" applyAlignment="1">
      <alignment horizontal="center" vertical="top" wrapText="1"/>
    </xf>
    <xf numFmtId="0" fontId="4" fillId="0" borderId="21" xfId="0" applyFont="1" applyBorder="1" applyAlignment="1">
      <alignment horizontal="center" vertical="top" wrapText="1"/>
    </xf>
    <xf numFmtId="0" fontId="4" fillId="0" borderId="17" xfId="0" applyFont="1" applyBorder="1" applyAlignment="1">
      <alignment horizontal="center" vertical="top" wrapText="1"/>
    </xf>
    <xf numFmtId="0" fontId="4" fillId="0" borderId="14" xfId="0" applyFont="1" applyBorder="1" applyAlignment="1">
      <alignment horizontal="center" vertical="top" wrapText="1"/>
    </xf>
    <xf numFmtId="0" fontId="4" fillId="0" borderId="19" xfId="0" quotePrefix="1" applyFont="1" applyFill="1" applyBorder="1" applyAlignment="1">
      <alignment horizontal="center" vertical="center"/>
    </xf>
    <xf numFmtId="0" fontId="4" fillId="0" borderId="18" xfId="0" quotePrefix="1" applyFont="1" applyFill="1" applyBorder="1" applyAlignment="1">
      <alignment horizontal="center" vertical="center"/>
    </xf>
    <xf numFmtId="0" fontId="0" fillId="0" borderId="17" xfId="0" quotePrefix="1" applyBorder="1" applyAlignment="1">
      <alignment horizontal="center" vertical="center"/>
    </xf>
    <xf numFmtId="0" fontId="4" fillId="0" borderId="16" xfId="0" applyFont="1" applyBorder="1" applyAlignment="1">
      <alignment horizontal="center" vertical="top" wrapText="1"/>
    </xf>
    <xf numFmtId="0" fontId="55" fillId="0" borderId="15" xfId="0" applyFont="1" applyBorder="1" applyAlignment="1">
      <alignment horizontal="center" vertical="center" wrapText="1"/>
    </xf>
    <xf numFmtId="0" fontId="55" fillId="0" borderId="13" xfId="0" applyFont="1" applyBorder="1" applyAlignment="1">
      <alignment horizontal="center" vertical="center" wrapText="1"/>
    </xf>
    <xf numFmtId="0" fontId="4" fillId="0" borderId="15" xfId="0" applyFont="1" applyBorder="1" applyAlignment="1" applyProtection="1">
      <alignment vertical="center" wrapText="1"/>
      <protection locked="0"/>
    </xf>
    <xf numFmtId="0" fontId="4" fillId="0" borderId="13" xfId="0" applyFont="1" applyBorder="1" applyAlignment="1" applyProtection="1">
      <alignment vertical="center" wrapText="1"/>
      <protection locked="0"/>
    </xf>
    <xf numFmtId="0" fontId="4" fillId="0" borderId="15" xfId="0" applyFont="1" applyBorder="1" applyAlignment="1" applyProtection="1">
      <alignment vertical="center"/>
      <protection locked="0"/>
    </xf>
    <xf numFmtId="0" fontId="4" fillId="0" borderId="13"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61" fillId="0" borderId="20" xfId="0" applyFont="1" applyBorder="1" applyAlignment="1">
      <alignment horizontal="left" vertical="center" wrapText="1"/>
    </xf>
    <xf numFmtId="0" fontId="61" fillId="0" borderId="0" xfId="0" applyFont="1" applyBorder="1" applyAlignment="1">
      <alignment horizontal="left" vertical="center" wrapText="1"/>
    </xf>
    <xf numFmtId="0" fontId="86" fillId="0" borderId="0" xfId="0" applyFont="1" applyAlignment="1">
      <alignment wrapText="1"/>
    </xf>
    <xf numFmtId="0" fontId="9" fillId="0" borderId="0" xfId="0" applyFont="1" applyAlignment="1">
      <alignment horizontal="center"/>
    </xf>
    <xf numFmtId="0" fontId="28" fillId="0" borderId="20" xfId="0" applyFont="1" applyBorder="1" applyAlignment="1">
      <alignment horizontal="left" vertical="top" wrapText="1"/>
    </xf>
    <xf numFmtId="0" fontId="27" fillId="0" borderId="20" xfId="0" applyFont="1" applyBorder="1" applyAlignment="1"/>
    <xf numFmtId="0" fontId="27" fillId="0" borderId="0" xfId="0" applyFont="1" applyAlignment="1"/>
    <xf numFmtId="0" fontId="85" fillId="0" borderId="10" xfId="0" applyFont="1" applyBorder="1" applyAlignment="1">
      <alignment horizontal="center" vertical="center" wrapText="1"/>
    </xf>
    <xf numFmtId="0" fontId="26" fillId="0" borderId="0" xfId="0" applyFont="1" applyBorder="1" applyAlignment="1">
      <alignment horizontal="center" vertical="center"/>
    </xf>
    <xf numFmtId="0" fontId="45" fillId="0" borderId="0" xfId="0" applyFont="1" applyAlignment="1">
      <alignment horizontal="center" vertical="center" wrapText="1"/>
    </xf>
    <xf numFmtId="0" fontId="31" fillId="0" borderId="19"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3" xfId="0" applyFont="1" applyBorder="1" applyAlignment="1">
      <alignment horizontal="center" vertical="center"/>
    </xf>
    <xf numFmtId="0" fontId="31" fillId="0" borderId="23" xfId="0" applyFont="1" applyBorder="1" applyAlignment="1">
      <alignment horizontal="center" vertical="center"/>
    </xf>
    <xf numFmtId="0" fontId="31" fillId="0" borderId="21" xfId="0" applyFont="1" applyBorder="1" applyAlignment="1">
      <alignment horizontal="center" vertical="center"/>
    </xf>
    <xf numFmtId="0" fontId="31" fillId="0" borderId="20"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23" xfId="0" applyFont="1" applyBorder="1" applyAlignment="1">
      <alignment horizontal="center" vertical="center" wrapText="1"/>
    </xf>
    <xf numFmtId="0" fontId="52" fillId="0" borderId="0" xfId="0" applyFont="1" applyAlignment="1">
      <alignment horizontal="center"/>
    </xf>
    <xf numFmtId="0" fontId="26" fillId="0" borderId="0" xfId="0" applyFont="1" applyAlignment="1">
      <alignment horizontal="center" vertical="center"/>
    </xf>
    <xf numFmtId="0" fontId="45" fillId="0" borderId="0" xfId="0" applyFont="1" applyAlignment="1">
      <alignment horizontal="center" vertical="center"/>
    </xf>
    <xf numFmtId="0" fontId="31" fillId="0" borderId="12" xfId="0" applyFont="1" applyBorder="1" applyAlignment="1">
      <alignment horizontal="center" vertical="center" wrapText="1"/>
    </xf>
    <xf numFmtId="0" fontId="31" fillId="0" borderId="13" xfId="0" applyFont="1" applyBorder="1" applyAlignment="1">
      <alignment horizontal="center" vertical="center" wrapText="1"/>
    </xf>
    <xf numFmtId="0" fontId="0" fillId="0" borderId="12" xfId="0" applyBorder="1" applyAlignment="1">
      <alignment wrapText="1"/>
    </xf>
    <xf numFmtId="0" fontId="0" fillId="0" borderId="13" xfId="0" applyBorder="1" applyAlignment="1">
      <alignment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0">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color indexed="14"/>
      </font>
      <fill>
        <patternFill patternType="none">
          <bgColor indexed="65"/>
        </patternFill>
      </fill>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externalLink" Target="externalLinks/externalLink4.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externalLink" Target="externalLinks/externalLink2.xml"/><Relationship Id="rId98"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externalLink" Target="externalLinks/externalLink3.xml"/><Relationship Id="rId9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xdr:col>
      <xdr:colOff>266700</xdr:colOff>
      <xdr:row>10</xdr:row>
      <xdr:rowOff>66675</xdr:rowOff>
    </xdr:from>
    <xdr:to>
      <xdr:col>6</xdr:col>
      <xdr:colOff>561975</xdr:colOff>
      <xdr:row>13</xdr:row>
      <xdr:rowOff>57150</xdr:rowOff>
    </xdr:to>
    <xdr:sp macro="" textlink="">
      <xdr:nvSpPr>
        <xdr:cNvPr id="2050" name="WordArt 2"/>
        <xdr:cNvSpPr>
          <a:spLocks noChangeArrowheads="1" noChangeShapeType="1" noTextEdit="1"/>
        </xdr:cNvSpPr>
      </xdr:nvSpPr>
      <xdr:spPr bwMode="auto">
        <a:xfrm>
          <a:off x="2095500" y="1685925"/>
          <a:ext cx="2124075" cy="476250"/>
        </a:xfrm>
        <a:prstGeom prst="rect">
          <a:avLst/>
        </a:prstGeom>
      </xdr:spPr>
      <xdr:txBody>
        <a:bodyPr wrap="none" fromWordArt="1">
          <a:prstTxWarp prst="textPlain">
            <a:avLst>
              <a:gd name="adj" fmla="val 50000"/>
            </a:avLst>
          </a:prstTxWarp>
        </a:bodyPr>
        <a:lstStyle/>
        <a:p>
          <a:pPr algn="ctr" rtl="0"/>
          <a:r>
            <a:rPr lang="en-US" sz="4400" kern="10" spc="0">
              <a:ln w="12700">
                <a:solidFill>
                  <a:srgbClr val="FF0000"/>
                </a:solidFill>
                <a:round/>
                <a:headEnd/>
                <a:tailEnd/>
              </a:ln>
              <a:solidFill>
                <a:srgbClr val="800080"/>
              </a:solidFill>
              <a:effectLst>
                <a:outerShdw dist="45791" dir="2021404" algn="ctr" rotWithShape="0">
                  <a:srgbClr val="9999FF"/>
                </a:outerShdw>
              </a:effectLst>
              <a:latin typeface="Arial Black"/>
            </a:rPr>
            <a:t>NADIA</a:t>
          </a:r>
        </a:p>
      </xdr:txBody>
    </xdr:sp>
    <xdr:clientData/>
  </xdr:twoCellAnchor>
  <xdr:twoCellAnchor>
    <xdr:from>
      <xdr:col>0</xdr:col>
      <xdr:colOff>19050</xdr:colOff>
      <xdr:row>6</xdr:row>
      <xdr:rowOff>104775</xdr:rowOff>
    </xdr:from>
    <xdr:to>
      <xdr:col>9</xdr:col>
      <xdr:colOff>533400</xdr:colOff>
      <xdr:row>32</xdr:row>
      <xdr:rowOff>123825</xdr:rowOff>
    </xdr:to>
    <xdr:sp macro="" textlink="">
      <xdr:nvSpPr>
        <xdr:cNvPr id="2053" name="WordArt 5"/>
        <xdr:cNvSpPr>
          <a:spLocks noChangeArrowheads="1" noChangeShapeType="1"/>
        </xdr:cNvSpPr>
      </xdr:nvSpPr>
      <xdr:spPr bwMode="auto">
        <a:xfrm>
          <a:off x="19050" y="1076325"/>
          <a:ext cx="6000750" cy="4229100"/>
        </a:xfrm>
        <a:prstGeom prst="rect">
          <a:avLst/>
        </a:prstGeom>
      </xdr:spPr>
      <xdr:txBody>
        <a:bodyPr wrap="none" fromWordArt="1">
          <a:prstTxWarp prst="textArchUp">
            <a:avLst>
              <a:gd name="adj" fmla="val 12265588"/>
            </a:avLst>
          </a:prstTxWarp>
        </a:bodyPr>
        <a:lstStyle/>
        <a:p>
          <a:pPr algn="ctr" rtl="0"/>
          <a:r>
            <a:rPr lang="en-US" sz="3600" kern="10" spc="0">
              <a:ln w="9525">
                <a:solidFill>
                  <a:srgbClr val="993366"/>
                </a:solidFill>
                <a:round/>
                <a:headEnd/>
                <a:tailEnd/>
              </a:ln>
              <a:solidFill>
                <a:srgbClr val="993366"/>
              </a:solidFill>
              <a:effectLst/>
              <a:latin typeface="Arial"/>
              <a:cs typeface="Arial"/>
            </a:rPr>
            <a:t>District Statistical Handbook</a:t>
          </a:r>
        </a:p>
      </xdr:txBody>
    </xdr:sp>
    <xdr:clientData/>
  </xdr:twoCellAnchor>
  <xdr:twoCellAnchor editAs="oneCell">
    <xdr:from>
      <xdr:col>0</xdr:col>
      <xdr:colOff>9525</xdr:colOff>
      <xdr:row>18</xdr:row>
      <xdr:rowOff>114300</xdr:rowOff>
    </xdr:from>
    <xdr:to>
      <xdr:col>9</xdr:col>
      <xdr:colOff>600075</xdr:colOff>
      <xdr:row>54</xdr:row>
      <xdr:rowOff>19050</xdr:rowOff>
    </xdr:to>
    <xdr:pic>
      <xdr:nvPicPr>
        <xdr:cNvPr id="2055" name="Picture 6" descr="nadia"/>
        <xdr:cNvPicPr>
          <a:picLocks noChangeAspect="1" noChangeArrowheads="1"/>
        </xdr:cNvPicPr>
      </xdr:nvPicPr>
      <xdr:blipFill>
        <a:blip xmlns:r="http://schemas.openxmlformats.org/officeDocument/2006/relationships" r:embed="rId1"/>
        <a:srcRect/>
        <a:stretch>
          <a:fillRect/>
        </a:stretch>
      </xdr:blipFill>
      <xdr:spPr bwMode="auto">
        <a:xfrm>
          <a:off x="9525" y="3028950"/>
          <a:ext cx="6076950" cy="5924550"/>
        </a:xfrm>
        <a:prstGeom prst="rect">
          <a:avLst/>
        </a:prstGeom>
        <a:noFill/>
        <a:ln w="9525">
          <a:noFill/>
          <a:miter lim="800000"/>
          <a:headEnd/>
          <a:tailEnd/>
        </a:ln>
      </xdr:spPr>
    </xdr:pic>
    <xdr:clientData/>
  </xdr:twoCellAnchor>
  <xdr:twoCellAnchor>
    <xdr:from>
      <xdr:col>3</xdr:col>
      <xdr:colOff>104775</xdr:colOff>
      <xdr:row>14</xdr:row>
      <xdr:rowOff>76200</xdr:rowOff>
    </xdr:from>
    <xdr:to>
      <xdr:col>7</xdr:col>
      <xdr:colOff>57150</xdr:colOff>
      <xdr:row>16</xdr:row>
      <xdr:rowOff>152400</xdr:rowOff>
    </xdr:to>
    <xdr:sp macro="" textlink="">
      <xdr:nvSpPr>
        <xdr:cNvPr id="2056" name="WordArt 13" descr="White marble"/>
        <xdr:cNvSpPr>
          <a:spLocks noChangeArrowheads="1" noChangeShapeType="1" noTextEdit="1"/>
        </xdr:cNvSpPr>
      </xdr:nvSpPr>
      <xdr:spPr bwMode="auto">
        <a:xfrm>
          <a:off x="1933575" y="2343150"/>
          <a:ext cx="2390775" cy="400050"/>
        </a:xfrm>
        <a:prstGeom prst="rect">
          <a:avLst/>
        </a:prstGeom>
      </xdr:spPr>
      <xdr:txBody>
        <a:bodyPr vertOverflow="clip" wrap="none" lIns="91440" tIns="45720" rIns="91440" bIns="45720" fromWordArt="1" anchor="t" upright="1">
          <a:prstTxWarp prst="textPlain">
            <a:avLst>
              <a:gd name="adj" fmla="val 50000"/>
            </a:avLst>
          </a:prstTxWarp>
          <a:scene3d>
            <a:camera prst="legacyObliqueRight"/>
            <a:lightRig rig="legacyHarsh3" dir="t"/>
          </a:scene3d>
          <a:sp3d extrusionH="100000" prstMaterial="legacyMatte">
            <a:extrusionClr>
              <a:srgbClr val="663300"/>
            </a:extrusionClr>
          </a:sp3d>
        </a:bodyPr>
        <a:lstStyle/>
        <a:p>
          <a:pPr algn="ctr" rtl="0"/>
          <a:r>
            <a:rPr lang="en-US" sz="2800" u="none" strike="noStrike" kern="10" cap="small" spc="0" baseline="0">
              <a:ln w="9525">
                <a:round/>
                <a:headEnd/>
                <a:tailEnd/>
              </a:ln>
              <a:blipFill dpi="0" rotWithShape="0">
                <a:blip xmlns:r="http://schemas.openxmlformats.org/officeDocument/2006/relationships" r:embed="rId2"/>
                <a:srcRect/>
                <a:tile tx="0" ty="0" sx="100000" sy="100000" flip="none" algn="tl"/>
              </a:blipFill>
              <a:latin typeface="Garamond"/>
            </a:rPr>
            <a:t>2014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714375</xdr:colOff>
      <xdr:row>8</xdr:row>
      <xdr:rowOff>28575</xdr:rowOff>
    </xdr:from>
    <xdr:to>
      <xdr:col>1</xdr:col>
      <xdr:colOff>790575</xdr:colOff>
      <xdr:row>9</xdr:row>
      <xdr:rowOff>0</xdr:rowOff>
    </xdr:to>
    <xdr:sp macro="" textlink="">
      <xdr:nvSpPr>
        <xdr:cNvPr id="58369" name="AutoShape 1"/>
        <xdr:cNvSpPr>
          <a:spLocks/>
        </xdr:cNvSpPr>
      </xdr:nvSpPr>
      <xdr:spPr bwMode="auto">
        <a:xfrm>
          <a:off x="1647825" y="1504950"/>
          <a:ext cx="76200" cy="276225"/>
        </a:xfrm>
        <a:prstGeom prst="rightBrace">
          <a:avLst>
            <a:gd name="adj1" fmla="val 30208"/>
            <a:gd name="adj2" fmla="val 51514"/>
          </a:avLst>
        </a:prstGeom>
        <a:noFill/>
        <a:ln w="9525">
          <a:solidFill>
            <a:srgbClr val="FF0000"/>
          </a:solidFill>
          <a:round/>
          <a:headEnd/>
          <a:tailEnd/>
        </a:ln>
      </xdr:spPr>
    </xdr:sp>
    <xdr:clientData/>
  </xdr:twoCellAnchor>
  <xdr:twoCellAnchor>
    <xdr:from>
      <xdr:col>1</xdr:col>
      <xdr:colOff>704850</xdr:colOff>
      <xdr:row>9</xdr:row>
      <xdr:rowOff>19050</xdr:rowOff>
    </xdr:from>
    <xdr:to>
      <xdr:col>1</xdr:col>
      <xdr:colOff>800100</xdr:colOff>
      <xdr:row>10</xdr:row>
      <xdr:rowOff>0</xdr:rowOff>
    </xdr:to>
    <xdr:sp macro="" textlink="">
      <xdr:nvSpPr>
        <xdr:cNvPr id="58370" name="AutoShape 2"/>
        <xdr:cNvSpPr>
          <a:spLocks/>
        </xdr:cNvSpPr>
      </xdr:nvSpPr>
      <xdr:spPr bwMode="auto">
        <a:xfrm>
          <a:off x="1638300" y="1800225"/>
          <a:ext cx="95250" cy="285750"/>
        </a:xfrm>
        <a:prstGeom prst="rightBrace">
          <a:avLst>
            <a:gd name="adj1" fmla="val 25000"/>
            <a:gd name="adj2" fmla="val 50000"/>
          </a:avLst>
        </a:prstGeom>
        <a:noFill/>
        <a:ln w="9525">
          <a:solidFill>
            <a:srgbClr val="FF0000"/>
          </a:solidFill>
          <a:round/>
          <a:headEnd/>
          <a:tailEnd/>
        </a:ln>
      </xdr:spPr>
    </xdr:sp>
    <xdr:clientData/>
  </xdr:twoCellAnchor>
  <xdr:twoCellAnchor>
    <xdr:from>
      <xdr:col>1</xdr:col>
      <xdr:colOff>704850</xdr:colOff>
      <xdr:row>10</xdr:row>
      <xdr:rowOff>9525</xdr:rowOff>
    </xdr:from>
    <xdr:to>
      <xdr:col>1</xdr:col>
      <xdr:colOff>790575</xdr:colOff>
      <xdr:row>12</xdr:row>
      <xdr:rowOff>0</xdr:rowOff>
    </xdr:to>
    <xdr:sp macro="" textlink="">
      <xdr:nvSpPr>
        <xdr:cNvPr id="58371" name="AutoShape 11"/>
        <xdr:cNvSpPr>
          <a:spLocks/>
        </xdr:cNvSpPr>
      </xdr:nvSpPr>
      <xdr:spPr bwMode="auto">
        <a:xfrm>
          <a:off x="1638300" y="2095500"/>
          <a:ext cx="85725" cy="314325"/>
        </a:xfrm>
        <a:prstGeom prst="leftBrace">
          <a:avLst>
            <a:gd name="adj1" fmla="val 30556"/>
            <a:gd name="adj2" fmla="val 50000"/>
          </a:avLst>
        </a:prstGeom>
        <a:noFill/>
        <a:ln w="9525">
          <a:solidFill>
            <a:srgbClr val="FF6600"/>
          </a:solidFill>
          <a:round/>
          <a:headEnd/>
          <a:tailEnd/>
        </a:ln>
      </xdr:spPr>
    </xdr:sp>
    <xdr:clientData/>
  </xdr:twoCellAnchor>
  <xdr:twoCellAnchor>
    <xdr:from>
      <xdr:col>1</xdr:col>
      <xdr:colOff>704850</xdr:colOff>
      <xdr:row>22</xdr:row>
      <xdr:rowOff>9525</xdr:rowOff>
    </xdr:from>
    <xdr:to>
      <xdr:col>1</xdr:col>
      <xdr:colOff>781050</xdr:colOff>
      <xdr:row>23</xdr:row>
      <xdr:rowOff>152400</xdr:rowOff>
    </xdr:to>
    <xdr:sp macro="" textlink="">
      <xdr:nvSpPr>
        <xdr:cNvPr id="58372" name="AutoShape 13"/>
        <xdr:cNvSpPr>
          <a:spLocks/>
        </xdr:cNvSpPr>
      </xdr:nvSpPr>
      <xdr:spPr bwMode="auto">
        <a:xfrm>
          <a:off x="1638300" y="4038600"/>
          <a:ext cx="76200" cy="304800"/>
        </a:xfrm>
        <a:prstGeom prst="leftBrace">
          <a:avLst>
            <a:gd name="adj1" fmla="val 33333"/>
            <a:gd name="adj2" fmla="val 50000"/>
          </a:avLst>
        </a:prstGeom>
        <a:noFill/>
        <a:ln w="9525">
          <a:solidFill>
            <a:srgbClr val="FF6600"/>
          </a:solidFill>
          <a:round/>
          <a:headEnd/>
          <a:tailEnd/>
        </a:ln>
      </xdr:spPr>
    </xdr:sp>
    <xdr:clientData/>
  </xdr:twoCellAnchor>
  <xdr:twoCellAnchor>
    <xdr:from>
      <xdr:col>1</xdr:col>
      <xdr:colOff>704850</xdr:colOff>
      <xdr:row>25</xdr:row>
      <xdr:rowOff>9525</xdr:rowOff>
    </xdr:from>
    <xdr:to>
      <xdr:col>1</xdr:col>
      <xdr:colOff>771525</xdr:colOff>
      <xdr:row>26</xdr:row>
      <xdr:rowOff>152400</xdr:rowOff>
    </xdr:to>
    <xdr:sp macro="" textlink="">
      <xdr:nvSpPr>
        <xdr:cNvPr id="58373" name="AutoShape 14"/>
        <xdr:cNvSpPr>
          <a:spLocks/>
        </xdr:cNvSpPr>
      </xdr:nvSpPr>
      <xdr:spPr bwMode="auto">
        <a:xfrm>
          <a:off x="1638300" y="4524375"/>
          <a:ext cx="66675" cy="304800"/>
        </a:xfrm>
        <a:prstGeom prst="leftBrace">
          <a:avLst>
            <a:gd name="adj1" fmla="val 38095"/>
            <a:gd name="adj2" fmla="val 50000"/>
          </a:avLst>
        </a:prstGeom>
        <a:noFill/>
        <a:ln w="9525">
          <a:solidFill>
            <a:srgbClr val="FF6600"/>
          </a:solidFill>
          <a:round/>
          <a:headEnd/>
          <a:tailEnd/>
        </a:ln>
      </xdr:spPr>
    </xdr:sp>
    <xdr:clientData/>
  </xdr:twoCellAnchor>
  <xdr:twoCellAnchor>
    <xdr:from>
      <xdr:col>1</xdr:col>
      <xdr:colOff>704850</xdr:colOff>
      <xdr:row>37</xdr:row>
      <xdr:rowOff>9525</xdr:rowOff>
    </xdr:from>
    <xdr:to>
      <xdr:col>1</xdr:col>
      <xdr:colOff>771525</xdr:colOff>
      <xdr:row>38</xdr:row>
      <xdr:rowOff>152400</xdr:rowOff>
    </xdr:to>
    <xdr:sp macro="" textlink="">
      <xdr:nvSpPr>
        <xdr:cNvPr id="58374" name="AutoShape 15"/>
        <xdr:cNvSpPr>
          <a:spLocks/>
        </xdr:cNvSpPr>
      </xdr:nvSpPr>
      <xdr:spPr bwMode="auto">
        <a:xfrm>
          <a:off x="1638300" y="6467475"/>
          <a:ext cx="66675" cy="304800"/>
        </a:xfrm>
        <a:prstGeom prst="leftBrace">
          <a:avLst>
            <a:gd name="adj1" fmla="val 38095"/>
            <a:gd name="adj2" fmla="val 50000"/>
          </a:avLst>
        </a:prstGeom>
        <a:noFill/>
        <a:ln w="9525">
          <a:solidFill>
            <a:srgbClr val="FF6600"/>
          </a:solidFill>
          <a:round/>
          <a:headEnd/>
          <a:tailEnd/>
        </a:ln>
      </xdr:spPr>
    </xdr:sp>
    <xdr:clientData/>
  </xdr:twoCellAnchor>
  <xdr:twoCellAnchor>
    <xdr:from>
      <xdr:col>1</xdr:col>
      <xdr:colOff>704850</xdr:colOff>
      <xdr:row>35</xdr:row>
      <xdr:rowOff>9525</xdr:rowOff>
    </xdr:from>
    <xdr:to>
      <xdr:col>1</xdr:col>
      <xdr:colOff>771525</xdr:colOff>
      <xdr:row>36</xdr:row>
      <xdr:rowOff>152400</xdr:rowOff>
    </xdr:to>
    <xdr:sp macro="" textlink="">
      <xdr:nvSpPr>
        <xdr:cNvPr id="58375" name="AutoShape 16"/>
        <xdr:cNvSpPr>
          <a:spLocks/>
        </xdr:cNvSpPr>
      </xdr:nvSpPr>
      <xdr:spPr bwMode="auto">
        <a:xfrm>
          <a:off x="1638300" y="6143625"/>
          <a:ext cx="66675" cy="304800"/>
        </a:xfrm>
        <a:prstGeom prst="leftBrace">
          <a:avLst>
            <a:gd name="adj1" fmla="val 38095"/>
            <a:gd name="adj2" fmla="val 50000"/>
          </a:avLst>
        </a:prstGeom>
        <a:noFill/>
        <a:ln w="9525">
          <a:solidFill>
            <a:srgbClr val="FF6600"/>
          </a:solidFill>
          <a:round/>
          <a:headEnd/>
          <a:tailEnd/>
        </a:ln>
      </xdr:spPr>
    </xdr:sp>
    <xdr:clientData/>
  </xdr:twoCellAnchor>
  <xdr:twoCellAnchor>
    <xdr:from>
      <xdr:col>1</xdr:col>
      <xdr:colOff>714375</xdr:colOff>
      <xdr:row>32</xdr:row>
      <xdr:rowOff>9525</xdr:rowOff>
    </xdr:from>
    <xdr:to>
      <xdr:col>1</xdr:col>
      <xdr:colOff>771525</xdr:colOff>
      <xdr:row>33</xdr:row>
      <xdr:rowOff>152400</xdr:rowOff>
    </xdr:to>
    <xdr:sp macro="" textlink="">
      <xdr:nvSpPr>
        <xdr:cNvPr id="58376" name="AutoShape 17"/>
        <xdr:cNvSpPr>
          <a:spLocks/>
        </xdr:cNvSpPr>
      </xdr:nvSpPr>
      <xdr:spPr bwMode="auto">
        <a:xfrm>
          <a:off x="1647825" y="5657850"/>
          <a:ext cx="57150" cy="304800"/>
        </a:xfrm>
        <a:prstGeom prst="leftBrace">
          <a:avLst>
            <a:gd name="adj1" fmla="val 44444"/>
            <a:gd name="adj2" fmla="val 50000"/>
          </a:avLst>
        </a:prstGeom>
        <a:noFill/>
        <a:ln w="9525">
          <a:solidFill>
            <a:srgbClr val="FF6600"/>
          </a:solidFill>
          <a:round/>
          <a:headEnd/>
          <a:tailEnd/>
        </a:ln>
      </xdr:spPr>
    </xdr:sp>
    <xdr:clientData/>
  </xdr:twoCellAnchor>
  <xdr:twoCellAnchor>
    <xdr:from>
      <xdr:col>1</xdr:col>
      <xdr:colOff>704850</xdr:colOff>
      <xdr:row>28</xdr:row>
      <xdr:rowOff>9525</xdr:rowOff>
    </xdr:from>
    <xdr:to>
      <xdr:col>1</xdr:col>
      <xdr:colOff>771525</xdr:colOff>
      <xdr:row>31</xdr:row>
      <xdr:rowOff>152400</xdr:rowOff>
    </xdr:to>
    <xdr:sp macro="" textlink="">
      <xdr:nvSpPr>
        <xdr:cNvPr id="58377" name="AutoShape 18"/>
        <xdr:cNvSpPr>
          <a:spLocks/>
        </xdr:cNvSpPr>
      </xdr:nvSpPr>
      <xdr:spPr bwMode="auto">
        <a:xfrm>
          <a:off x="1638300" y="5010150"/>
          <a:ext cx="66675" cy="628650"/>
        </a:xfrm>
        <a:prstGeom prst="leftBrace">
          <a:avLst>
            <a:gd name="adj1" fmla="val 78571"/>
            <a:gd name="adj2" fmla="val 50000"/>
          </a:avLst>
        </a:prstGeom>
        <a:noFill/>
        <a:ln w="9525">
          <a:solidFill>
            <a:srgbClr val="FF6600"/>
          </a:solidFill>
          <a:round/>
          <a:headEnd/>
          <a:tailEnd/>
        </a:ln>
      </xdr:spPr>
    </xdr:sp>
    <xdr:clientData/>
  </xdr:twoCellAnchor>
  <xdr:twoCellAnchor>
    <xdr:from>
      <xdr:col>1</xdr:col>
      <xdr:colOff>990600</xdr:colOff>
      <xdr:row>18</xdr:row>
      <xdr:rowOff>19050</xdr:rowOff>
    </xdr:from>
    <xdr:to>
      <xdr:col>1</xdr:col>
      <xdr:colOff>1057275</xdr:colOff>
      <xdr:row>21</xdr:row>
      <xdr:rowOff>0</xdr:rowOff>
    </xdr:to>
    <xdr:sp macro="" textlink="">
      <xdr:nvSpPr>
        <xdr:cNvPr id="58378" name="AutoShape 19"/>
        <xdr:cNvSpPr>
          <a:spLocks/>
        </xdr:cNvSpPr>
      </xdr:nvSpPr>
      <xdr:spPr bwMode="auto">
        <a:xfrm>
          <a:off x="1924050" y="3400425"/>
          <a:ext cx="66675" cy="466725"/>
        </a:xfrm>
        <a:prstGeom prst="rightBrace">
          <a:avLst>
            <a:gd name="adj1" fmla="val 58333"/>
            <a:gd name="adj2" fmla="val 50000"/>
          </a:avLst>
        </a:prstGeom>
        <a:noFill/>
        <a:ln w="9525">
          <a:solidFill>
            <a:srgbClr val="FF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38100</xdr:colOff>
      <xdr:row>46</xdr:row>
      <xdr:rowOff>28575</xdr:rowOff>
    </xdr:from>
    <xdr:to>
      <xdr:col>12</xdr:col>
      <xdr:colOff>85725</xdr:colOff>
      <xdr:row>48</xdr:row>
      <xdr:rowOff>0</xdr:rowOff>
    </xdr:to>
    <xdr:sp macro="" textlink="">
      <xdr:nvSpPr>
        <xdr:cNvPr id="59393" name="AutoShape 20"/>
        <xdr:cNvSpPr>
          <a:spLocks/>
        </xdr:cNvSpPr>
      </xdr:nvSpPr>
      <xdr:spPr bwMode="auto">
        <a:xfrm>
          <a:off x="8115300" y="10629900"/>
          <a:ext cx="47625" cy="371475"/>
        </a:xfrm>
        <a:prstGeom prst="rightBrace">
          <a:avLst>
            <a:gd name="adj1" fmla="val 40625"/>
            <a:gd name="adj2" fmla="val 50000"/>
          </a:avLst>
        </a:prstGeom>
        <a:noFill/>
        <a:ln w="9525">
          <a:solidFill>
            <a:srgbClr val="FF66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95250</xdr:colOff>
      <xdr:row>38</xdr:row>
      <xdr:rowOff>19050</xdr:rowOff>
    </xdr:from>
    <xdr:to>
      <xdr:col>6</xdr:col>
      <xdr:colOff>171449</xdr:colOff>
      <xdr:row>39</xdr:row>
      <xdr:rowOff>161925</xdr:rowOff>
    </xdr:to>
    <xdr:sp macro="" textlink="">
      <xdr:nvSpPr>
        <xdr:cNvPr id="60418" name="AutoShape 2"/>
        <xdr:cNvSpPr>
          <a:spLocks/>
        </xdr:cNvSpPr>
      </xdr:nvSpPr>
      <xdr:spPr bwMode="auto">
        <a:xfrm>
          <a:off x="4295775" y="7943850"/>
          <a:ext cx="76199" cy="333375"/>
        </a:xfrm>
        <a:prstGeom prst="rightBrace">
          <a:avLst>
            <a:gd name="adj1" fmla="val 36458"/>
            <a:gd name="adj2" fmla="val 50000"/>
          </a:avLst>
        </a:prstGeom>
        <a:noFill/>
        <a:ln w="9525">
          <a:solidFill>
            <a:schemeClr val="tx1"/>
          </a:solidFill>
          <a:round/>
          <a:headEnd/>
          <a:tailEnd/>
        </a:ln>
      </xdr:spPr>
    </xdr:sp>
    <xdr:clientData/>
  </xdr:twoCellAnchor>
  <xdr:twoCellAnchor>
    <xdr:from>
      <xdr:col>5</xdr:col>
      <xdr:colOff>38100</xdr:colOff>
      <xdr:row>38</xdr:row>
      <xdr:rowOff>19050</xdr:rowOff>
    </xdr:from>
    <xdr:to>
      <xdr:col>5</xdr:col>
      <xdr:colOff>114300</xdr:colOff>
      <xdr:row>39</xdr:row>
      <xdr:rowOff>161925</xdr:rowOff>
    </xdr:to>
    <xdr:sp macro="" textlink="">
      <xdr:nvSpPr>
        <xdr:cNvPr id="60419" name="AutoShape 3"/>
        <xdr:cNvSpPr>
          <a:spLocks/>
        </xdr:cNvSpPr>
      </xdr:nvSpPr>
      <xdr:spPr bwMode="auto">
        <a:xfrm>
          <a:off x="3562350" y="7943850"/>
          <a:ext cx="76200" cy="333375"/>
        </a:xfrm>
        <a:prstGeom prst="rightBrace">
          <a:avLst>
            <a:gd name="adj1" fmla="val 36458"/>
            <a:gd name="adj2" fmla="val 50000"/>
          </a:avLst>
        </a:prstGeom>
        <a:noFill/>
        <a:ln w="9525">
          <a:solidFill>
            <a:srgbClr val="000000"/>
          </a:solidFill>
          <a:round/>
          <a:headEnd/>
          <a:tailEnd/>
        </a:ln>
      </xdr:spPr>
    </xdr:sp>
    <xdr:clientData/>
  </xdr:twoCellAnchor>
  <xdr:twoCellAnchor>
    <xdr:from>
      <xdr:col>5</xdr:col>
      <xdr:colOff>180975</xdr:colOff>
      <xdr:row>28</xdr:row>
      <xdr:rowOff>47625</xdr:rowOff>
    </xdr:from>
    <xdr:to>
      <xdr:col>5</xdr:col>
      <xdr:colOff>257175</xdr:colOff>
      <xdr:row>30</xdr:row>
      <xdr:rowOff>0</xdr:rowOff>
    </xdr:to>
    <xdr:sp macro="" textlink="">
      <xdr:nvSpPr>
        <xdr:cNvPr id="4" name="AutoShape 2"/>
        <xdr:cNvSpPr>
          <a:spLocks/>
        </xdr:cNvSpPr>
      </xdr:nvSpPr>
      <xdr:spPr bwMode="auto">
        <a:xfrm>
          <a:off x="3705225" y="6067425"/>
          <a:ext cx="76200" cy="333375"/>
        </a:xfrm>
        <a:prstGeom prst="rightBrace">
          <a:avLst>
            <a:gd name="adj1" fmla="val 36458"/>
            <a:gd name="adj2" fmla="val 50000"/>
          </a:avLst>
        </a:prstGeom>
        <a:noFill/>
        <a:ln w="9525">
          <a:solidFill>
            <a:srgbClr val="000000"/>
          </a:solidFill>
          <a:round/>
          <a:headEnd/>
          <a:tailEnd/>
        </a:ln>
      </xdr:spPr>
    </xdr:sp>
    <xdr:clientData/>
  </xdr:twoCellAnchor>
  <xdr:twoCellAnchor>
    <xdr:from>
      <xdr:col>6</xdr:col>
      <xdr:colOff>133350</xdr:colOff>
      <xdr:row>28</xdr:row>
      <xdr:rowOff>9525</xdr:rowOff>
    </xdr:from>
    <xdr:to>
      <xdr:col>6</xdr:col>
      <xdr:colOff>209550</xdr:colOff>
      <xdr:row>29</xdr:row>
      <xdr:rowOff>152400</xdr:rowOff>
    </xdr:to>
    <xdr:sp macro="" textlink="">
      <xdr:nvSpPr>
        <xdr:cNvPr id="5" name="AutoShape 2"/>
        <xdr:cNvSpPr>
          <a:spLocks/>
        </xdr:cNvSpPr>
      </xdr:nvSpPr>
      <xdr:spPr bwMode="auto">
        <a:xfrm>
          <a:off x="4333875" y="6029325"/>
          <a:ext cx="76200" cy="333375"/>
        </a:xfrm>
        <a:prstGeom prst="rightBrace">
          <a:avLst>
            <a:gd name="adj1" fmla="val 36458"/>
            <a:gd name="adj2" fmla="val 50000"/>
          </a:avLst>
        </a:prstGeom>
        <a:noFill/>
        <a:ln w="9525">
          <a:solidFill>
            <a:srgbClr val="000000"/>
          </a:solidFill>
          <a:round/>
          <a:headEnd/>
          <a:tailEnd/>
        </a:ln>
      </xdr:spPr>
    </xdr:sp>
    <xdr:clientData/>
  </xdr:twoCellAnchor>
  <xdr:twoCellAnchor>
    <xdr:from>
      <xdr:col>7</xdr:col>
      <xdr:colOff>47625</xdr:colOff>
      <xdr:row>28</xdr:row>
      <xdr:rowOff>19050</xdr:rowOff>
    </xdr:from>
    <xdr:to>
      <xdr:col>7</xdr:col>
      <xdr:colOff>123825</xdr:colOff>
      <xdr:row>29</xdr:row>
      <xdr:rowOff>161925</xdr:rowOff>
    </xdr:to>
    <xdr:sp macro="" textlink="">
      <xdr:nvSpPr>
        <xdr:cNvPr id="6" name="AutoShape 2"/>
        <xdr:cNvSpPr>
          <a:spLocks/>
        </xdr:cNvSpPr>
      </xdr:nvSpPr>
      <xdr:spPr bwMode="auto">
        <a:xfrm>
          <a:off x="4905375" y="6038850"/>
          <a:ext cx="76200" cy="333375"/>
        </a:xfrm>
        <a:prstGeom prst="rightBrace">
          <a:avLst>
            <a:gd name="adj1" fmla="val 36458"/>
            <a:gd name="adj2" fmla="val 50000"/>
          </a:avLst>
        </a:prstGeom>
        <a:noFill/>
        <a:ln w="9525">
          <a:solidFill>
            <a:srgbClr val="000000"/>
          </a:solidFill>
          <a:round/>
          <a:headEnd/>
          <a:tailEnd/>
        </a:ln>
      </xdr:spPr>
    </xdr:sp>
    <xdr:clientData/>
  </xdr:twoCellAnchor>
  <xdr:twoCellAnchor>
    <xdr:from>
      <xdr:col>8</xdr:col>
      <xdr:colOff>85725</xdr:colOff>
      <xdr:row>28</xdr:row>
      <xdr:rowOff>28575</xdr:rowOff>
    </xdr:from>
    <xdr:to>
      <xdr:col>8</xdr:col>
      <xdr:colOff>161925</xdr:colOff>
      <xdr:row>29</xdr:row>
      <xdr:rowOff>171450</xdr:rowOff>
    </xdr:to>
    <xdr:sp macro="" textlink="">
      <xdr:nvSpPr>
        <xdr:cNvPr id="7" name="AutoShape 2"/>
        <xdr:cNvSpPr>
          <a:spLocks/>
        </xdr:cNvSpPr>
      </xdr:nvSpPr>
      <xdr:spPr bwMode="auto">
        <a:xfrm>
          <a:off x="5457825" y="6048375"/>
          <a:ext cx="76200" cy="333375"/>
        </a:xfrm>
        <a:prstGeom prst="rightBrace">
          <a:avLst>
            <a:gd name="adj1" fmla="val 36458"/>
            <a:gd name="adj2" fmla="val 50000"/>
          </a:avLst>
        </a:prstGeom>
        <a:noFill/>
        <a:ln w="9525">
          <a:solidFill>
            <a:srgbClr val="000000"/>
          </a:solidFill>
          <a:round/>
          <a:headEnd/>
          <a:tailEnd/>
        </a:ln>
      </xdr:spPr>
    </xdr:sp>
    <xdr:clientData/>
  </xdr:twoCellAnchor>
  <xdr:twoCellAnchor>
    <xdr:from>
      <xdr:col>19</xdr:col>
      <xdr:colOff>190499</xdr:colOff>
      <xdr:row>31</xdr:row>
      <xdr:rowOff>19050</xdr:rowOff>
    </xdr:from>
    <xdr:to>
      <xdr:col>19</xdr:col>
      <xdr:colOff>236218</xdr:colOff>
      <xdr:row>32</xdr:row>
      <xdr:rowOff>161925</xdr:rowOff>
    </xdr:to>
    <xdr:sp macro="" textlink="">
      <xdr:nvSpPr>
        <xdr:cNvPr id="8" name="AutoShape 2"/>
        <xdr:cNvSpPr>
          <a:spLocks/>
        </xdr:cNvSpPr>
      </xdr:nvSpPr>
      <xdr:spPr bwMode="auto">
        <a:xfrm>
          <a:off x="12334874" y="6610350"/>
          <a:ext cx="45719" cy="333375"/>
        </a:xfrm>
        <a:prstGeom prst="rightBrace">
          <a:avLst>
            <a:gd name="adj1" fmla="val 36458"/>
            <a:gd name="adj2" fmla="val 50000"/>
          </a:avLst>
        </a:prstGeom>
        <a:noFill/>
        <a:ln w="9525">
          <a:solidFill>
            <a:schemeClr val="tx1"/>
          </a:solidFill>
          <a:round/>
          <a:headEnd/>
          <a:tailEnd/>
        </a:ln>
      </xdr:spPr>
    </xdr:sp>
    <xdr:clientData/>
  </xdr:twoCellAnchor>
  <xdr:twoCellAnchor>
    <xdr:from>
      <xdr:col>8</xdr:col>
      <xdr:colOff>76200</xdr:colOff>
      <xdr:row>38</xdr:row>
      <xdr:rowOff>9525</xdr:rowOff>
    </xdr:from>
    <xdr:to>
      <xdr:col>8</xdr:col>
      <xdr:colOff>152400</xdr:colOff>
      <xdr:row>39</xdr:row>
      <xdr:rowOff>152400</xdr:rowOff>
    </xdr:to>
    <xdr:sp macro="" textlink="">
      <xdr:nvSpPr>
        <xdr:cNvPr id="9" name="AutoShape 3"/>
        <xdr:cNvSpPr>
          <a:spLocks/>
        </xdr:cNvSpPr>
      </xdr:nvSpPr>
      <xdr:spPr bwMode="auto">
        <a:xfrm>
          <a:off x="5448300" y="7934325"/>
          <a:ext cx="76200" cy="333375"/>
        </a:xfrm>
        <a:prstGeom prst="rightBrace">
          <a:avLst>
            <a:gd name="adj1" fmla="val 36458"/>
            <a:gd name="adj2" fmla="val 50000"/>
          </a:avLst>
        </a:prstGeom>
        <a:noFill/>
        <a:ln w="9525">
          <a:solidFill>
            <a:srgbClr val="000000"/>
          </a:solidFill>
          <a:round/>
          <a:headEnd/>
          <a:tailEnd/>
        </a:ln>
      </xdr:spPr>
    </xdr:sp>
    <xdr:clientData/>
  </xdr:twoCellAnchor>
  <xdr:twoCellAnchor>
    <xdr:from>
      <xdr:col>7</xdr:col>
      <xdr:colOff>76200</xdr:colOff>
      <xdr:row>38</xdr:row>
      <xdr:rowOff>28575</xdr:rowOff>
    </xdr:from>
    <xdr:to>
      <xdr:col>7</xdr:col>
      <xdr:colOff>152399</xdr:colOff>
      <xdr:row>39</xdr:row>
      <xdr:rowOff>171450</xdr:rowOff>
    </xdr:to>
    <xdr:sp macro="" textlink="">
      <xdr:nvSpPr>
        <xdr:cNvPr id="10" name="AutoShape 2"/>
        <xdr:cNvSpPr>
          <a:spLocks/>
        </xdr:cNvSpPr>
      </xdr:nvSpPr>
      <xdr:spPr bwMode="auto">
        <a:xfrm>
          <a:off x="4933950" y="7953375"/>
          <a:ext cx="76199" cy="333375"/>
        </a:xfrm>
        <a:prstGeom prst="rightBrace">
          <a:avLst>
            <a:gd name="adj1" fmla="val 36458"/>
            <a:gd name="adj2" fmla="val 50000"/>
          </a:avLst>
        </a:prstGeom>
        <a:noFill/>
        <a:ln w="9525">
          <a:solidFill>
            <a:schemeClr val="tx1"/>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1171576</xdr:colOff>
      <xdr:row>28</xdr:row>
      <xdr:rowOff>66674</xdr:rowOff>
    </xdr:from>
    <xdr:to>
      <xdr:col>0</xdr:col>
      <xdr:colOff>1304926</xdr:colOff>
      <xdr:row>29</xdr:row>
      <xdr:rowOff>219074</xdr:rowOff>
    </xdr:to>
    <xdr:sp macro="" textlink="">
      <xdr:nvSpPr>
        <xdr:cNvPr id="5" name="Right Brace 4"/>
        <xdr:cNvSpPr/>
      </xdr:nvSpPr>
      <xdr:spPr bwMode="auto">
        <a:xfrm>
          <a:off x="1171576" y="5591174"/>
          <a:ext cx="133350" cy="371475"/>
        </a:xfrm>
        <a:prstGeom prst="rightBrace">
          <a:avLst/>
        </a:prstGeom>
        <a:noFill/>
        <a:ln w="9525" cap="flat" cmpd="sng" algn="ctr">
          <a:solidFill>
            <a:srgbClr val="FF66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0</xdr:col>
      <xdr:colOff>1143000</xdr:colOff>
      <xdr:row>38</xdr:row>
      <xdr:rowOff>76200</xdr:rowOff>
    </xdr:from>
    <xdr:to>
      <xdr:col>0</xdr:col>
      <xdr:colOff>1303019</xdr:colOff>
      <xdr:row>39</xdr:row>
      <xdr:rowOff>200025</xdr:rowOff>
    </xdr:to>
    <xdr:sp macro="" textlink="">
      <xdr:nvSpPr>
        <xdr:cNvPr id="6" name="Right Brace 5"/>
        <xdr:cNvSpPr/>
      </xdr:nvSpPr>
      <xdr:spPr bwMode="auto">
        <a:xfrm>
          <a:off x="1143000" y="7734300"/>
          <a:ext cx="160019" cy="342900"/>
        </a:xfrm>
        <a:prstGeom prst="rightBrace">
          <a:avLst/>
        </a:prstGeom>
        <a:noFill/>
        <a:ln w="9525" cap="flat" cmpd="sng" algn="ctr">
          <a:solidFill>
            <a:srgbClr val="FF66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1371600</xdr:colOff>
      <xdr:row>26</xdr:row>
      <xdr:rowOff>28575</xdr:rowOff>
    </xdr:from>
    <xdr:to>
      <xdr:col>2</xdr:col>
      <xdr:colOff>1447800</xdr:colOff>
      <xdr:row>27</xdr:row>
      <xdr:rowOff>190500</xdr:rowOff>
    </xdr:to>
    <xdr:sp macro="" textlink="">
      <xdr:nvSpPr>
        <xdr:cNvPr id="63489" name="AutoShape 14"/>
        <xdr:cNvSpPr>
          <a:spLocks/>
        </xdr:cNvSpPr>
      </xdr:nvSpPr>
      <xdr:spPr bwMode="auto">
        <a:xfrm>
          <a:off x="2352675" y="5543550"/>
          <a:ext cx="76200" cy="390525"/>
        </a:xfrm>
        <a:prstGeom prst="rightBrace">
          <a:avLst>
            <a:gd name="adj1" fmla="val 42708"/>
            <a:gd name="adj2" fmla="val 50000"/>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104775</xdr:colOff>
      <xdr:row>3</xdr:row>
      <xdr:rowOff>66675</xdr:rowOff>
    </xdr:from>
    <xdr:to>
      <xdr:col>0</xdr:col>
      <xdr:colOff>7038975</xdr:colOff>
      <xdr:row>44</xdr:row>
      <xdr:rowOff>76200</xdr:rowOff>
    </xdr:to>
    <xdr:sp macro="" textlink="">
      <xdr:nvSpPr>
        <xdr:cNvPr id="28673" name="AutoShape 1"/>
        <xdr:cNvSpPr>
          <a:spLocks noChangeArrowheads="1"/>
        </xdr:cNvSpPr>
      </xdr:nvSpPr>
      <xdr:spPr bwMode="auto">
        <a:xfrm>
          <a:off x="0" y="571500"/>
          <a:ext cx="0" cy="6648450"/>
        </a:xfrm>
        <a:prstGeom prst="verticalScroll">
          <a:avLst>
            <a:gd name="adj" fmla="val 12500"/>
          </a:avLst>
        </a:prstGeom>
        <a:solidFill>
          <a:srgbClr val="CCFFCC"/>
        </a:solidFill>
        <a:ln w="9525">
          <a:solidFill>
            <a:srgbClr val="993366"/>
          </a:solidFill>
          <a:round/>
          <a:headEnd/>
          <a:tailEnd/>
        </a:ln>
      </xdr:spPr>
      <xdr:txBody>
        <a:bodyPr vertOverflow="clip" wrap="square" lIns="109728" tIns="91440" rIns="109728" bIns="91440" anchor="ctr" upright="1"/>
        <a:lstStyle/>
        <a:p>
          <a:pPr algn="ctr" rtl="0">
            <a:defRPr sz="1000"/>
          </a:pPr>
          <a:r>
            <a:rPr lang="en-US" sz="6000" b="0" i="0" strike="noStrike">
              <a:solidFill>
                <a:srgbClr val="FFFFFF"/>
              </a:solidFill>
              <a:latin typeface="Arial"/>
              <a:cs typeface="Arial"/>
            </a:rPr>
            <a:t>BLOCK LEVEL STATISTICS</a:t>
          </a:r>
        </a:p>
        <a:p>
          <a:pPr algn="ctr" rtl="0">
            <a:defRPr sz="1000"/>
          </a:pPr>
          <a:endParaRPr lang="en-US" sz="6000" b="0" i="0" strike="noStrike">
            <a:solidFill>
              <a:srgbClr val="FFFFFF"/>
            </a:solidFill>
            <a:latin typeface="Arial"/>
            <a:cs typeface="Arial"/>
          </a:endParaRPr>
        </a:p>
        <a:p>
          <a:pPr algn="ctr" rtl="0">
            <a:defRPr sz="1000"/>
          </a:pPr>
          <a:r>
            <a:rPr lang="en-US" sz="6000" b="0" i="0" strike="noStrike">
              <a:solidFill>
                <a:srgbClr val="FFFFFF"/>
              </a:solidFill>
              <a:latin typeface="Arial"/>
              <a:cs typeface="Arial"/>
            </a:rPr>
            <a:t>2008-09</a:t>
          </a:r>
        </a:p>
      </xdr:txBody>
    </xdr:sp>
    <xdr:clientData/>
  </xdr:twoCellAnchor>
  <xdr:twoCellAnchor>
    <xdr:from>
      <xdr:col>1</xdr:col>
      <xdr:colOff>104775</xdr:colOff>
      <xdr:row>1</xdr:row>
      <xdr:rowOff>9525</xdr:rowOff>
    </xdr:from>
    <xdr:to>
      <xdr:col>1</xdr:col>
      <xdr:colOff>5305425</xdr:colOff>
      <xdr:row>49</xdr:row>
      <xdr:rowOff>85725</xdr:rowOff>
    </xdr:to>
    <xdr:sp macro="" textlink="">
      <xdr:nvSpPr>
        <xdr:cNvPr id="28675" name="Homepage"/>
        <xdr:cNvSpPr>
          <a:spLocks noEditPoints="1" noChangeArrowheads="1"/>
        </xdr:cNvSpPr>
      </xdr:nvSpPr>
      <xdr:spPr bwMode="auto">
        <a:xfrm flipH="1">
          <a:off x="104775" y="190500"/>
          <a:ext cx="5200650" cy="7848600"/>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val="D8EBB3"/>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ctr" rtl="1">
            <a:defRPr sz="1000"/>
          </a:pPr>
          <a:r>
            <a:rPr lang="en-US" sz="3500" b="0" i="0" strike="noStrike">
              <a:solidFill>
                <a:srgbClr val="000000"/>
              </a:solidFill>
              <a:latin typeface="Times New Roman"/>
              <a:cs typeface="Times New Roman"/>
            </a:rPr>
            <a:t>BLOCK LEVEL </a:t>
          </a:r>
        </a:p>
        <a:p>
          <a:pPr algn="ctr" rtl="1">
            <a:defRPr sz="1000"/>
          </a:pPr>
          <a:r>
            <a:rPr lang="en-US" sz="3500" b="0" i="0" strike="noStrike">
              <a:solidFill>
                <a:srgbClr val="000000"/>
              </a:solidFill>
              <a:latin typeface="Times New Roman"/>
              <a:cs typeface="Times New Roman"/>
            </a:rPr>
            <a:t>STATISTICS</a:t>
          </a:r>
          <a:r>
            <a:rPr lang="en-US" sz="4000" b="0" i="0" strike="noStrike">
              <a:solidFill>
                <a:srgbClr val="000000"/>
              </a:solidFill>
              <a:latin typeface="Times New Roman"/>
              <a:cs typeface="Times New Roman"/>
            </a:rPr>
            <a:t> </a:t>
          </a:r>
        </a:p>
        <a:p>
          <a:pPr algn="ctr" rtl="1">
            <a:defRPr sz="1000"/>
          </a:pPr>
          <a:r>
            <a:rPr lang="en-US" sz="3500" b="1" i="0" strike="noStrike">
              <a:solidFill>
                <a:srgbClr val="000000"/>
              </a:solidFill>
              <a:latin typeface="Rockwell"/>
            </a:rPr>
            <a:t>2013-14</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200025</xdr:colOff>
      <xdr:row>3</xdr:row>
      <xdr:rowOff>28575</xdr:rowOff>
    </xdr:from>
    <xdr:to>
      <xdr:col>0</xdr:col>
      <xdr:colOff>5953125</xdr:colOff>
      <xdr:row>24</xdr:row>
      <xdr:rowOff>47625</xdr:rowOff>
    </xdr:to>
    <xdr:sp macro="" textlink="">
      <xdr:nvSpPr>
        <xdr:cNvPr id="21505" name="AutoShape 1"/>
        <xdr:cNvSpPr>
          <a:spLocks noChangeArrowheads="1"/>
        </xdr:cNvSpPr>
      </xdr:nvSpPr>
      <xdr:spPr bwMode="auto">
        <a:xfrm>
          <a:off x="200025" y="4086225"/>
          <a:ext cx="5753100" cy="3419475"/>
        </a:xfrm>
        <a:prstGeom prst="sun">
          <a:avLst>
            <a:gd name="adj" fmla="val 25000"/>
          </a:avLst>
        </a:prstGeom>
        <a:solidFill>
          <a:srgbClr val="808000"/>
        </a:solidFill>
        <a:ln w="9525">
          <a:solidFill>
            <a:srgbClr val="993366"/>
          </a:solidFill>
          <a:miter lim="800000"/>
          <a:headEnd/>
          <a:tailEnd/>
        </a:ln>
      </xdr:spPr>
      <xdr:txBody>
        <a:bodyPr vertOverflow="clip" wrap="square" lIns="27432" tIns="22860" rIns="0" bIns="0" anchor="t" upright="1"/>
        <a:lstStyle/>
        <a:p>
          <a:pPr algn="l" rtl="0">
            <a:defRPr sz="1000"/>
          </a:pPr>
          <a:r>
            <a:rPr lang="en-US" sz="1000" b="0" i="0" strike="noStrike">
              <a:solidFill>
                <a:srgbClr val="FF0000"/>
              </a:solidFill>
              <a:latin typeface="Arial"/>
              <a:cs typeface="Arial"/>
            </a:rPr>
            <a:t>                                                               </a:t>
          </a:r>
          <a:r>
            <a:rPr lang="en-US" sz="4200" b="0" i="0" strike="noStrike">
              <a:solidFill>
                <a:srgbClr val="FFFFFF"/>
              </a:solidFill>
              <a:latin typeface="Arial"/>
              <a:cs typeface="Arial"/>
            </a:rPr>
            <a:t>2008-09</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657225</xdr:colOff>
      <xdr:row>5</xdr:row>
      <xdr:rowOff>57150</xdr:rowOff>
    </xdr:from>
    <xdr:to>
      <xdr:col>1</xdr:col>
      <xdr:colOff>733425</xdr:colOff>
      <xdr:row>6</xdr:row>
      <xdr:rowOff>161925</xdr:rowOff>
    </xdr:to>
    <xdr:sp macro="" textlink="">
      <xdr:nvSpPr>
        <xdr:cNvPr id="66561" name="AutoShape 9"/>
        <xdr:cNvSpPr>
          <a:spLocks/>
        </xdr:cNvSpPr>
      </xdr:nvSpPr>
      <xdr:spPr bwMode="auto">
        <a:xfrm>
          <a:off x="923925" y="1828800"/>
          <a:ext cx="76200" cy="295275"/>
        </a:xfrm>
        <a:prstGeom prst="rightBrace">
          <a:avLst>
            <a:gd name="adj1" fmla="val 32292"/>
            <a:gd name="adj2" fmla="val 50000"/>
          </a:avLst>
        </a:prstGeom>
        <a:noFill/>
        <a:ln w="9525">
          <a:solidFill>
            <a:srgbClr val="FF0000"/>
          </a:solidFill>
          <a:round/>
          <a:headEnd/>
          <a:tailEnd/>
        </a:ln>
      </xdr:spPr>
    </xdr:sp>
    <xdr:clientData/>
  </xdr:twoCellAnchor>
  <xdr:twoCellAnchor>
    <xdr:from>
      <xdr:col>1</xdr:col>
      <xdr:colOff>600075</xdr:colOff>
      <xdr:row>7</xdr:row>
      <xdr:rowOff>47625</xdr:rowOff>
    </xdr:from>
    <xdr:to>
      <xdr:col>1</xdr:col>
      <xdr:colOff>676275</xdr:colOff>
      <xdr:row>8</xdr:row>
      <xdr:rowOff>142875</xdr:rowOff>
    </xdr:to>
    <xdr:sp macro="" textlink="">
      <xdr:nvSpPr>
        <xdr:cNvPr id="66562" name="AutoShape 10"/>
        <xdr:cNvSpPr>
          <a:spLocks/>
        </xdr:cNvSpPr>
      </xdr:nvSpPr>
      <xdr:spPr bwMode="auto">
        <a:xfrm>
          <a:off x="866775" y="2200275"/>
          <a:ext cx="76200" cy="285750"/>
        </a:xfrm>
        <a:prstGeom prst="rightBrace">
          <a:avLst>
            <a:gd name="adj1" fmla="val 31250"/>
            <a:gd name="adj2" fmla="val 50000"/>
          </a:avLst>
        </a:prstGeom>
        <a:noFill/>
        <a:ln w="9525">
          <a:solidFill>
            <a:srgbClr val="FF0000"/>
          </a:solidFill>
          <a:round/>
          <a:headEnd/>
          <a:tailEnd/>
        </a:ln>
      </xdr:spPr>
    </xdr:sp>
    <xdr:clientData/>
  </xdr:twoCellAnchor>
  <xdr:twoCellAnchor>
    <xdr:from>
      <xdr:col>1</xdr:col>
      <xdr:colOff>714375</xdr:colOff>
      <xdr:row>25</xdr:row>
      <xdr:rowOff>47625</xdr:rowOff>
    </xdr:from>
    <xdr:to>
      <xdr:col>1</xdr:col>
      <xdr:colOff>790575</xdr:colOff>
      <xdr:row>26</xdr:row>
      <xdr:rowOff>180975</xdr:rowOff>
    </xdr:to>
    <xdr:sp macro="" textlink="">
      <xdr:nvSpPr>
        <xdr:cNvPr id="66563" name="AutoShape 11"/>
        <xdr:cNvSpPr>
          <a:spLocks/>
        </xdr:cNvSpPr>
      </xdr:nvSpPr>
      <xdr:spPr bwMode="auto">
        <a:xfrm>
          <a:off x="981075" y="5629275"/>
          <a:ext cx="76200" cy="323850"/>
        </a:xfrm>
        <a:prstGeom prst="rightBrace">
          <a:avLst>
            <a:gd name="adj1" fmla="val 35417"/>
            <a:gd name="adj2" fmla="val 50000"/>
          </a:avLst>
        </a:prstGeom>
        <a:noFill/>
        <a:ln w="9525">
          <a:solidFill>
            <a:srgbClr val="FF0000"/>
          </a:solidFill>
          <a:round/>
          <a:headEnd/>
          <a:tailEnd/>
        </a:ln>
      </xdr:spPr>
    </xdr:sp>
    <xdr:clientData/>
  </xdr:twoCellAnchor>
  <xdr:twoCellAnchor>
    <xdr:from>
      <xdr:col>1</xdr:col>
      <xdr:colOff>809625</xdr:colOff>
      <xdr:row>17</xdr:row>
      <xdr:rowOff>38100</xdr:rowOff>
    </xdr:from>
    <xdr:to>
      <xdr:col>1</xdr:col>
      <xdr:colOff>933450</xdr:colOff>
      <xdr:row>18</xdr:row>
      <xdr:rowOff>180975</xdr:rowOff>
    </xdr:to>
    <xdr:sp macro="" textlink="">
      <xdr:nvSpPr>
        <xdr:cNvPr id="66564" name="AutoShape 12"/>
        <xdr:cNvSpPr>
          <a:spLocks/>
        </xdr:cNvSpPr>
      </xdr:nvSpPr>
      <xdr:spPr bwMode="auto">
        <a:xfrm flipV="1">
          <a:off x="1076325" y="4095750"/>
          <a:ext cx="104775" cy="333375"/>
        </a:xfrm>
        <a:prstGeom prst="rightBrace">
          <a:avLst>
            <a:gd name="adj1" fmla="val 26515"/>
            <a:gd name="adj2" fmla="val 50000"/>
          </a:avLst>
        </a:prstGeom>
        <a:noFill/>
        <a:ln w="9525">
          <a:solidFill>
            <a:srgbClr val="FF66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HANDBOOK_2011\HANDBOOK_2011_APPROVED\Not_Published\PURULIA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HANDBOOK/Desktop/New%20Folder/kuheli%20Handbook/nadia/HANDBOOK_2009_NBO1/PURULIA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Handbook2014\PURULIA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HANDBOOK/Desktop/New%20Folder/kuheli%20Handbook/nadia/HANDBOOK_2009_NBO1/HANDBOOK_2009_NBO1/HANDBOOK_2009_NBO1/PURULIA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HANDBOOK_2009_NBO1\PURULIA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P"/>
      <sheetName val="Cover Page"/>
      <sheetName val="PREFACE"/>
      <sheetName val="Contents"/>
      <sheetName val="At a glance"/>
      <sheetName val="1.1,1.2"/>
      <sheetName val="1.3,1.4"/>
      <sheetName val="2.1"/>
      <sheetName val="2.1a,2.1b"/>
      <sheetName val="2.2"/>
      <sheetName val="2.3"/>
      <sheetName val="2.4a"/>
      <sheetName val="2.4b"/>
      <sheetName val="2.5a"/>
      <sheetName val="2.5b"/>
      <sheetName val="2.6"/>
      <sheetName val="2.7"/>
      <sheetName val="2.8"/>
      <sheetName val="2.9,2.10"/>
      <sheetName val="2.10a"/>
      <sheetName val="2.11"/>
      <sheetName val="3.1"/>
      <sheetName val="3.2"/>
      <sheetName val="3.2a"/>
      <sheetName val="3.3"/>
      <sheetName val="3.3a"/>
      <sheetName val="4.1a"/>
      <sheetName val="4.1b"/>
      <sheetName val="4.1c"/>
      <sheetName val="4.2a"/>
      <sheetName val="4.2b"/>
      <sheetName val="4.2c"/>
      <sheetName val="4.3a"/>
      <sheetName val="4.3b"/>
      <sheetName val="4.3c"/>
      <sheetName val="4.4"/>
      <sheetName val="4.5"/>
      <sheetName val="4.6"/>
      <sheetName val="4.7,4.8"/>
      <sheetName val="5.1"/>
      <sheetName val="5.1a,5.1b"/>
      <sheetName val="5.2"/>
      <sheetName val="5.3"/>
      <sheetName val="5.3a"/>
      <sheetName val="5.3b,5.3c"/>
      <sheetName val="5.3d"/>
      <sheetName val="5.4"/>
      <sheetName val="5.5,5.5a"/>
      <sheetName val="5.6,5.7,5.8"/>
      <sheetName val="6.1"/>
      <sheetName val="6.2"/>
      <sheetName val="7.1"/>
      <sheetName val="7.2,7.3"/>
      <sheetName val="8.1,8.2"/>
      <sheetName val="8.2a,8.3"/>
      <sheetName val="8.4,8.4a"/>
      <sheetName val="9.1"/>
      <sheetName val="9.2,9.2a,9.2b"/>
      <sheetName val="10.1,10.2"/>
      <sheetName val="10.3"/>
      <sheetName val="11.1"/>
      <sheetName val="11.1a,11.2"/>
      <sheetName val="11.3,11.4"/>
      <sheetName val="12.1,12.2"/>
      <sheetName val="12.3,12.4"/>
      <sheetName val="12.5,12.6,12.7"/>
      <sheetName val="13.1"/>
      <sheetName val="13.2,13.3"/>
      <sheetName val="14.1,14.2"/>
      <sheetName val="15.1"/>
      <sheetName val="15.2"/>
      <sheetName val="Block_Level"/>
      <sheetName val="16.1"/>
      <sheetName val="17.1"/>
      <sheetName val="17.2"/>
      <sheetName val="18.1"/>
      <sheetName val="18.2"/>
      <sheetName val="18.3"/>
      <sheetName val="19.1"/>
      <sheetName val="20.1"/>
      <sheetName val="20.2"/>
      <sheetName val="21.1"/>
      <sheetName val="21.2"/>
      <sheetName val="Check(Pop)"/>
      <sheetName val="Check(Agri.Lab)"/>
      <sheetName val="Check(Block)"/>
      <sheetName val="Distri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P"/>
      <sheetName val="Cover Page"/>
      <sheetName val="PREFACE"/>
      <sheetName val="Contents"/>
      <sheetName val="At a glance"/>
      <sheetName val="1.1,1.2"/>
      <sheetName val="1.3,1.4"/>
      <sheetName val="2.1"/>
      <sheetName val="2.1a,2.1b"/>
      <sheetName val="2.2"/>
      <sheetName val="2.3"/>
      <sheetName val="2.4a"/>
      <sheetName val="2.4b"/>
      <sheetName val="2.5a"/>
      <sheetName val="2.5b"/>
      <sheetName val="2.6"/>
      <sheetName val="2.7"/>
      <sheetName val="2.8"/>
      <sheetName val="2.9,2.10"/>
      <sheetName val="2.10a"/>
      <sheetName val="2.11"/>
      <sheetName val="3.1"/>
      <sheetName val="3.2"/>
      <sheetName val="3.2a"/>
      <sheetName val="3.3"/>
      <sheetName val="3.3a"/>
      <sheetName val="4.1a"/>
      <sheetName val="4.1b"/>
      <sheetName val="4.1c"/>
      <sheetName val="4.2a"/>
      <sheetName val="4.2b"/>
      <sheetName val="4.2c"/>
      <sheetName val="4.3a"/>
      <sheetName val="4.3b"/>
      <sheetName val="4.3c"/>
      <sheetName val="4.4"/>
      <sheetName val="4.5"/>
      <sheetName val="4.6"/>
      <sheetName val="4.7,4.8"/>
      <sheetName val="5.1"/>
      <sheetName val="5.1a,5.1b"/>
      <sheetName val="5.2"/>
      <sheetName val="5.3"/>
      <sheetName val="5.3a"/>
      <sheetName val="5.3b,5.3c"/>
      <sheetName val="5.3d"/>
      <sheetName val="5.4"/>
      <sheetName val="5.5,5.5a"/>
      <sheetName val="5.6,5.7,5.8"/>
      <sheetName val="6.1"/>
      <sheetName val="6.2"/>
      <sheetName val="7.1"/>
      <sheetName val="7.2,7.3"/>
      <sheetName val="8.1,8.2"/>
      <sheetName val="8.2a,8.3"/>
      <sheetName val="8.4,8.4a"/>
      <sheetName val="9.1"/>
      <sheetName val="9.2,9.2a,9.2b"/>
      <sheetName val="10.1,10.2"/>
      <sheetName val="10.3"/>
      <sheetName val="11.1"/>
      <sheetName val="11.1a,11.2"/>
      <sheetName val="11.3,11.4"/>
      <sheetName val="12.1,12.2"/>
      <sheetName val="12.3,12.4"/>
      <sheetName val="12.5,12.6,12.7"/>
      <sheetName val="13.1"/>
      <sheetName val="13.2,13.3"/>
      <sheetName val="14.1,14.2"/>
      <sheetName val="15.1"/>
      <sheetName val="15.2"/>
      <sheetName val="Block_Level"/>
      <sheetName val="16.1"/>
      <sheetName val="17.1"/>
      <sheetName val="17.2"/>
      <sheetName val="18.1"/>
      <sheetName val="18.2"/>
      <sheetName val="18.3"/>
      <sheetName val="19.1"/>
      <sheetName val="20.1"/>
      <sheetName val="20.2"/>
      <sheetName val="21.1"/>
      <sheetName val="21.2"/>
      <sheetName val="Check(Pop)"/>
      <sheetName val="Check(Agri.Lab)"/>
      <sheetName val="Check(Block)"/>
      <sheetName val="Distri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P"/>
      <sheetName val="Cover Page"/>
      <sheetName val="PREFACE"/>
      <sheetName val="Contents"/>
      <sheetName val="At a glance"/>
      <sheetName val="1.1,1.2"/>
      <sheetName val="1.3,1.4"/>
      <sheetName val="2.1"/>
      <sheetName val="2.1a,2.1b"/>
      <sheetName val="2.2"/>
      <sheetName val="2.3"/>
      <sheetName val="2.4a"/>
      <sheetName val="2.4b"/>
      <sheetName val="2.5a"/>
      <sheetName val="2.5b"/>
      <sheetName val="2.6"/>
      <sheetName val="2.7"/>
      <sheetName val="2.8"/>
      <sheetName val="2.9,2.10"/>
      <sheetName val="2.10a"/>
      <sheetName val="2.11"/>
      <sheetName val="3.1"/>
      <sheetName val="3.2"/>
      <sheetName val="3.2a"/>
      <sheetName val="3.3"/>
      <sheetName val="3.3a"/>
      <sheetName val="4.1a"/>
      <sheetName val="4.1b"/>
      <sheetName val="4.1c"/>
      <sheetName val="4.2a"/>
      <sheetName val="4.2b"/>
      <sheetName val="4.2c"/>
      <sheetName val="4.3a"/>
      <sheetName val="4.3b"/>
      <sheetName val="4.3c"/>
      <sheetName val="4.4"/>
      <sheetName val="4.5"/>
      <sheetName val="4.6"/>
      <sheetName val="4.7,4.8"/>
      <sheetName val="5.1"/>
      <sheetName val="5.1a,5.1b"/>
      <sheetName val="5.2"/>
      <sheetName val="5.3"/>
      <sheetName val="5.3a"/>
      <sheetName val="5.3b,5.3c"/>
      <sheetName val="5.3d"/>
      <sheetName val="5.4"/>
      <sheetName val="5.5,5.5a"/>
      <sheetName val="5.6,5.7,5.8"/>
      <sheetName val="6.1"/>
      <sheetName val="6.2"/>
      <sheetName val="7.1"/>
      <sheetName val="7.2,7.3"/>
      <sheetName val="8.1,8.2"/>
      <sheetName val="8.2a,8.3"/>
      <sheetName val="8.4,8.4a"/>
      <sheetName val="9.1"/>
      <sheetName val="9.2,9.2a,9.2b"/>
      <sheetName val="10.1,10.2"/>
      <sheetName val="10.3"/>
      <sheetName val="11.1"/>
      <sheetName val="11.1a,11.2"/>
      <sheetName val="11.3,11.4"/>
      <sheetName val="12.1,12.2"/>
      <sheetName val="12.3,12.4"/>
      <sheetName val="12.5,12.6,12.7"/>
      <sheetName val="13.1"/>
      <sheetName val="13.2,13.3"/>
      <sheetName val="14.1,14.2"/>
      <sheetName val="15.1"/>
      <sheetName val="15.2"/>
      <sheetName val="Block_Level"/>
      <sheetName val="16.1"/>
      <sheetName val="17.1"/>
      <sheetName val="17.2"/>
      <sheetName val="18.1"/>
      <sheetName val="18.2"/>
      <sheetName val="18.3"/>
      <sheetName val="19.1"/>
      <sheetName val="20.1"/>
      <sheetName val="20.2"/>
      <sheetName val="21.1"/>
      <sheetName val="21.2"/>
      <sheetName val="Check(Pop)"/>
      <sheetName val="Check(Agri.Lab)"/>
      <sheetName val="Check(Block)"/>
      <sheetName val="Distri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AP"/>
      <sheetName val="Cover Page"/>
      <sheetName val="PREFACE"/>
      <sheetName val="Contents"/>
      <sheetName val="At a glance"/>
      <sheetName val="1.1,1.2"/>
      <sheetName val="1.3,1.4"/>
      <sheetName val="2.1"/>
      <sheetName val="2.1a,2.1b"/>
      <sheetName val="2.2"/>
      <sheetName val="2.3"/>
      <sheetName val="2.4a"/>
      <sheetName val="2.4b"/>
      <sheetName val="2.5a"/>
      <sheetName val="2.5b"/>
      <sheetName val="2.6"/>
      <sheetName val="2.7"/>
      <sheetName val="2.8"/>
      <sheetName val="2.9,2.10"/>
      <sheetName val="2.10a"/>
      <sheetName val="2.11"/>
      <sheetName val="3.1"/>
      <sheetName val="3.2"/>
      <sheetName val="3.2a"/>
      <sheetName val="3.3"/>
      <sheetName val="3.3a"/>
      <sheetName val="4.1a"/>
      <sheetName val="4.1b"/>
      <sheetName val="4.1c"/>
      <sheetName val="4.2a"/>
      <sheetName val="4.2b"/>
      <sheetName val="4.2c"/>
      <sheetName val="4.3a"/>
      <sheetName val="4.3b"/>
      <sheetName val="4.3c"/>
      <sheetName val="4.4"/>
      <sheetName val="4.5"/>
      <sheetName val="4.6"/>
      <sheetName val="4.7,4.8"/>
      <sheetName val="5.1"/>
      <sheetName val="5.1a,5.1b"/>
      <sheetName val="5.2"/>
      <sheetName val="5.3"/>
      <sheetName val="5.3a"/>
      <sheetName val="5.3b,5.3c"/>
      <sheetName val="5.3d"/>
      <sheetName val="5.4"/>
      <sheetName val="5.5,5.5a"/>
      <sheetName val="5.6,5.7,5.8"/>
      <sheetName val="6.1"/>
      <sheetName val="6.2"/>
      <sheetName val="7.1"/>
      <sheetName val="7.2,7.3"/>
      <sheetName val="8.1,8.2"/>
      <sheetName val="8.2a,8.3"/>
      <sheetName val="8.4,8.4a"/>
      <sheetName val="9.1"/>
      <sheetName val="9.2,9.2a,9.2b"/>
      <sheetName val="10.1,10.2"/>
      <sheetName val="10.3"/>
      <sheetName val="11.1"/>
      <sheetName val="11.1a,11.2"/>
      <sheetName val="11.3,11.4"/>
      <sheetName val="12.1,12.2"/>
      <sheetName val="12.3,12.4"/>
      <sheetName val="12.5,12.6,12.7"/>
      <sheetName val="13.1"/>
      <sheetName val="13.2,13.3"/>
      <sheetName val="14.1,14.2"/>
      <sheetName val="15.1"/>
      <sheetName val="15.2"/>
      <sheetName val="Block_Level"/>
      <sheetName val="16.1"/>
      <sheetName val="17.1"/>
      <sheetName val="17.2"/>
      <sheetName val="18.1"/>
      <sheetName val="18.2"/>
      <sheetName val="18.3"/>
      <sheetName val="19.1"/>
      <sheetName val="20.1"/>
      <sheetName val="20.2"/>
      <sheetName val="21.1"/>
      <sheetName val="21.2"/>
      <sheetName val="Check(Pop)"/>
      <sheetName val="Check(Agri.Lab)"/>
      <sheetName val="Check(Block)"/>
      <sheetName val="Distri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P"/>
      <sheetName val="Cover Page"/>
      <sheetName val="PREFACE"/>
      <sheetName val="Contents"/>
      <sheetName val="At a glance"/>
      <sheetName val="1.1,1.2"/>
      <sheetName val="1.3,1.4"/>
      <sheetName val="2.1"/>
      <sheetName val="2.1a,2.1b"/>
      <sheetName val="2.2"/>
      <sheetName val="2.3"/>
      <sheetName val="2.4a"/>
      <sheetName val="2.4b"/>
      <sheetName val="2.5a"/>
      <sheetName val="2.5b"/>
      <sheetName val="2.6"/>
      <sheetName val="2.7"/>
      <sheetName val="2.8"/>
      <sheetName val="2.9,2.10"/>
      <sheetName val="2.10a"/>
      <sheetName val="2.11"/>
      <sheetName val="3.1"/>
      <sheetName val="3.2"/>
      <sheetName val="3.2a"/>
      <sheetName val="3.3"/>
      <sheetName val="3.3a"/>
      <sheetName val="4.1a"/>
      <sheetName val="4.1b"/>
      <sheetName val="4.1c"/>
      <sheetName val="4.2a"/>
      <sheetName val="4.2b"/>
      <sheetName val="4.2c"/>
      <sheetName val="4.3a"/>
      <sheetName val="4.3b"/>
      <sheetName val="4.3c"/>
      <sheetName val="4.4"/>
      <sheetName val="4.5"/>
      <sheetName val="4.6"/>
      <sheetName val="4.7,4.8"/>
      <sheetName val="5.1"/>
      <sheetName val="5.1a,5.1b"/>
      <sheetName val="5.2"/>
      <sheetName val="5.3"/>
      <sheetName val="5.3a"/>
      <sheetName val="5.3b,5.3c"/>
      <sheetName val="5.3d"/>
      <sheetName val="5.4"/>
      <sheetName val="5.5,5.5a"/>
      <sheetName val="5.6,5.7,5.8"/>
      <sheetName val="6.1"/>
      <sheetName val="6.2"/>
      <sheetName val="7.1"/>
      <sheetName val="7.2,7.3"/>
      <sheetName val="8.1,8.2"/>
      <sheetName val="8.2a,8.3"/>
      <sheetName val="8.4,8.4a"/>
      <sheetName val="9.1"/>
      <sheetName val="9.2,9.2a,9.2b"/>
      <sheetName val="10.1,10.2"/>
      <sheetName val="10.3"/>
      <sheetName val="11.1"/>
      <sheetName val="11.1a,11.2"/>
      <sheetName val="11.3,11.4"/>
      <sheetName val="12.1,12.2"/>
      <sheetName val="12.3,12.4"/>
      <sheetName val="12.5,12.6,12.7"/>
      <sheetName val="13.1"/>
      <sheetName val="13.2,13.3"/>
      <sheetName val="14.1,14.2"/>
      <sheetName val="15.1"/>
      <sheetName val="15.2"/>
      <sheetName val="Block_Level"/>
      <sheetName val="16.1"/>
      <sheetName val="17.1"/>
      <sheetName val="17.2"/>
      <sheetName val="18.1"/>
      <sheetName val="18.2"/>
      <sheetName val="18.3"/>
      <sheetName val="19.1"/>
      <sheetName val="20.1"/>
      <sheetName val="20.2"/>
      <sheetName val="21.1"/>
      <sheetName val="21.2"/>
      <sheetName val="Check(Pop)"/>
      <sheetName val="Check(Agri.Lab)"/>
      <sheetName val="Check(Block)"/>
      <sheetName val="Distri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FF66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FF66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Microsoft_Office_Word_97_-_2003_Document1.doc"/><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sheet1.xml><?xml version="1.0" encoding="utf-8"?>
<worksheet xmlns="http://schemas.openxmlformats.org/spreadsheetml/2006/main" xmlns:r="http://schemas.openxmlformats.org/officeDocument/2006/relationships">
  <dimension ref="A36:J58"/>
  <sheetViews>
    <sheetView tabSelected="1" workbookViewId="0">
      <selection activeCell="R25" sqref="R25"/>
    </sheetView>
  </sheetViews>
  <sheetFormatPr defaultRowHeight="12.75"/>
  <sheetData>
    <row r="36" ht="27.75" customHeight="1"/>
    <row r="37" ht="12.75" customHeight="1"/>
    <row r="56" spans="1:10" ht="20.25">
      <c r="A56" s="1225" t="s">
        <v>1186</v>
      </c>
      <c r="B56" s="1225"/>
      <c r="C56" s="1225"/>
      <c r="D56" s="1225"/>
      <c r="E56" s="1225"/>
      <c r="F56" s="1225"/>
      <c r="G56" s="1225"/>
      <c r="H56" s="1225"/>
      <c r="I56" s="1225"/>
      <c r="J56" s="1225"/>
    </row>
    <row r="57" spans="1:10" ht="21" customHeight="1">
      <c r="A57" s="1226" t="s">
        <v>1335</v>
      </c>
      <c r="B57" s="1226"/>
      <c r="C57" s="1226"/>
      <c r="D57" s="1226"/>
      <c r="E57" s="1226"/>
      <c r="F57" s="1226"/>
      <c r="G57" s="1226"/>
      <c r="H57" s="1226"/>
      <c r="I57" s="1226"/>
      <c r="J57" s="1226"/>
    </row>
    <row r="58" spans="1:10" ht="15.75">
      <c r="A58" s="1224" t="s">
        <v>1187</v>
      </c>
      <c r="B58" s="1224"/>
      <c r="C58" s="1224"/>
      <c r="D58" s="1224"/>
      <c r="E58" s="1224"/>
      <c r="F58" s="1224"/>
      <c r="G58" s="1224"/>
      <c r="H58" s="1224"/>
      <c r="I58" s="1224"/>
      <c r="J58" s="1224"/>
    </row>
  </sheetData>
  <mergeCells count="3">
    <mergeCell ref="A58:J58"/>
    <mergeCell ref="A56:J56"/>
    <mergeCell ref="A57:J57"/>
  </mergeCells>
  <phoneticPr fontId="0" type="noConversion"/>
  <printOptions horizontalCentered="1"/>
  <pageMargins left="0.3" right="0.25" top="0.5" bottom="0" header="0.5" footer="0.5"/>
  <pageSetup paperSize="9" orientation="portrait" horizontalDpi="4294967295" r:id="rId1"/>
  <headerFooter alignWithMargins="0"/>
  <drawing r:id="rId2"/>
  <legacyDrawing r:id="rId3"/>
  <oleObjects>
    <oleObject progId="CorelDRAW.Graphic.9" shapeId="2052" r:id="rId4"/>
  </oleObjects>
</worksheet>
</file>

<file path=xl/worksheets/sheet10.xml><?xml version="1.0" encoding="utf-8"?>
<worksheet xmlns="http://schemas.openxmlformats.org/spreadsheetml/2006/main" xmlns:r="http://schemas.openxmlformats.org/officeDocument/2006/relationships">
  <sheetPr codeName="Sheet8"/>
  <dimension ref="A1:H30"/>
  <sheetViews>
    <sheetView workbookViewId="0">
      <selection activeCell="I31" sqref="I31"/>
    </sheetView>
  </sheetViews>
  <sheetFormatPr defaultRowHeight="12.75"/>
  <cols>
    <col min="1" max="1" width="12.140625" style="405" customWidth="1"/>
    <col min="2" max="2" width="17.5703125" style="405" customWidth="1"/>
    <col min="3" max="3" width="16.5703125" style="405" customWidth="1"/>
    <col min="4" max="4" width="17.140625" style="405" customWidth="1"/>
    <col min="5" max="5" width="17.5703125" style="405" customWidth="1"/>
    <col min="6" max="6" width="20.28515625" style="405" customWidth="1"/>
    <col min="7" max="8" width="18" style="405" customWidth="1"/>
    <col min="9" max="16384" width="9.140625" style="405"/>
  </cols>
  <sheetData>
    <row r="1" spans="1:8">
      <c r="A1" s="789"/>
      <c r="B1" s="1250" t="s">
        <v>419</v>
      </c>
      <c r="C1" s="1250"/>
      <c r="D1" s="1250"/>
      <c r="E1" s="1250"/>
      <c r="F1" s="1250"/>
      <c r="G1" s="1250"/>
    </row>
    <row r="2" spans="1:8" s="412" customFormat="1" ht="15.75" customHeight="1">
      <c r="A2" s="790"/>
      <c r="B2" s="1299" t="str">
        <f>CONCATENATE("Assembly and Parliamentary Constituencies in the district of ",District!$A$1)</f>
        <v>Assembly and Parliamentary Constituencies in the district of Nadia</v>
      </c>
      <c r="C2" s="1299"/>
      <c r="D2" s="1299"/>
      <c r="E2" s="1299"/>
      <c r="F2" s="1299"/>
      <c r="G2" s="1299"/>
    </row>
    <row r="3" spans="1:8" ht="12" customHeight="1">
      <c r="A3" s="791"/>
      <c r="B3" s="412"/>
      <c r="C3" s="436"/>
      <c r="D3" s="436"/>
      <c r="E3" s="436"/>
      <c r="F3" s="436"/>
      <c r="G3" s="792" t="s">
        <v>223</v>
      </c>
    </row>
    <row r="4" spans="1:8" ht="13.5" customHeight="1">
      <c r="A4" s="790"/>
      <c r="B4" s="1257" t="s">
        <v>107</v>
      </c>
      <c r="C4" s="1257" t="s">
        <v>230</v>
      </c>
      <c r="D4" s="1262" t="s">
        <v>1029</v>
      </c>
      <c r="E4" s="1253" t="s">
        <v>1383</v>
      </c>
      <c r="F4" s="1252"/>
      <c r="G4" s="1257" t="s">
        <v>210</v>
      </c>
    </row>
    <row r="5" spans="1:8" ht="12.75" customHeight="1">
      <c r="A5" s="790"/>
      <c r="B5" s="1270"/>
      <c r="C5" s="1270"/>
      <c r="D5" s="1300"/>
      <c r="E5" s="219" t="s">
        <v>185</v>
      </c>
      <c r="F5" s="496" t="s">
        <v>186</v>
      </c>
      <c r="G5" s="1258"/>
    </row>
    <row r="6" spans="1:8" ht="20.100000000000001" customHeight="1">
      <c r="A6" s="790"/>
      <c r="B6" s="299" t="s">
        <v>163</v>
      </c>
      <c r="C6" s="225" t="s">
        <v>164</v>
      </c>
      <c r="D6" s="225" t="s">
        <v>165</v>
      </c>
      <c r="E6" s="225" t="s">
        <v>166</v>
      </c>
      <c r="F6" s="224" t="s">
        <v>167</v>
      </c>
      <c r="G6" s="225" t="s">
        <v>168</v>
      </c>
    </row>
    <row r="7" spans="1:8" ht="17.25" customHeight="1">
      <c r="A7" s="790"/>
      <c r="B7" s="1257">
        <v>2010</v>
      </c>
      <c r="C7" s="46" t="s">
        <v>231</v>
      </c>
      <c r="D7" s="463">
        <v>12</v>
      </c>
      <c r="E7" s="463">
        <v>5</v>
      </c>
      <c r="F7" s="421" t="s">
        <v>643</v>
      </c>
      <c r="G7" s="516">
        <f t="shared" ref="G7:G16" si="0">SUM(D7,E7,F7)</f>
        <v>17</v>
      </c>
    </row>
    <row r="8" spans="1:8" ht="18" customHeight="1">
      <c r="A8" s="790"/>
      <c r="B8" s="1270"/>
      <c r="C8" s="46" t="s">
        <v>232</v>
      </c>
      <c r="D8" s="463">
        <v>1</v>
      </c>
      <c r="E8" s="463">
        <v>1</v>
      </c>
      <c r="F8" s="421" t="s">
        <v>643</v>
      </c>
      <c r="G8" s="516">
        <f t="shared" si="0"/>
        <v>2</v>
      </c>
    </row>
    <row r="9" spans="1:8" ht="18" customHeight="1">
      <c r="A9" s="790"/>
      <c r="B9" s="1270">
        <v>2011</v>
      </c>
      <c r="C9" s="46" t="s">
        <v>231</v>
      </c>
      <c r="D9" s="463">
        <v>12</v>
      </c>
      <c r="E9" s="463">
        <v>5</v>
      </c>
      <c r="F9" s="421" t="s">
        <v>643</v>
      </c>
      <c r="G9" s="516">
        <f t="shared" si="0"/>
        <v>17</v>
      </c>
    </row>
    <row r="10" spans="1:8" ht="18" customHeight="1">
      <c r="A10" s="790"/>
      <c r="B10" s="1270"/>
      <c r="C10" s="46" t="s">
        <v>232</v>
      </c>
      <c r="D10" s="463">
        <v>1</v>
      </c>
      <c r="E10" s="463">
        <v>1</v>
      </c>
      <c r="F10" s="421" t="s">
        <v>643</v>
      </c>
      <c r="G10" s="516">
        <f t="shared" si="0"/>
        <v>2</v>
      </c>
    </row>
    <row r="11" spans="1:8" ht="18" customHeight="1">
      <c r="A11" s="790"/>
      <c r="B11" s="1270">
        <v>2012</v>
      </c>
      <c r="C11" s="46" t="s">
        <v>231</v>
      </c>
      <c r="D11" s="463">
        <v>12</v>
      </c>
      <c r="E11" s="463">
        <v>5</v>
      </c>
      <c r="F11" s="421" t="s">
        <v>643</v>
      </c>
      <c r="G11" s="516">
        <f t="shared" si="0"/>
        <v>17</v>
      </c>
    </row>
    <row r="12" spans="1:8" ht="18" customHeight="1">
      <c r="A12" s="790"/>
      <c r="B12" s="1270"/>
      <c r="C12" s="46" t="s">
        <v>232</v>
      </c>
      <c r="D12" s="463">
        <v>1</v>
      </c>
      <c r="E12" s="463">
        <v>1</v>
      </c>
      <c r="F12" s="421" t="s">
        <v>643</v>
      </c>
      <c r="G12" s="516">
        <f t="shared" si="0"/>
        <v>2</v>
      </c>
    </row>
    <row r="13" spans="1:8" ht="18" customHeight="1">
      <c r="A13" s="790"/>
      <c r="B13" s="1270">
        <v>2013</v>
      </c>
      <c r="C13" s="46" t="s">
        <v>231</v>
      </c>
      <c r="D13" s="421">
        <v>12</v>
      </c>
      <c r="E13" s="421">
        <v>5</v>
      </c>
      <c r="F13" s="421" t="s">
        <v>643</v>
      </c>
      <c r="G13" s="135">
        <f t="shared" si="0"/>
        <v>17</v>
      </c>
    </row>
    <row r="14" spans="1:8" ht="18" customHeight="1">
      <c r="A14" s="790"/>
      <c r="B14" s="1270"/>
      <c r="C14" s="46" t="s">
        <v>232</v>
      </c>
      <c r="D14" s="421">
        <v>1</v>
      </c>
      <c r="E14" s="421">
        <v>1</v>
      </c>
      <c r="F14" s="421" t="s">
        <v>643</v>
      </c>
      <c r="G14" s="135">
        <f t="shared" si="0"/>
        <v>2</v>
      </c>
    </row>
    <row r="15" spans="1:8" ht="18" customHeight="1">
      <c r="A15" s="790"/>
      <c r="B15" s="1270">
        <v>2014</v>
      </c>
      <c r="C15" s="46" t="s">
        <v>231</v>
      </c>
      <c r="D15" s="463">
        <v>12</v>
      </c>
      <c r="E15" s="463">
        <v>5</v>
      </c>
      <c r="F15" s="421" t="s">
        <v>643</v>
      </c>
      <c r="G15" s="516">
        <f t="shared" si="0"/>
        <v>17</v>
      </c>
      <c r="H15" s="670"/>
    </row>
    <row r="16" spans="1:8" ht="18" customHeight="1">
      <c r="A16" s="790"/>
      <c r="B16" s="1258"/>
      <c r="C16" s="94" t="s">
        <v>232</v>
      </c>
      <c r="D16" s="468">
        <v>1</v>
      </c>
      <c r="E16" s="468">
        <v>1</v>
      </c>
      <c r="F16" s="489" t="s">
        <v>643</v>
      </c>
      <c r="G16" s="517">
        <f t="shared" si="0"/>
        <v>2</v>
      </c>
      <c r="H16" s="670"/>
    </row>
    <row r="17" spans="1:8" ht="14.1" customHeight="1">
      <c r="A17" s="790"/>
      <c r="C17" s="667"/>
      <c r="D17" s="667"/>
      <c r="E17" s="667"/>
      <c r="F17" s="667"/>
      <c r="G17" s="668" t="s">
        <v>1451</v>
      </c>
    </row>
    <row r="18" spans="1:8">
      <c r="A18" s="790"/>
    </row>
    <row r="19" spans="1:8">
      <c r="A19" s="790"/>
      <c r="B19" s="1261" t="s">
        <v>1274</v>
      </c>
      <c r="C19" s="1261"/>
      <c r="D19" s="1261"/>
      <c r="E19" s="1261"/>
      <c r="F19" s="1261"/>
      <c r="G19" s="1261"/>
      <c r="H19" s="1296"/>
    </row>
    <row r="20" spans="1:8" s="412" customFormat="1" ht="32.25" customHeight="1">
      <c r="A20" s="790"/>
      <c r="B20" s="1297" t="str">
        <f>CONCATENATE("Number of Seats in Municipal Corporations, Municipalities, Notified Areas and Panchayats in the district of ",District!$A$1)</f>
        <v>Number of Seats in Municipal Corporations, Municipalities, Notified Areas and Panchayats in the district of Nadia</v>
      </c>
      <c r="C20" s="1297"/>
      <c r="D20" s="1297"/>
      <c r="E20" s="1297"/>
      <c r="F20" s="1297"/>
      <c r="G20" s="1297"/>
      <c r="H20" s="1298"/>
    </row>
    <row r="21" spans="1:8" ht="28.5" customHeight="1">
      <c r="A21" s="791"/>
      <c r="B21" s="793" t="s">
        <v>107</v>
      </c>
      <c r="C21" s="233" t="s">
        <v>113</v>
      </c>
      <c r="D21" s="233" t="s">
        <v>114</v>
      </c>
      <c r="E21" s="233" t="s">
        <v>357</v>
      </c>
      <c r="F21" s="233" t="s">
        <v>435</v>
      </c>
      <c r="G21" s="233" t="s">
        <v>1432</v>
      </c>
      <c r="H21" s="233" t="s">
        <v>115</v>
      </c>
    </row>
    <row r="22" spans="1:8" ht="16.5" customHeight="1">
      <c r="A22" s="790"/>
      <c r="B22" s="225" t="s">
        <v>163</v>
      </c>
      <c r="C22" s="225" t="s">
        <v>164</v>
      </c>
      <c r="D22" s="225" t="s">
        <v>165</v>
      </c>
      <c r="E22" s="225" t="s">
        <v>166</v>
      </c>
      <c r="F22" s="225" t="s">
        <v>167</v>
      </c>
      <c r="G22" s="225" t="s">
        <v>168</v>
      </c>
      <c r="H22" s="225" t="s">
        <v>169</v>
      </c>
    </row>
    <row r="23" spans="1:8" ht="18" customHeight="1">
      <c r="A23" s="790"/>
      <c r="B23" s="81">
        <f>District!C13</f>
        <v>2010</v>
      </c>
      <c r="C23" s="81" t="s">
        <v>643</v>
      </c>
      <c r="D23" s="463">
        <v>161</v>
      </c>
      <c r="E23" s="494">
        <v>25</v>
      </c>
      <c r="F23" s="463">
        <v>45</v>
      </c>
      <c r="G23" s="421">
        <v>533</v>
      </c>
      <c r="H23" s="465">
        <v>2691</v>
      </c>
    </row>
    <row r="24" spans="1:8" ht="18" customHeight="1">
      <c r="B24" s="81">
        <f>District!C14</f>
        <v>2011</v>
      </c>
      <c r="C24" s="81" t="s">
        <v>643</v>
      </c>
      <c r="D24" s="463">
        <v>161</v>
      </c>
      <c r="E24" s="494">
        <v>25</v>
      </c>
      <c r="F24" s="463">
        <v>45</v>
      </c>
      <c r="G24" s="421">
        <v>533</v>
      </c>
      <c r="H24" s="463">
        <v>2691</v>
      </c>
    </row>
    <row r="25" spans="1:8" ht="18" customHeight="1">
      <c r="B25" s="81">
        <f>District!C15</f>
        <v>2012</v>
      </c>
      <c r="C25" s="81" t="s">
        <v>643</v>
      </c>
      <c r="D25" s="463">
        <v>164</v>
      </c>
      <c r="E25" s="494">
        <v>25</v>
      </c>
      <c r="F25" s="463">
        <v>45</v>
      </c>
      <c r="G25" s="421">
        <v>533</v>
      </c>
      <c r="H25" s="463">
        <v>2691</v>
      </c>
    </row>
    <row r="26" spans="1:8" ht="18" customHeight="1">
      <c r="B26" s="81">
        <f>District!C16</f>
        <v>2013</v>
      </c>
      <c r="C26" s="81" t="s">
        <v>643</v>
      </c>
      <c r="D26" s="463">
        <v>164</v>
      </c>
      <c r="E26" s="494">
        <v>25</v>
      </c>
      <c r="F26" s="463">
        <v>47</v>
      </c>
      <c r="G26" s="421">
        <v>547</v>
      </c>
      <c r="H26" s="463">
        <v>3245</v>
      </c>
    </row>
    <row r="27" spans="1:8" ht="18" customHeight="1">
      <c r="B27" s="127">
        <f>District!C17</f>
        <v>2014</v>
      </c>
      <c r="C27" s="127" t="s">
        <v>643</v>
      </c>
      <c r="D27" s="467">
        <v>164</v>
      </c>
      <c r="E27" s="467">
        <v>25</v>
      </c>
      <c r="F27" s="467">
        <v>47</v>
      </c>
      <c r="G27" s="467">
        <v>547</v>
      </c>
      <c r="H27" s="468">
        <v>3246</v>
      </c>
    </row>
    <row r="28" spans="1:8">
      <c r="E28" s="766"/>
      <c r="H28" s="283" t="s">
        <v>1027</v>
      </c>
    </row>
    <row r="29" spans="1:8">
      <c r="E29" s="161"/>
      <c r="F29" s="161"/>
      <c r="G29" s="410"/>
    </row>
    <row r="30" spans="1:8">
      <c r="E30" s="161"/>
      <c r="G30" s="410"/>
    </row>
  </sheetData>
  <mergeCells count="14">
    <mergeCell ref="B1:G1"/>
    <mergeCell ref="B2:G2"/>
    <mergeCell ref="E4:F4"/>
    <mergeCell ref="B4:B5"/>
    <mergeCell ref="C4:C5"/>
    <mergeCell ref="D4:D5"/>
    <mergeCell ref="G4:G5"/>
    <mergeCell ref="B15:B16"/>
    <mergeCell ref="B13:B14"/>
    <mergeCell ref="B19:H19"/>
    <mergeCell ref="B20:H20"/>
    <mergeCell ref="B7:B8"/>
    <mergeCell ref="B9:B10"/>
    <mergeCell ref="B11:B12"/>
  </mergeCells>
  <phoneticPr fontId="0" type="noConversion"/>
  <pageMargins left="0.1" right="0.1" top="0.7" bottom="0.1" header="0.14000000000000001" footer="0.25"/>
  <pageSetup paperSize="9" orientation="landscape" blackAndWhite="1" r:id="rId1"/>
  <headerFooter alignWithMargins="0"/>
</worksheet>
</file>

<file path=xl/worksheets/sheet11.xml><?xml version="1.0" encoding="utf-8"?>
<worksheet xmlns="http://schemas.openxmlformats.org/spreadsheetml/2006/main" xmlns:r="http://schemas.openxmlformats.org/officeDocument/2006/relationships">
  <sheetPr codeName="Sheet9"/>
  <dimension ref="A1:F40"/>
  <sheetViews>
    <sheetView workbookViewId="0">
      <selection activeCell="I31" sqref="I31"/>
    </sheetView>
  </sheetViews>
  <sheetFormatPr defaultRowHeight="12.75"/>
  <cols>
    <col min="1" max="1" width="17.42578125" style="795" customWidth="1"/>
    <col min="2" max="2" width="26.85546875" style="795" customWidth="1"/>
    <col min="3" max="3" width="17.85546875" style="817" customWidth="1"/>
    <col min="4" max="4" width="22.85546875" style="817" customWidth="1"/>
    <col min="5" max="5" width="23.140625" style="817" customWidth="1"/>
    <col min="6" max="6" width="21.85546875" style="816" customWidth="1"/>
    <col min="7" max="16384" width="9.140625" style="795"/>
  </cols>
  <sheetData>
    <row r="1" spans="1:6">
      <c r="A1" s="794"/>
      <c r="B1" s="1302" t="s">
        <v>420</v>
      </c>
      <c r="C1" s="1302"/>
      <c r="D1" s="1302"/>
      <c r="E1" s="1302"/>
      <c r="F1" s="1302"/>
    </row>
    <row r="2" spans="1:6" s="797" customFormat="1" ht="18" customHeight="1">
      <c r="A2" s="796"/>
      <c r="B2" s="1301" t="str">
        <f>CONCATENATE("Area, Population and Density of Population in the district of ",District!$A$1,", 2011")</f>
        <v>Area, Population and Density of Population in the district of Nadia, 2011</v>
      </c>
      <c r="C2" s="1301"/>
      <c r="D2" s="1301"/>
      <c r="E2" s="1301"/>
      <c r="F2" s="1301"/>
    </row>
    <row r="3" spans="1:6" ht="36.75" customHeight="1">
      <c r="A3" s="798"/>
      <c r="B3" s="799" t="s">
        <v>901</v>
      </c>
      <c r="C3" s="799" t="s">
        <v>193</v>
      </c>
      <c r="D3" s="800" t="s">
        <v>892</v>
      </c>
      <c r="E3" s="799" t="s">
        <v>893</v>
      </c>
      <c r="F3" s="801" t="s">
        <v>1648</v>
      </c>
    </row>
    <row r="4" spans="1:6">
      <c r="A4" s="796"/>
      <c r="B4" s="378" t="s">
        <v>163</v>
      </c>
      <c r="C4" s="379" t="s">
        <v>164</v>
      </c>
      <c r="D4" s="380" t="s">
        <v>165</v>
      </c>
      <c r="E4" s="379" t="s">
        <v>166</v>
      </c>
      <c r="F4" s="381" t="s">
        <v>167</v>
      </c>
    </row>
    <row r="5" spans="1:6" ht="13.5" customHeight="1">
      <c r="A5" s="796"/>
      <c r="B5" s="802" t="s">
        <v>1098</v>
      </c>
      <c r="C5" s="803">
        <f>SUM(C6:C9)</f>
        <v>862.18000000000006</v>
      </c>
      <c r="D5" s="804">
        <f>SUM(D6:D9)</f>
        <v>796245</v>
      </c>
      <c r="E5" s="805">
        <f t="shared" ref="E5:E20" si="0">ROUND(D5/C5,0)</f>
        <v>924</v>
      </c>
      <c r="F5" s="803">
        <f>SUM(F6:F9)</f>
        <v>15.41</v>
      </c>
    </row>
    <row r="6" spans="1:6" ht="13.5" customHeight="1">
      <c r="A6" s="796"/>
      <c r="B6" s="806" t="s">
        <v>1118</v>
      </c>
      <c r="C6" s="382">
        <v>215.78</v>
      </c>
      <c r="D6" s="383">
        <v>183556</v>
      </c>
      <c r="E6" s="384">
        <f t="shared" si="0"/>
        <v>851</v>
      </c>
      <c r="F6" s="382">
        <f t="shared" ref="F6:F35" si="1">ROUND(D6/$D$36*100,2)</f>
        <v>3.55</v>
      </c>
    </row>
    <row r="7" spans="1:6" ht="13.5" customHeight="1">
      <c r="A7" s="796"/>
      <c r="B7" s="806" t="s">
        <v>1119</v>
      </c>
      <c r="C7" s="382">
        <v>224.38</v>
      </c>
      <c r="D7" s="383">
        <v>217136</v>
      </c>
      <c r="E7" s="384">
        <f t="shared" si="0"/>
        <v>968</v>
      </c>
      <c r="F7" s="382">
        <f t="shared" si="1"/>
        <v>4.2</v>
      </c>
    </row>
    <row r="8" spans="1:6" ht="13.5" customHeight="1">
      <c r="A8" s="796"/>
      <c r="B8" s="806" t="s">
        <v>1121</v>
      </c>
      <c r="C8" s="382">
        <v>249.55</v>
      </c>
      <c r="D8" s="383">
        <v>244322</v>
      </c>
      <c r="E8" s="384">
        <f t="shared" si="0"/>
        <v>979</v>
      </c>
      <c r="F8" s="382">
        <f t="shared" si="1"/>
        <v>4.7300000000000004</v>
      </c>
    </row>
    <row r="9" spans="1:6" ht="13.5" customHeight="1">
      <c r="A9" s="796"/>
      <c r="B9" s="806" t="s">
        <v>1120</v>
      </c>
      <c r="C9" s="382">
        <v>172.47</v>
      </c>
      <c r="D9" s="383">
        <v>151231</v>
      </c>
      <c r="E9" s="384">
        <f t="shared" si="0"/>
        <v>877</v>
      </c>
      <c r="F9" s="382">
        <f t="shared" si="1"/>
        <v>2.93</v>
      </c>
    </row>
    <row r="10" spans="1:6" ht="13.5" customHeight="1">
      <c r="A10" s="796"/>
      <c r="B10" s="802" t="s">
        <v>1099</v>
      </c>
      <c r="C10" s="803">
        <f>SUM(C11:C19)</f>
        <v>1661.1000000000004</v>
      </c>
      <c r="D10" s="804">
        <f>SUM(D11:D19)</f>
        <v>2047031</v>
      </c>
      <c r="E10" s="805">
        <f t="shared" si="0"/>
        <v>1232</v>
      </c>
      <c r="F10" s="803">
        <f>SUM(F11:F19)</f>
        <v>39.61</v>
      </c>
    </row>
    <row r="11" spans="1:6" ht="13.5" customHeight="1">
      <c r="A11" s="796"/>
      <c r="B11" s="806" t="s">
        <v>1122</v>
      </c>
      <c r="C11" s="382">
        <v>320.02</v>
      </c>
      <c r="D11" s="383">
        <v>334881</v>
      </c>
      <c r="E11" s="384">
        <f t="shared" si="0"/>
        <v>1046</v>
      </c>
      <c r="F11" s="382">
        <f t="shared" si="1"/>
        <v>6.48</v>
      </c>
    </row>
    <row r="12" spans="1:6" ht="13.5" customHeight="1">
      <c r="A12" s="796"/>
      <c r="B12" s="806" t="s">
        <v>1123</v>
      </c>
      <c r="C12" s="382">
        <v>360.94</v>
      </c>
      <c r="D12" s="383">
        <v>386569</v>
      </c>
      <c r="E12" s="384">
        <f t="shared" si="0"/>
        <v>1071</v>
      </c>
      <c r="F12" s="382">
        <f t="shared" si="1"/>
        <v>7.48</v>
      </c>
    </row>
    <row r="13" spans="1:6" ht="13.5" customHeight="1">
      <c r="A13" s="796"/>
      <c r="B13" s="806" t="s">
        <v>1124</v>
      </c>
      <c r="C13" s="382">
        <v>305.97000000000003</v>
      </c>
      <c r="D13" s="383">
        <v>310652</v>
      </c>
      <c r="E13" s="384">
        <f t="shared" si="0"/>
        <v>1015</v>
      </c>
      <c r="F13" s="382">
        <f t="shared" si="1"/>
        <v>6.01</v>
      </c>
    </row>
    <row r="14" spans="1:6" ht="13.5" customHeight="1">
      <c r="A14" s="796"/>
      <c r="B14" s="806" t="s">
        <v>1125</v>
      </c>
      <c r="C14" s="382">
        <v>151.6</v>
      </c>
      <c r="D14" s="383">
        <v>146705</v>
      </c>
      <c r="E14" s="384">
        <f t="shared" si="0"/>
        <v>968</v>
      </c>
      <c r="F14" s="382">
        <f t="shared" si="1"/>
        <v>2.84</v>
      </c>
    </row>
    <row r="15" spans="1:6" ht="13.5" customHeight="1">
      <c r="A15" s="796"/>
      <c r="B15" s="806" t="s">
        <v>1126</v>
      </c>
      <c r="C15" s="382">
        <v>273.19</v>
      </c>
      <c r="D15" s="383">
        <v>314833</v>
      </c>
      <c r="E15" s="384">
        <f t="shared" si="0"/>
        <v>1152</v>
      </c>
      <c r="F15" s="382">
        <f t="shared" si="1"/>
        <v>6.09</v>
      </c>
    </row>
    <row r="16" spans="1:6" ht="13.5" customHeight="1">
      <c r="A16" s="796"/>
      <c r="B16" s="806" t="s">
        <v>1127</v>
      </c>
      <c r="C16" s="382">
        <v>15.96</v>
      </c>
      <c r="D16" s="383">
        <v>153062</v>
      </c>
      <c r="E16" s="384">
        <f t="shared" si="0"/>
        <v>9590</v>
      </c>
      <c r="F16" s="382">
        <f t="shared" si="1"/>
        <v>2.96</v>
      </c>
    </row>
    <row r="17" spans="1:6" ht="13.5" customHeight="1">
      <c r="A17" s="796"/>
      <c r="B17" s="806" t="s">
        <v>1128</v>
      </c>
      <c r="C17" s="382">
        <v>124.37</v>
      </c>
      <c r="D17" s="383">
        <v>139472</v>
      </c>
      <c r="E17" s="384">
        <f t="shared" si="0"/>
        <v>1121</v>
      </c>
      <c r="F17" s="382">
        <f t="shared" si="1"/>
        <v>2.7</v>
      </c>
    </row>
    <row r="18" spans="1:6" ht="13.5" customHeight="1">
      <c r="A18" s="796"/>
      <c r="B18" s="806" t="s">
        <v>90</v>
      </c>
      <c r="C18" s="382">
        <v>97.39</v>
      </c>
      <c r="D18" s="383">
        <v>135314</v>
      </c>
      <c r="E18" s="384">
        <f t="shared" si="0"/>
        <v>1389</v>
      </c>
      <c r="F18" s="382">
        <f t="shared" si="1"/>
        <v>2.62</v>
      </c>
    </row>
    <row r="19" spans="1:6" ht="13.5" customHeight="1">
      <c r="A19" s="796"/>
      <c r="B19" s="806" t="s">
        <v>1130</v>
      </c>
      <c r="C19" s="382">
        <v>11.66</v>
      </c>
      <c r="D19" s="383">
        <v>125543</v>
      </c>
      <c r="E19" s="384">
        <f t="shared" si="0"/>
        <v>10767</v>
      </c>
      <c r="F19" s="382">
        <f t="shared" si="1"/>
        <v>2.4300000000000002</v>
      </c>
    </row>
    <row r="20" spans="1:6" ht="13.5" customHeight="1">
      <c r="A20" s="796"/>
      <c r="B20" s="802" t="s">
        <v>1101</v>
      </c>
      <c r="C20" s="803">
        <f>SUM(C21:C29)</f>
        <v>893.57999999999981</v>
      </c>
      <c r="D20" s="804">
        <f>SUM(D21:D29)</f>
        <v>1432761</v>
      </c>
      <c r="E20" s="805">
        <f t="shared" si="0"/>
        <v>1603</v>
      </c>
      <c r="F20" s="803">
        <f>SUM(F21:F29)</f>
        <v>27.73</v>
      </c>
    </row>
    <row r="21" spans="1:6" ht="13.5" customHeight="1">
      <c r="A21" s="796"/>
      <c r="B21" s="806" t="s">
        <v>1131</v>
      </c>
      <c r="C21" s="382">
        <v>171.41</v>
      </c>
      <c r="D21" s="383">
        <v>241080</v>
      </c>
      <c r="E21" s="384">
        <f>ROUND(D21/C21,D209)</f>
        <v>1406</v>
      </c>
      <c r="F21" s="382">
        <f t="shared" si="1"/>
        <v>4.67</v>
      </c>
    </row>
    <row r="22" spans="1:6" ht="13.5" customHeight="1">
      <c r="A22" s="796"/>
      <c r="B22" s="806" t="s">
        <v>1133</v>
      </c>
      <c r="C22" s="382">
        <v>24.6</v>
      </c>
      <c r="D22" s="383">
        <v>151777</v>
      </c>
      <c r="E22" s="384">
        <f t="shared" ref="E22:E36" si="2">ROUND(D22/C22,0)</f>
        <v>6170</v>
      </c>
      <c r="F22" s="382">
        <f t="shared" si="1"/>
        <v>2.94</v>
      </c>
    </row>
    <row r="23" spans="1:6" ht="13.5" customHeight="1">
      <c r="A23" s="796"/>
      <c r="B23" s="806" t="s">
        <v>1134</v>
      </c>
      <c r="C23" s="382">
        <v>246.29</v>
      </c>
      <c r="D23" s="383">
        <v>293040</v>
      </c>
      <c r="E23" s="384">
        <f t="shared" si="2"/>
        <v>1190</v>
      </c>
      <c r="F23" s="382">
        <f t="shared" si="1"/>
        <v>5.67</v>
      </c>
    </row>
    <row r="24" spans="1:6" ht="13.5" customHeight="1">
      <c r="A24" s="796"/>
      <c r="B24" s="806" t="s">
        <v>1623</v>
      </c>
      <c r="C24" s="382">
        <v>145.53</v>
      </c>
      <c r="D24" s="383">
        <v>232282</v>
      </c>
      <c r="E24" s="384">
        <f t="shared" si="2"/>
        <v>1596</v>
      </c>
      <c r="F24" s="382">
        <f>ROUND(D24/$D$36*100,2)+0.01</f>
        <v>4.5</v>
      </c>
    </row>
    <row r="25" spans="1:6" ht="13.5" customHeight="1">
      <c r="A25" s="796"/>
      <c r="B25" s="806" t="s">
        <v>768</v>
      </c>
      <c r="C25" s="382">
        <v>7.72</v>
      </c>
      <c r="D25" s="383">
        <v>75365</v>
      </c>
      <c r="E25" s="384">
        <f t="shared" si="2"/>
        <v>9762</v>
      </c>
      <c r="F25" s="382">
        <f t="shared" si="1"/>
        <v>1.46</v>
      </c>
    </row>
    <row r="26" spans="1:6" ht="13.5" customHeight="1">
      <c r="A26" s="796"/>
      <c r="B26" s="806" t="s">
        <v>1625</v>
      </c>
      <c r="C26" s="382">
        <v>5.52</v>
      </c>
      <c r="D26" s="383">
        <v>30799</v>
      </c>
      <c r="E26" s="384">
        <f t="shared" si="2"/>
        <v>5580</v>
      </c>
      <c r="F26" s="382">
        <f t="shared" si="1"/>
        <v>0.6</v>
      </c>
    </row>
    <row r="27" spans="1:6" ht="13.5" customHeight="1">
      <c r="A27" s="796"/>
      <c r="B27" s="806" t="s">
        <v>1626</v>
      </c>
      <c r="C27" s="382">
        <v>12.18</v>
      </c>
      <c r="D27" s="383">
        <v>20894</v>
      </c>
      <c r="E27" s="384">
        <f t="shared" si="2"/>
        <v>1715</v>
      </c>
      <c r="F27" s="382">
        <f t="shared" si="1"/>
        <v>0.4</v>
      </c>
    </row>
    <row r="28" spans="1:6" ht="13.5" customHeight="1">
      <c r="A28" s="796"/>
      <c r="B28" s="806" t="s">
        <v>714</v>
      </c>
      <c r="C28" s="382">
        <v>279.02999999999997</v>
      </c>
      <c r="D28" s="383">
        <v>368681</v>
      </c>
      <c r="E28" s="384">
        <f t="shared" si="2"/>
        <v>1321</v>
      </c>
      <c r="F28" s="382">
        <f t="shared" si="1"/>
        <v>7.13</v>
      </c>
    </row>
    <row r="29" spans="1:6" ht="13.5" customHeight="1">
      <c r="A29" s="796"/>
      <c r="B29" s="806" t="s">
        <v>1275</v>
      </c>
      <c r="C29" s="382">
        <v>1.3</v>
      </c>
      <c r="D29" s="383">
        <v>18843</v>
      </c>
      <c r="E29" s="384">
        <f t="shared" si="2"/>
        <v>14495</v>
      </c>
      <c r="F29" s="382">
        <f t="shared" si="1"/>
        <v>0.36</v>
      </c>
    </row>
    <row r="30" spans="1:6" ht="13.5" customHeight="1">
      <c r="A30" s="796"/>
      <c r="B30" s="802" t="s">
        <v>1100</v>
      </c>
      <c r="C30" s="803">
        <f>SUM(C31:C35)</f>
        <v>526.57000000000005</v>
      </c>
      <c r="D30" s="804">
        <f>SUM(D31:D35)</f>
        <v>891563</v>
      </c>
      <c r="E30" s="805">
        <f t="shared" si="2"/>
        <v>1693</v>
      </c>
      <c r="F30" s="803">
        <f>SUM(F31:F35)</f>
        <v>17.25</v>
      </c>
    </row>
    <row r="31" spans="1:6" ht="13.5" customHeight="1">
      <c r="A31" s="796"/>
      <c r="B31" s="806" t="s">
        <v>769</v>
      </c>
      <c r="C31" s="382">
        <v>288.8</v>
      </c>
      <c r="D31" s="385">
        <v>405719</v>
      </c>
      <c r="E31" s="384">
        <f t="shared" si="2"/>
        <v>1405</v>
      </c>
      <c r="F31" s="382">
        <f t="shared" si="1"/>
        <v>7.85</v>
      </c>
    </row>
    <row r="32" spans="1:6" ht="13.5" customHeight="1">
      <c r="A32" s="796"/>
      <c r="B32" s="806" t="s">
        <v>770</v>
      </c>
      <c r="C32" s="382">
        <v>15.54</v>
      </c>
      <c r="D32" s="383">
        <v>95203</v>
      </c>
      <c r="E32" s="384">
        <f t="shared" si="2"/>
        <v>6126</v>
      </c>
      <c r="F32" s="382">
        <f t="shared" si="1"/>
        <v>1.84</v>
      </c>
    </row>
    <row r="33" spans="1:6" ht="13.5" customHeight="1">
      <c r="A33" s="796"/>
      <c r="B33" s="806" t="s">
        <v>771</v>
      </c>
      <c r="C33" s="382">
        <v>21.91</v>
      </c>
      <c r="D33" s="383">
        <v>100575</v>
      </c>
      <c r="E33" s="384">
        <f t="shared" si="2"/>
        <v>4590</v>
      </c>
      <c r="F33" s="382">
        <f t="shared" si="1"/>
        <v>1.95</v>
      </c>
    </row>
    <row r="34" spans="1:6" ht="13.5" customHeight="1">
      <c r="A34" s="796"/>
      <c r="B34" s="806" t="s">
        <v>1629</v>
      </c>
      <c r="C34" s="382">
        <v>30</v>
      </c>
      <c r="D34" s="383">
        <v>58998</v>
      </c>
      <c r="E34" s="384">
        <f t="shared" si="2"/>
        <v>1967</v>
      </c>
      <c r="F34" s="382">
        <f t="shared" si="1"/>
        <v>1.1399999999999999</v>
      </c>
    </row>
    <row r="35" spans="1:6" ht="13.5" customHeight="1">
      <c r="A35" s="796"/>
      <c r="B35" s="806" t="s">
        <v>772</v>
      </c>
      <c r="C35" s="382">
        <v>170.32</v>
      </c>
      <c r="D35" s="383">
        <v>231068</v>
      </c>
      <c r="E35" s="384">
        <f t="shared" si="2"/>
        <v>1357</v>
      </c>
      <c r="F35" s="386">
        <f t="shared" si="1"/>
        <v>4.47</v>
      </c>
    </row>
    <row r="36" spans="1:6" s="812" customFormat="1">
      <c r="A36" s="807"/>
      <c r="B36" s="808" t="s">
        <v>609</v>
      </c>
      <c r="C36" s="809">
        <v>3927</v>
      </c>
      <c r="D36" s="810">
        <f>SUM(D5,D10,D20,D30)</f>
        <v>5167600</v>
      </c>
      <c r="E36" s="811">
        <f t="shared" si="2"/>
        <v>1316</v>
      </c>
      <c r="F36" s="809">
        <f>SUM(F30,F20,F10,F5)</f>
        <v>100</v>
      </c>
    </row>
    <row r="37" spans="1:6">
      <c r="A37" s="796"/>
      <c r="B37" s="1303" t="s">
        <v>1024</v>
      </c>
      <c r="C37" s="1303"/>
      <c r="D37" s="813"/>
      <c r="E37" s="813"/>
      <c r="F37" s="814" t="s">
        <v>537</v>
      </c>
    </row>
    <row r="38" spans="1:6">
      <c r="A38" s="796"/>
      <c r="B38" s="1304"/>
      <c r="C38" s="1304"/>
      <c r="D38" s="815"/>
      <c r="E38" s="815"/>
    </row>
    <row r="39" spans="1:6">
      <c r="A39" s="796"/>
    </row>
    <row r="40" spans="1:6">
      <c r="A40" s="796"/>
    </row>
  </sheetData>
  <mergeCells count="3">
    <mergeCell ref="B2:F2"/>
    <mergeCell ref="B1:F1"/>
    <mergeCell ref="B37:C38"/>
  </mergeCells>
  <phoneticPr fontId="0" type="noConversion"/>
  <pageMargins left="0.1" right="0.1" top="0.35" bottom="0.1" header="0.32" footer="0.14000000000000001"/>
  <pageSetup paperSize="9" orientation="landscape" blackAndWhite="1" r:id="rId1"/>
  <headerFooter alignWithMargins="0"/>
</worksheet>
</file>

<file path=xl/worksheets/sheet12.xml><?xml version="1.0" encoding="utf-8"?>
<worksheet xmlns="http://schemas.openxmlformats.org/spreadsheetml/2006/main" xmlns:r="http://schemas.openxmlformats.org/officeDocument/2006/relationships">
  <sheetPr codeName="Sheet10"/>
  <dimension ref="A1:J30"/>
  <sheetViews>
    <sheetView workbookViewId="0">
      <selection activeCell="I31" sqref="I31"/>
    </sheetView>
  </sheetViews>
  <sheetFormatPr defaultRowHeight="12.75"/>
  <cols>
    <col min="1" max="1" width="11.28515625" style="405" customWidth="1"/>
    <col min="2" max="2" width="13.5703125" style="405" customWidth="1"/>
    <col min="3" max="3" width="14.28515625" style="405" customWidth="1"/>
    <col min="4" max="4" width="14.140625" style="405" customWidth="1"/>
    <col min="5" max="5" width="11.5703125" style="405" customWidth="1"/>
    <col min="6" max="6" width="10.7109375" style="405" customWidth="1"/>
    <col min="7" max="7" width="13.85546875" style="405" customWidth="1"/>
    <col min="8" max="8" width="13.140625" style="405" customWidth="1"/>
    <col min="9" max="9" width="12.5703125" style="405" customWidth="1"/>
    <col min="10" max="10" width="16.140625" style="405" customWidth="1"/>
    <col min="11" max="16384" width="9.140625" style="405"/>
  </cols>
  <sheetData>
    <row r="1" spans="1:10">
      <c r="A1" s="818"/>
      <c r="B1" s="1250" t="s">
        <v>421</v>
      </c>
      <c r="C1" s="1250"/>
      <c r="D1" s="1250"/>
      <c r="E1" s="1250"/>
      <c r="F1" s="1250"/>
      <c r="G1" s="1250"/>
      <c r="H1" s="1250"/>
      <c r="I1" s="1250"/>
      <c r="J1" s="1250"/>
    </row>
    <row r="2" spans="1:10" s="412" customFormat="1" ht="16.5">
      <c r="A2" s="819"/>
      <c r="B2" s="1267" t="str">
        <f>CONCATENATE("Growth of Population by sex on different Census years in the district of ",District!$A$1)</f>
        <v>Growth of Population by sex on different Census years in the district of Nadia</v>
      </c>
      <c r="C2" s="1267"/>
      <c r="D2" s="1267"/>
      <c r="E2" s="1267"/>
      <c r="F2" s="1267"/>
      <c r="G2" s="1267"/>
      <c r="H2" s="1267"/>
      <c r="I2" s="1267"/>
      <c r="J2" s="1267"/>
    </row>
    <row r="3" spans="1:10">
      <c r="A3" s="820"/>
      <c r="B3" s="412"/>
      <c r="C3" s="428"/>
      <c r="D3" s="428"/>
      <c r="E3" s="436"/>
      <c r="F3" s="436"/>
      <c r="G3" s="428"/>
      <c r="H3" s="412"/>
      <c r="I3" s="412"/>
      <c r="J3" s="451" t="s">
        <v>864</v>
      </c>
    </row>
    <row r="4" spans="1:10">
      <c r="A4" s="819"/>
      <c r="B4" s="1257" t="s">
        <v>107</v>
      </c>
      <c r="C4" s="1262" t="s">
        <v>871</v>
      </c>
      <c r="D4" s="1262" t="s">
        <v>245</v>
      </c>
      <c r="E4" s="1306" t="s">
        <v>1086</v>
      </c>
      <c r="F4" s="1262" t="s">
        <v>1384</v>
      </c>
      <c r="G4" s="1262" t="s">
        <v>1649</v>
      </c>
      <c r="H4" s="1262" t="s">
        <v>1606</v>
      </c>
      <c r="I4" s="1262" t="s">
        <v>1605</v>
      </c>
      <c r="J4" s="1262" t="s">
        <v>872</v>
      </c>
    </row>
    <row r="5" spans="1:10">
      <c r="A5" s="819"/>
      <c r="B5" s="1270"/>
      <c r="C5" s="1300"/>
      <c r="D5" s="1300"/>
      <c r="E5" s="1307"/>
      <c r="F5" s="1300"/>
      <c r="G5" s="1300"/>
      <c r="H5" s="1300"/>
      <c r="I5" s="1300"/>
      <c r="J5" s="1300"/>
    </row>
    <row r="6" spans="1:10" ht="13.5" customHeight="1">
      <c r="A6" s="819"/>
      <c r="B6" s="1270"/>
      <c r="C6" s="1300"/>
      <c r="D6" s="1300"/>
      <c r="E6" s="1307"/>
      <c r="F6" s="1300"/>
      <c r="G6" s="1300"/>
      <c r="H6" s="1300"/>
      <c r="I6" s="1300"/>
      <c r="J6" s="1300"/>
    </row>
    <row r="7" spans="1:10" ht="1.5" hidden="1" customHeight="1">
      <c r="A7" s="819"/>
      <c r="B7" s="1258"/>
      <c r="C7" s="1263"/>
      <c r="D7" s="1263"/>
      <c r="E7" s="1308"/>
      <c r="F7" s="1263"/>
      <c r="G7" s="1263"/>
      <c r="H7" s="1263"/>
      <c r="I7" s="1263"/>
      <c r="J7" s="1263"/>
    </row>
    <row r="8" spans="1:10" ht="18" customHeight="1">
      <c r="A8" s="819"/>
      <c r="B8" s="225" t="s">
        <v>163</v>
      </c>
      <c r="C8" s="225" t="s">
        <v>164</v>
      </c>
      <c r="D8" s="225" t="s">
        <v>165</v>
      </c>
      <c r="E8" s="225" t="s">
        <v>166</v>
      </c>
      <c r="F8" s="225" t="s">
        <v>167</v>
      </c>
      <c r="G8" s="225" t="s">
        <v>168</v>
      </c>
      <c r="H8" s="225" t="s">
        <v>169</v>
      </c>
      <c r="I8" s="225" t="s">
        <v>211</v>
      </c>
      <c r="J8" s="224" t="s">
        <v>212</v>
      </c>
    </row>
    <row r="9" spans="1:10" ht="24.95" customHeight="1">
      <c r="A9" s="819"/>
      <c r="B9" s="81">
        <v>1901</v>
      </c>
      <c r="C9" s="615">
        <v>773202</v>
      </c>
      <c r="D9" s="503">
        <f>ROUND(C9/$C$9*100,0)</f>
        <v>100</v>
      </c>
      <c r="E9" s="615">
        <v>383935</v>
      </c>
      <c r="F9" s="503">
        <f>C9-E9</f>
        <v>389267</v>
      </c>
      <c r="G9" s="465">
        <f>ROUND(F9/E9*100,0)</f>
        <v>101</v>
      </c>
      <c r="H9" s="821">
        <v>79675</v>
      </c>
      <c r="I9" s="465">
        <f>C9-H9</f>
        <v>693527</v>
      </c>
      <c r="J9" s="456">
        <f>ROUND(I9/C9*100,2)</f>
        <v>89.7</v>
      </c>
    </row>
    <row r="10" spans="1:10" ht="24.95" customHeight="1">
      <c r="A10" s="819"/>
      <c r="B10" s="81">
        <v>1911</v>
      </c>
      <c r="C10" s="462">
        <v>775986</v>
      </c>
      <c r="D10" s="503">
        <f>ROUND(C10/$C$9*100,0)</f>
        <v>100</v>
      </c>
      <c r="E10" s="462">
        <v>388752</v>
      </c>
      <c r="F10" s="503">
        <f t="shared" ref="F10:F20" si="0">C10-E10</f>
        <v>387234</v>
      </c>
      <c r="G10" s="463">
        <f t="shared" ref="G10:G20" si="1">ROUND(F10/E10*100,0)</f>
        <v>100</v>
      </c>
      <c r="H10" s="821">
        <v>80093</v>
      </c>
      <c r="I10" s="463">
        <f>C10-H10</f>
        <v>695893</v>
      </c>
      <c r="J10" s="456">
        <f t="shared" ref="J10:J20" si="2">ROUND(I10/C10*100,2)</f>
        <v>89.68</v>
      </c>
    </row>
    <row r="11" spans="1:10" ht="24.95" customHeight="1">
      <c r="A11" s="819"/>
      <c r="B11" s="81">
        <v>1921</v>
      </c>
      <c r="C11" s="462">
        <v>711706</v>
      </c>
      <c r="D11" s="503">
        <f>ROUND(C11/$C$9*100,0)</f>
        <v>92</v>
      </c>
      <c r="E11" s="462">
        <v>363946</v>
      </c>
      <c r="F11" s="503">
        <f t="shared" si="0"/>
        <v>347760</v>
      </c>
      <c r="G11" s="463">
        <f t="shared" si="1"/>
        <v>96</v>
      </c>
      <c r="H11" s="821">
        <v>79858</v>
      </c>
      <c r="I11" s="463">
        <f>C11-H11</f>
        <v>631848</v>
      </c>
      <c r="J11" s="456">
        <f t="shared" si="2"/>
        <v>88.78</v>
      </c>
    </row>
    <row r="12" spans="1:10" ht="24.95" customHeight="1">
      <c r="A12" s="819"/>
      <c r="B12" s="81">
        <v>1931</v>
      </c>
      <c r="C12" s="462">
        <v>721907</v>
      </c>
      <c r="D12" s="503">
        <f t="shared" ref="D12:D20" si="3">ROUND(C12/$C$9*100,0)</f>
        <v>93</v>
      </c>
      <c r="E12" s="462">
        <v>370024</v>
      </c>
      <c r="F12" s="503">
        <f t="shared" si="0"/>
        <v>351883</v>
      </c>
      <c r="G12" s="463">
        <f t="shared" si="1"/>
        <v>95</v>
      </c>
      <c r="H12" s="821">
        <v>85859</v>
      </c>
      <c r="I12" s="463">
        <f t="shared" ref="I12:I20" si="4">C12-H12</f>
        <v>636048</v>
      </c>
      <c r="J12" s="456">
        <f t="shared" si="2"/>
        <v>88.11</v>
      </c>
    </row>
    <row r="13" spans="1:10" ht="24.95" customHeight="1">
      <c r="A13" s="819"/>
      <c r="B13" s="81">
        <v>1941</v>
      </c>
      <c r="C13" s="462">
        <v>840303</v>
      </c>
      <c r="D13" s="503">
        <f t="shared" si="3"/>
        <v>109</v>
      </c>
      <c r="E13" s="462">
        <v>431923</v>
      </c>
      <c r="F13" s="503">
        <f t="shared" si="0"/>
        <v>408380</v>
      </c>
      <c r="G13" s="463">
        <f t="shared" si="1"/>
        <v>95</v>
      </c>
      <c r="H13" s="821">
        <v>116286</v>
      </c>
      <c r="I13" s="463">
        <f t="shared" si="4"/>
        <v>724017</v>
      </c>
      <c r="J13" s="456">
        <f t="shared" si="2"/>
        <v>86.16</v>
      </c>
    </row>
    <row r="14" spans="1:10" ht="24.95" customHeight="1">
      <c r="A14" s="819"/>
      <c r="B14" s="81">
        <v>1951</v>
      </c>
      <c r="C14" s="462">
        <v>1144924</v>
      </c>
      <c r="D14" s="503">
        <f t="shared" si="3"/>
        <v>148</v>
      </c>
      <c r="E14" s="462">
        <v>590936</v>
      </c>
      <c r="F14" s="503">
        <f t="shared" si="0"/>
        <v>553988</v>
      </c>
      <c r="G14" s="463">
        <f t="shared" si="1"/>
        <v>94</v>
      </c>
      <c r="H14" s="821">
        <v>208101</v>
      </c>
      <c r="I14" s="463">
        <f t="shared" si="4"/>
        <v>936823</v>
      </c>
      <c r="J14" s="456">
        <f t="shared" si="2"/>
        <v>81.819999999999993</v>
      </c>
    </row>
    <row r="15" spans="1:10" ht="24.95" customHeight="1">
      <c r="A15" s="819"/>
      <c r="B15" s="81">
        <v>1961</v>
      </c>
      <c r="C15" s="462">
        <v>1713324</v>
      </c>
      <c r="D15" s="503">
        <f t="shared" si="3"/>
        <v>222</v>
      </c>
      <c r="E15" s="462">
        <v>879430</v>
      </c>
      <c r="F15" s="503">
        <f t="shared" si="0"/>
        <v>833894</v>
      </c>
      <c r="G15" s="463">
        <f t="shared" si="1"/>
        <v>95</v>
      </c>
      <c r="H15" s="821">
        <v>315338</v>
      </c>
      <c r="I15" s="463">
        <f t="shared" si="4"/>
        <v>1397986</v>
      </c>
      <c r="J15" s="456">
        <f t="shared" si="2"/>
        <v>81.59</v>
      </c>
    </row>
    <row r="16" spans="1:10" ht="24.95" customHeight="1">
      <c r="A16" s="819"/>
      <c r="B16" s="81">
        <v>1971</v>
      </c>
      <c r="C16" s="462">
        <v>2230270</v>
      </c>
      <c r="D16" s="503">
        <f t="shared" si="3"/>
        <v>288</v>
      </c>
      <c r="E16" s="462">
        <v>1144977</v>
      </c>
      <c r="F16" s="503">
        <f t="shared" si="0"/>
        <v>1085293</v>
      </c>
      <c r="G16" s="463">
        <f t="shared" si="1"/>
        <v>95</v>
      </c>
      <c r="H16" s="821">
        <v>418059</v>
      </c>
      <c r="I16" s="463">
        <f t="shared" si="4"/>
        <v>1812211</v>
      </c>
      <c r="J16" s="456">
        <f t="shared" si="2"/>
        <v>81.260000000000005</v>
      </c>
    </row>
    <row r="17" spans="1:10" ht="24.95" customHeight="1">
      <c r="A17" s="819"/>
      <c r="B17" s="81">
        <v>1981</v>
      </c>
      <c r="C17" s="462">
        <v>2964253</v>
      </c>
      <c r="D17" s="503">
        <f t="shared" si="3"/>
        <v>383</v>
      </c>
      <c r="E17" s="462">
        <v>1522936</v>
      </c>
      <c r="F17" s="503">
        <f t="shared" si="0"/>
        <v>1441317</v>
      </c>
      <c r="G17" s="463">
        <f t="shared" si="1"/>
        <v>95</v>
      </c>
      <c r="H17" s="821">
        <v>639869</v>
      </c>
      <c r="I17" s="463">
        <f t="shared" si="4"/>
        <v>2324384</v>
      </c>
      <c r="J17" s="456">
        <f t="shared" si="2"/>
        <v>78.41</v>
      </c>
    </row>
    <row r="18" spans="1:10" ht="24.95" customHeight="1">
      <c r="A18" s="819"/>
      <c r="B18" s="81">
        <v>1991</v>
      </c>
      <c r="C18" s="462">
        <v>3852097</v>
      </c>
      <c r="D18" s="503">
        <f t="shared" si="3"/>
        <v>498</v>
      </c>
      <c r="E18" s="462">
        <v>1989841</v>
      </c>
      <c r="F18" s="503">
        <f t="shared" si="0"/>
        <v>1862256</v>
      </c>
      <c r="G18" s="463">
        <f t="shared" si="1"/>
        <v>94</v>
      </c>
      <c r="H18" s="821">
        <v>871818</v>
      </c>
      <c r="I18" s="463">
        <f t="shared" si="4"/>
        <v>2980279</v>
      </c>
      <c r="J18" s="456">
        <f t="shared" si="2"/>
        <v>77.37</v>
      </c>
    </row>
    <row r="19" spans="1:10" ht="24.95" customHeight="1">
      <c r="A19" s="819"/>
      <c r="B19" s="81">
        <v>2001</v>
      </c>
      <c r="C19" s="461">
        <v>4604827</v>
      </c>
      <c r="D19" s="463">
        <f t="shared" si="3"/>
        <v>596</v>
      </c>
      <c r="E19" s="461">
        <v>2366853</v>
      </c>
      <c r="F19" s="463">
        <f t="shared" si="0"/>
        <v>2237974</v>
      </c>
      <c r="G19" s="464">
        <f t="shared" si="1"/>
        <v>95</v>
      </c>
      <c r="H19" s="462">
        <v>979519</v>
      </c>
      <c r="I19" s="464">
        <f t="shared" si="4"/>
        <v>3625308</v>
      </c>
      <c r="J19" s="585">
        <f t="shared" si="2"/>
        <v>78.73</v>
      </c>
    </row>
    <row r="20" spans="1:10" ht="24.95" customHeight="1">
      <c r="A20" s="819"/>
      <c r="B20" s="127">
        <v>2011</v>
      </c>
      <c r="C20" s="616">
        <v>5167600</v>
      </c>
      <c r="D20" s="468">
        <f t="shared" si="3"/>
        <v>668</v>
      </c>
      <c r="E20" s="616">
        <v>2653768</v>
      </c>
      <c r="F20" s="488">
        <f t="shared" si="0"/>
        <v>2513832</v>
      </c>
      <c r="G20" s="468">
        <f t="shared" si="1"/>
        <v>95</v>
      </c>
      <c r="H20" s="616">
        <v>1438873</v>
      </c>
      <c r="I20" s="468">
        <f t="shared" si="4"/>
        <v>3728727</v>
      </c>
      <c r="J20" s="587">
        <f t="shared" si="2"/>
        <v>72.16</v>
      </c>
    </row>
    <row r="21" spans="1:10" ht="20.100000000000001" customHeight="1">
      <c r="A21" s="819"/>
      <c r="I21" s="1305" t="s">
        <v>1591</v>
      </c>
      <c r="J21" s="1305"/>
    </row>
    <row r="22" spans="1:10">
      <c r="A22" s="819"/>
    </row>
    <row r="23" spans="1:10">
      <c r="A23" s="819"/>
    </row>
    <row r="24" spans="1:10">
      <c r="A24" s="819"/>
    </row>
    <row r="25" spans="1:10">
      <c r="A25" s="819"/>
    </row>
    <row r="26" spans="1:10">
      <c r="A26" s="819"/>
    </row>
    <row r="27" spans="1:10">
      <c r="A27" s="819"/>
    </row>
    <row r="28" spans="1:10" ht="0.75" customHeight="1">
      <c r="A28" s="819"/>
    </row>
    <row r="29" spans="1:10" ht="12.75" hidden="1" customHeight="1">
      <c r="A29" s="819"/>
    </row>
    <row r="30" spans="1:10" ht="12.75" hidden="1" customHeight="1"/>
  </sheetData>
  <mergeCells count="12">
    <mergeCell ref="C4:C7"/>
    <mergeCell ref="D4:D7"/>
    <mergeCell ref="I21:J21"/>
    <mergeCell ref="B1:J1"/>
    <mergeCell ref="B2:J2"/>
    <mergeCell ref="B4:B7"/>
    <mergeCell ref="E4:E7"/>
    <mergeCell ref="F4:F7"/>
    <mergeCell ref="H4:H7"/>
    <mergeCell ref="I4:I7"/>
    <mergeCell ref="G4:G7"/>
    <mergeCell ref="J4:J7"/>
  </mergeCells>
  <phoneticPr fontId="0" type="noConversion"/>
  <pageMargins left="0.1" right="0.15" top="0.85" bottom="0.1" header="0.15" footer="0.25"/>
  <pageSetup paperSize="9" orientation="landscape" blackAndWhite="1" r:id="rId1"/>
  <headerFooter alignWithMargins="0"/>
</worksheet>
</file>

<file path=xl/worksheets/sheet13.xml><?xml version="1.0" encoding="utf-8"?>
<worksheet xmlns="http://schemas.openxmlformats.org/spreadsheetml/2006/main" xmlns:r="http://schemas.openxmlformats.org/officeDocument/2006/relationships">
  <sheetPr codeName="Sheet42"/>
  <dimension ref="A1:K40"/>
  <sheetViews>
    <sheetView workbookViewId="0">
      <selection activeCell="I31" sqref="I31"/>
    </sheetView>
  </sheetViews>
  <sheetFormatPr defaultRowHeight="12.75"/>
  <cols>
    <col min="1" max="1" width="6" style="405" customWidth="1"/>
    <col min="2" max="2" width="20.7109375" style="405" customWidth="1"/>
    <col min="3" max="11" width="12.7109375" style="405" customWidth="1"/>
    <col min="12" max="13" width="9.140625" style="405"/>
    <col min="14" max="14" width="13.42578125" style="405" customWidth="1"/>
    <col min="15" max="16384" width="9.140625" style="405"/>
  </cols>
  <sheetData>
    <row r="1" spans="1:11">
      <c r="A1" s="432"/>
      <c r="B1" s="1250" t="s">
        <v>422</v>
      </c>
      <c r="C1" s="1250"/>
      <c r="D1" s="1250"/>
      <c r="E1" s="1250"/>
      <c r="F1" s="1250"/>
      <c r="G1" s="1250"/>
      <c r="H1" s="1250"/>
      <c r="I1" s="1250"/>
      <c r="J1" s="1250"/>
      <c r="K1" s="1250"/>
    </row>
    <row r="2" spans="1:11" s="412" customFormat="1" ht="16.5">
      <c r="A2" s="433"/>
      <c r="B2" s="1267" t="str">
        <f>CONCATENATE("Distribution of Rural and Urban Population by sex in the district of ",District!$A$1,", 2001")</f>
        <v>Distribution of Rural and Urban Population by sex in the district of Nadia, 2001</v>
      </c>
      <c r="C2" s="1267"/>
      <c r="D2" s="1267"/>
      <c r="E2" s="1267"/>
      <c r="F2" s="1267"/>
      <c r="G2" s="1267"/>
      <c r="H2" s="1267"/>
      <c r="I2" s="1267"/>
      <c r="J2" s="1267"/>
      <c r="K2" s="1267"/>
    </row>
    <row r="3" spans="1:11">
      <c r="A3" s="435"/>
      <c r="B3" s="412"/>
      <c r="C3" s="436"/>
      <c r="D3" s="436"/>
      <c r="E3" s="436"/>
      <c r="F3" s="428"/>
      <c r="G3" s="428"/>
      <c r="H3" s="428"/>
      <c r="I3" s="436"/>
      <c r="J3" s="436"/>
      <c r="K3" s="451" t="s">
        <v>223</v>
      </c>
    </row>
    <row r="4" spans="1:11" ht="17.25" customHeight="1">
      <c r="A4" s="433"/>
      <c r="B4" s="1262" t="s">
        <v>1389</v>
      </c>
      <c r="C4" s="1251" t="s">
        <v>1605</v>
      </c>
      <c r="D4" s="1251"/>
      <c r="E4" s="1252"/>
      <c r="F4" s="1253" t="s">
        <v>1606</v>
      </c>
      <c r="G4" s="1251"/>
      <c r="H4" s="1252"/>
      <c r="I4" s="1253" t="s">
        <v>302</v>
      </c>
      <c r="J4" s="1251"/>
      <c r="K4" s="1252"/>
    </row>
    <row r="5" spans="1:11" ht="13.5" customHeight="1">
      <c r="A5" s="433"/>
      <c r="B5" s="1263"/>
      <c r="C5" s="204" t="s">
        <v>246</v>
      </c>
      <c r="D5" s="221" t="s">
        <v>249</v>
      </c>
      <c r="E5" s="46" t="s">
        <v>210</v>
      </c>
      <c r="F5" s="204" t="s">
        <v>246</v>
      </c>
      <c r="G5" s="216" t="s">
        <v>249</v>
      </c>
      <c r="H5" s="46" t="s">
        <v>210</v>
      </c>
      <c r="I5" s="108" t="s">
        <v>246</v>
      </c>
      <c r="J5" s="204" t="s">
        <v>249</v>
      </c>
      <c r="K5" s="46" t="s">
        <v>210</v>
      </c>
    </row>
    <row r="6" spans="1:11">
      <c r="A6" s="433"/>
      <c r="B6" s="514" t="s">
        <v>163</v>
      </c>
      <c r="C6" s="225" t="s">
        <v>164</v>
      </c>
      <c r="D6" s="224" t="s">
        <v>165</v>
      </c>
      <c r="E6" s="224" t="s">
        <v>166</v>
      </c>
      <c r="F6" s="225" t="s">
        <v>167</v>
      </c>
      <c r="G6" s="224" t="s">
        <v>168</v>
      </c>
      <c r="H6" s="224" t="s">
        <v>169</v>
      </c>
      <c r="I6" s="299" t="s">
        <v>211</v>
      </c>
      <c r="J6" s="225" t="s">
        <v>212</v>
      </c>
      <c r="K6" s="224" t="s">
        <v>213</v>
      </c>
    </row>
    <row r="7" spans="1:11" ht="13.5" customHeight="1">
      <c r="A7" s="433"/>
      <c r="B7" s="822" t="s">
        <v>1091</v>
      </c>
      <c r="C7" s="137">
        <f>SUM(C8:C11)</f>
        <v>361279</v>
      </c>
      <c r="D7" s="79">
        <f>SUM(D8:D11)</f>
        <v>339944</v>
      </c>
      <c r="E7" s="44">
        <f t="shared" ref="E7:E38" si="0">IF(SUM(C7:D7)=0,"-",SUM(C7:D7))</f>
        <v>701223</v>
      </c>
      <c r="F7" s="137">
        <f>SUM(F8:F11)</f>
        <v>4673</v>
      </c>
      <c r="G7" s="823">
        <f>SUM(G8:G11)</f>
        <v>4397</v>
      </c>
      <c r="H7" s="44">
        <f>IF(SUM(F7:G7)=0,"-",SUM(F7:G7))</f>
        <v>9070</v>
      </c>
      <c r="I7" s="21">
        <f>SUM(C7,F7)</f>
        <v>365952</v>
      </c>
      <c r="J7" s="118">
        <f>SUM(D7,G7)</f>
        <v>344341</v>
      </c>
      <c r="K7" s="44">
        <f>SUM(E7,H7)</f>
        <v>710293</v>
      </c>
    </row>
    <row r="8" spans="1:11" ht="13.5" customHeight="1">
      <c r="A8" s="433"/>
      <c r="B8" s="524" t="s">
        <v>1118</v>
      </c>
      <c r="C8" s="463">
        <v>81601</v>
      </c>
      <c r="D8" s="421">
        <v>76054</v>
      </c>
      <c r="E8" s="421">
        <f t="shared" si="0"/>
        <v>157655</v>
      </c>
      <c r="F8" s="463">
        <v>4673</v>
      </c>
      <c r="G8" s="421">
        <v>4397</v>
      </c>
      <c r="H8" s="421">
        <f t="shared" ref="H8:H37" si="1">IF(SUM(F8:G8)=0,"-",SUM(F8:G8))</f>
        <v>9070</v>
      </c>
      <c r="I8" s="503">
        <f t="shared" ref="I8:I37" si="2">SUM(C8,F8)</f>
        <v>86274</v>
      </c>
      <c r="J8" s="463">
        <f>SUM(D8,G8)</f>
        <v>80451</v>
      </c>
      <c r="K8" s="421">
        <f>SUM(E8,H8)</f>
        <v>166725</v>
      </c>
    </row>
    <row r="9" spans="1:11" ht="13.5" customHeight="1">
      <c r="A9" s="433"/>
      <c r="B9" s="540" t="s">
        <v>1119</v>
      </c>
      <c r="C9" s="421">
        <v>99188</v>
      </c>
      <c r="D9" s="462">
        <v>92760</v>
      </c>
      <c r="E9" s="421">
        <f t="shared" si="0"/>
        <v>191948</v>
      </c>
      <c r="F9" s="463" t="s">
        <v>643</v>
      </c>
      <c r="G9" s="421" t="s">
        <v>643</v>
      </c>
      <c r="H9" s="421" t="str">
        <f t="shared" si="1"/>
        <v>-</v>
      </c>
      <c r="I9" s="503">
        <f t="shared" si="2"/>
        <v>99188</v>
      </c>
      <c r="J9" s="463">
        <f>SUM(D9,G9)</f>
        <v>92760</v>
      </c>
      <c r="K9" s="421">
        <f t="shared" ref="K9:K37" si="3">IF(SUM(I9:J9)=0,"-",SUM(I9:J9))</f>
        <v>191948</v>
      </c>
    </row>
    <row r="10" spans="1:11" ht="13.5" customHeight="1">
      <c r="A10" s="433"/>
      <c r="B10" s="540" t="s">
        <v>1121</v>
      </c>
      <c r="C10" s="421">
        <v>111754</v>
      </c>
      <c r="D10" s="462">
        <v>105735</v>
      </c>
      <c r="E10" s="421">
        <f t="shared" si="0"/>
        <v>217489</v>
      </c>
      <c r="F10" s="463" t="s">
        <v>643</v>
      </c>
      <c r="G10" s="421" t="s">
        <v>643</v>
      </c>
      <c r="H10" s="421" t="str">
        <f t="shared" si="1"/>
        <v>-</v>
      </c>
      <c r="I10" s="503">
        <f t="shared" si="2"/>
        <v>111754</v>
      </c>
      <c r="J10" s="463">
        <f>SUM(D10,G10)</f>
        <v>105735</v>
      </c>
      <c r="K10" s="421">
        <f t="shared" si="3"/>
        <v>217489</v>
      </c>
    </row>
    <row r="11" spans="1:11" ht="13.5" customHeight="1">
      <c r="A11" s="433"/>
      <c r="B11" s="540" t="s">
        <v>1120</v>
      </c>
      <c r="C11" s="421">
        <v>68736</v>
      </c>
      <c r="D11" s="462">
        <v>65395</v>
      </c>
      <c r="E11" s="421">
        <f t="shared" si="0"/>
        <v>134131</v>
      </c>
      <c r="F11" s="463" t="s">
        <v>643</v>
      </c>
      <c r="G11" s="421" t="s">
        <v>643</v>
      </c>
      <c r="H11" s="421" t="str">
        <f t="shared" si="1"/>
        <v>-</v>
      </c>
      <c r="I11" s="503">
        <f t="shared" si="2"/>
        <v>68736</v>
      </c>
      <c r="J11" s="463">
        <f>SUM(D11,G11)</f>
        <v>65395</v>
      </c>
      <c r="K11" s="421">
        <f t="shared" si="3"/>
        <v>134131</v>
      </c>
    </row>
    <row r="12" spans="1:11" ht="13.5" customHeight="1">
      <c r="A12" s="433"/>
      <c r="B12" s="824" t="s">
        <v>1264</v>
      </c>
      <c r="C12" s="137">
        <f t="shared" ref="C12:K12" si="4">SUM(C13:C21)</f>
        <v>774457</v>
      </c>
      <c r="D12" s="137">
        <f t="shared" si="4"/>
        <v>727448</v>
      </c>
      <c r="E12" s="137">
        <f t="shared" si="4"/>
        <v>1501905</v>
      </c>
      <c r="F12" s="137">
        <f t="shared" si="4"/>
        <v>157594</v>
      </c>
      <c r="G12" s="137">
        <f t="shared" si="4"/>
        <v>152573</v>
      </c>
      <c r="H12" s="137">
        <f t="shared" si="4"/>
        <v>310167</v>
      </c>
      <c r="I12" s="137">
        <f t="shared" si="4"/>
        <v>932051</v>
      </c>
      <c r="J12" s="137">
        <f t="shared" si="4"/>
        <v>880021</v>
      </c>
      <c r="K12" s="137">
        <f t="shared" si="4"/>
        <v>1812072</v>
      </c>
    </row>
    <row r="13" spans="1:11" ht="13.5" customHeight="1">
      <c r="A13" s="433"/>
      <c r="B13" s="540" t="s">
        <v>1122</v>
      </c>
      <c r="C13" s="421">
        <v>149937</v>
      </c>
      <c r="D13" s="462">
        <v>141020</v>
      </c>
      <c r="E13" s="421">
        <f t="shared" si="0"/>
        <v>290957</v>
      </c>
      <c r="F13" s="463" t="s">
        <v>643</v>
      </c>
      <c r="G13" s="421" t="s">
        <v>643</v>
      </c>
      <c r="H13" s="421" t="str">
        <f t="shared" si="1"/>
        <v>-</v>
      </c>
      <c r="I13" s="503">
        <f t="shared" si="2"/>
        <v>149937</v>
      </c>
      <c r="J13" s="463">
        <f t="shared" ref="J13:J38" si="5">SUM(D13,G13)</f>
        <v>141020</v>
      </c>
      <c r="K13" s="421">
        <f t="shared" si="3"/>
        <v>290957</v>
      </c>
    </row>
    <row r="14" spans="1:11" ht="13.5" customHeight="1">
      <c r="A14" s="433"/>
      <c r="B14" s="540" t="s">
        <v>1123</v>
      </c>
      <c r="C14" s="421">
        <v>157224</v>
      </c>
      <c r="D14" s="462">
        <v>148206</v>
      </c>
      <c r="E14" s="421">
        <f t="shared" si="0"/>
        <v>305430</v>
      </c>
      <c r="F14" s="421">
        <v>15224</v>
      </c>
      <c r="G14" s="421">
        <v>14335</v>
      </c>
      <c r="H14" s="421">
        <f t="shared" si="1"/>
        <v>29559</v>
      </c>
      <c r="I14" s="503">
        <f t="shared" si="2"/>
        <v>172448</v>
      </c>
      <c r="J14" s="463">
        <f t="shared" si="5"/>
        <v>162541</v>
      </c>
      <c r="K14" s="421">
        <f t="shared" si="3"/>
        <v>334989</v>
      </c>
    </row>
    <row r="15" spans="1:11" ht="13.5" customHeight="1">
      <c r="A15" s="433"/>
      <c r="B15" s="540" t="s">
        <v>1124</v>
      </c>
      <c r="C15" s="421">
        <v>140449</v>
      </c>
      <c r="D15" s="462">
        <v>131840</v>
      </c>
      <c r="E15" s="421">
        <f t="shared" si="0"/>
        <v>272289</v>
      </c>
      <c r="F15" s="421" t="s">
        <v>643</v>
      </c>
      <c r="G15" s="421" t="s">
        <v>643</v>
      </c>
      <c r="H15" s="421" t="str">
        <f t="shared" si="1"/>
        <v>-</v>
      </c>
      <c r="I15" s="503">
        <f t="shared" si="2"/>
        <v>140449</v>
      </c>
      <c r="J15" s="463">
        <f t="shared" si="5"/>
        <v>131840</v>
      </c>
      <c r="K15" s="421">
        <f t="shared" si="3"/>
        <v>272289</v>
      </c>
    </row>
    <row r="16" spans="1:11" ht="13.5" customHeight="1">
      <c r="A16" s="433"/>
      <c r="B16" s="540" t="s">
        <v>1125</v>
      </c>
      <c r="C16" s="421">
        <v>68630</v>
      </c>
      <c r="D16" s="462">
        <v>64729</v>
      </c>
      <c r="E16" s="421">
        <f t="shared" si="0"/>
        <v>133359</v>
      </c>
      <c r="F16" s="421" t="s">
        <v>643</v>
      </c>
      <c r="G16" s="421" t="s">
        <v>643</v>
      </c>
      <c r="H16" s="421" t="str">
        <f t="shared" si="1"/>
        <v>-</v>
      </c>
      <c r="I16" s="503">
        <f t="shared" si="2"/>
        <v>68630</v>
      </c>
      <c r="J16" s="463">
        <f t="shared" si="5"/>
        <v>64729</v>
      </c>
      <c r="K16" s="421">
        <f t="shared" si="3"/>
        <v>133359</v>
      </c>
    </row>
    <row r="17" spans="1:11" ht="13.5" customHeight="1">
      <c r="A17" s="433"/>
      <c r="B17" s="540" t="s">
        <v>1126</v>
      </c>
      <c r="C17" s="463">
        <v>139926</v>
      </c>
      <c r="D17" s="628">
        <v>130861</v>
      </c>
      <c r="E17" s="421">
        <f t="shared" si="0"/>
        <v>270787</v>
      </c>
      <c r="F17" s="421">
        <v>4919</v>
      </c>
      <c r="G17" s="421">
        <v>4680</v>
      </c>
      <c r="H17" s="421">
        <f t="shared" si="1"/>
        <v>9599</v>
      </c>
      <c r="I17" s="503">
        <f t="shared" si="2"/>
        <v>144845</v>
      </c>
      <c r="J17" s="463">
        <f t="shared" si="5"/>
        <v>135541</v>
      </c>
      <c r="K17" s="421">
        <f t="shared" si="3"/>
        <v>280386</v>
      </c>
    </row>
    <row r="18" spans="1:11" ht="13.5" customHeight="1">
      <c r="A18" s="433"/>
      <c r="B18" s="540" t="s">
        <v>1127</v>
      </c>
      <c r="C18" s="463" t="s">
        <v>643</v>
      </c>
      <c r="D18" s="628" t="s">
        <v>643</v>
      </c>
      <c r="E18" s="421" t="str">
        <f t="shared" si="0"/>
        <v>-</v>
      </c>
      <c r="F18" s="421">
        <v>70576</v>
      </c>
      <c r="G18" s="421">
        <v>68534</v>
      </c>
      <c r="H18" s="421">
        <f t="shared" si="1"/>
        <v>139110</v>
      </c>
      <c r="I18" s="503">
        <f t="shared" si="2"/>
        <v>70576</v>
      </c>
      <c r="J18" s="463">
        <f t="shared" si="5"/>
        <v>68534</v>
      </c>
      <c r="K18" s="421">
        <f t="shared" si="3"/>
        <v>139110</v>
      </c>
    </row>
    <row r="19" spans="1:11" ht="13.5" customHeight="1">
      <c r="A19" s="433"/>
      <c r="B19" s="540" t="s">
        <v>1128</v>
      </c>
      <c r="C19" s="463">
        <v>64128</v>
      </c>
      <c r="D19" s="628">
        <v>60031</v>
      </c>
      <c r="E19" s="421">
        <f t="shared" si="0"/>
        <v>124159</v>
      </c>
      <c r="F19" s="421" t="s">
        <v>643</v>
      </c>
      <c r="G19" s="421" t="s">
        <v>643</v>
      </c>
      <c r="H19" s="421" t="str">
        <f t="shared" si="1"/>
        <v>-</v>
      </c>
      <c r="I19" s="503">
        <f t="shared" si="2"/>
        <v>64128</v>
      </c>
      <c r="J19" s="463">
        <f t="shared" si="5"/>
        <v>60031</v>
      </c>
      <c r="K19" s="421">
        <f t="shared" si="3"/>
        <v>124159</v>
      </c>
    </row>
    <row r="20" spans="1:11" ht="13.5" customHeight="1">
      <c r="A20" s="433"/>
      <c r="B20" s="540" t="s">
        <v>90</v>
      </c>
      <c r="C20" s="463">
        <v>54163</v>
      </c>
      <c r="D20" s="628">
        <v>50761</v>
      </c>
      <c r="E20" s="421">
        <f t="shared" si="0"/>
        <v>104924</v>
      </c>
      <c r="F20" s="421">
        <v>8588</v>
      </c>
      <c r="G20" s="421">
        <v>8295</v>
      </c>
      <c r="H20" s="421">
        <f t="shared" si="1"/>
        <v>16883</v>
      </c>
      <c r="I20" s="503">
        <f t="shared" si="2"/>
        <v>62751</v>
      </c>
      <c r="J20" s="463">
        <f t="shared" si="5"/>
        <v>59056</v>
      </c>
      <c r="K20" s="421">
        <f t="shared" si="3"/>
        <v>121807</v>
      </c>
    </row>
    <row r="21" spans="1:11" ht="13.5" customHeight="1">
      <c r="A21" s="433"/>
      <c r="B21" s="540" t="s">
        <v>1130</v>
      </c>
      <c r="C21" s="463" t="s">
        <v>643</v>
      </c>
      <c r="D21" s="628" t="s">
        <v>643</v>
      </c>
      <c r="E21" s="421" t="str">
        <f t="shared" si="0"/>
        <v>-</v>
      </c>
      <c r="F21" s="463">
        <v>58287</v>
      </c>
      <c r="G21" s="421">
        <v>56729</v>
      </c>
      <c r="H21" s="421">
        <v>115016</v>
      </c>
      <c r="I21" s="503">
        <v>58287</v>
      </c>
      <c r="J21" s="463">
        <f t="shared" si="5"/>
        <v>56729</v>
      </c>
      <c r="K21" s="421">
        <f>SUM(E21,H21)</f>
        <v>115016</v>
      </c>
    </row>
    <row r="22" spans="1:11" ht="13.5" customHeight="1">
      <c r="A22" s="433"/>
      <c r="B22" s="824" t="s">
        <v>805</v>
      </c>
      <c r="C22" s="137">
        <f>SUM(C23:C31)</f>
        <v>448627</v>
      </c>
      <c r="D22" s="137">
        <f>SUM(D23:D31)</f>
        <v>425726</v>
      </c>
      <c r="E22" s="44">
        <f t="shared" si="0"/>
        <v>874353</v>
      </c>
      <c r="F22" s="137">
        <f>SUM(F23:F31)</f>
        <v>210500</v>
      </c>
      <c r="G22" s="137">
        <f>SUM(G23:G31)</f>
        <v>202468</v>
      </c>
      <c r="H22" s="44">
        <f t="shared" si="1"/>
        <v>412968</v>
      </c>
      <c r="I22" s="21">
        <f t="shared" si="2"/>
        <v>659127</v>
      </c>
      <c r="J22" s="118">
        <f t="shared" si="5"/>
        <v>628194</v>
      </c>
      <c r="K22" s="44">
        <f>SUM(E22,H22)</f>
        <v>1287321</v>
      </c>
    </row>
    <row r="23" spans="1:11" ht="13.5" customHeight="1">
      <c r="A23" s="433"/>
      <c r="B23" s="540" t="s">
        <v>1131</v>
      </c>
      <c r="C23" s="462">
        <v>85614</v>
      </c>
      <c r="D23" s="421">
        <v>81425</v>
      </c>
      <c r="E23" s="421">
        <f t="shared" si="0"/>
        <v>167039</v>
      </c>
      <c r="F23" s="462">
        <v>26109</v>
      </c>
      <c r="G23" s="421">
        <v>24170</v>
      </c>
      <c r="H23" s="421">
        <f t="shared" si="1"/>
        <v>50279</v>
      </c>
      <c r="I23" s="503">
        <f t="shared" si="2"/>
        <v>111723</v>
      </c>
      <c r="J23" s="463">
        <f t="shared" si="5"/>
        <v>105595</v>
      </c>
      <c r="K23" s="421">
        <f t="shared" si="3"/>
        <v>217318</v>
      </c>
    </row>
    <row r="24" spans="1:11" ht="13.5" customHeight="1">
      <c r="A24" s="433"/>
      <c r="B24" s="540" t="s">
        <v>1133</v>
      </c>
      <c r="C24" s="462" t="s">
        <v>643</v>
      </c>
      <c r="D24" s="421" t="s">
        <v>643</v>
      </c>
      <c r="E24" s="421" t="str">
        <f t="shared" si="0"/>
        <v>-</v>
      </c>
      <c r="F24" s="462">
        <v>70089</v>
      </c>
      <c r="G24" s="421">
        <v>68146</v>
      </c>
      <c r="H24" s="421">
        <f t="shared" si="1"/>
        <v>138235</v>
      </c>
      <c r="I24" s="503">
        <f t="shared" si="2"/>
        <v>70089</v>
      </c>
      <c r="J24" s="463">
        <f t="shared" si="5"/>
        <v>68146</v>
      </c>
      <c r="K24" s="421">
        <f t="shared" si="3"/>
        <v>138235</v>
      </c>
    </row>
    <row r="25" spans="1:11" ht="13.5" customHeight="1">
      <c r="A25" s="433"/>
      <c r="B25" s="540" t="s">
        <v>1134</v>
      </c>
      <c r="C25" s="462">
        <v>133927</v>
      </c>
      <c r="D25" s="421">
        <v>127042</v>
      </c>
      <c r="E25" s="421">
        <f t="shared" si="0"/>
        <v>260969</v>
      </c>
      <c r="F25" s="462" t="s">
        <v>643</v>
      </c>
      <c r="G25" s="421" t="s">
        <v>643</v>
      </c>
      <c r="H25" s="421" t="str">
        <f t="shared" si="1"/>
        <v>-</v>
      </c>
      <c r="I25" s="503">
        <f t="shared" si="2"/>
        <v>133927</v>
      </c>
      <c r="J25" s="463">
        <f t="shared" si="5"/>
        <v>127042</v>
      </c>
      <c r="K25" s="421">
        <f t="shared" si="3"/>
        <v>260969</v>
      </c>
    </row>
    <row r="26" spans="1:11" ht="13.5" customHeight="1">
      <c r="A26" s="433"/>
      <c r="B26" s="540" t="s">
        <v>1623</v>
      </c>
      <c r="C26" s="462">
        <v>75377</v>
      </c>
      <c r="D26" s="421">
        <v>71557</v>
      </c>
      <c r="E26" s="421">
        <f t="shared" si="0"/>
        <v>146934</v>
      </c>
      <c r="F26" s="462">
        <v>30781</v>
      </c>
      <c r="G26" s="421">
        <v>29679</v>
      </c>
      <c r="H26" s="421">
        <f t="shared" si="1"/>
        <v>60460</v>
      </c>
      <c r="I26" s="503">
        <f t="shared" si="2"/>
        <v>106158</v>
      </c>
      <c r="J26" s="463">
        <f t="shared" si="5"/>
        <v>101236</v>
      </c>
      <c r="K26" s="421">
        <f t="shared" si="3"/>
        <v>207394</v>
      </c>
    </row>
    <row r="27" spans="1:11" ht="13.5" customHeight="1">
      <c r="A27" s="433"/>
      <c r="B27" s="540" t="s">
        <v>768</v>
      </c>
      <c r="C27" s="462" t="s">
        <v>643</v>
      </c>
      <c r="D27" s="421" t="s">
        <v>643</v>
      </c>
      <c r="E27" s="421" t="str">
        <f t="shared" si="0"/>
        <v>-</v>
      </c>
      <c r="F27" s="462">
        <v>35052</v>
      </c>
      <c r="G27" s="421">
        <v>33697</v>
      </c>
      <c r="H27" s="421">
        <f t="shared" si="1"/>
        <v>68749</v>
      </c>
      <c r="I27" s="503">
        <f t="shared" si="2"/>
        <v>35052</v>
      </c>
      <c r="J27" s="463">
        <f t="shared" si="5"/>
        <v>33697</v>
      </c>
      <c r="K27" s="421">
        <f t="shared" si="3"/>
        <v>68749</v>
      </c>
    </row>
    <row r="28" spans="1:11" ht="13.5" customHeight="1">
      <c r="A28" s="433"/>
      <c r="B28" s="540" t="s">
        <v>1625</v>
      </c>
      <c r="C28" s="462" t="s">
        <v>643</v>
      </c>
      <c r="D28" s="421" t="s">
        <v>643</v>
      </c>
      <c r="E28" s="421" t="str">
        <f t="shared" si="0"/>
        <v>-</v>
      </c>
      <c r="F28" s="462">
        <v>13668</v>
      </c>
      <c r="G28" s="421">
        <v>12929</v>
      </c>
      <c r="H28" s="421">
        <f t="shared" si="1"/>
        <v>26597</v>
      </c>
      <c r="I28" s="503">
        <f t="shared" si="2"/>
        <v>13668</v>
      </c>
      <c r="J28" s="463">
        <f t="shared" si="5"/>
        <v>12929</v>
      </c>
      <c r="K28" s="421">
        <f t="shared" si="3"/>
        <v>26597</v>
      </c>
    </row>
    <row r="29" spans="1:11" ht="13.5" customHeight="1">
      <c r="A29" s="433"/>
      <c r="B29" s="524" t="s">
        <v>1626</v>
      </c>
      <c r="C29" s="463" t="s">
        <v>643</v>
      </c>
      <c r="D29" s="421" t="s">
        <v>643</v>
      </c>
      <c r="E29" s="421" t="str">
        <f t="shared" si="0"/>
        <v>-</v>
      </c>
      <c r="F29" s="463">
        <v>10266</v>
      </c>
      <c r="G29" s="421">
        <v>9785</v>
      </c>
      <c r="H29" s="421">
        <f t="shared" si="1"/>
        <v>20051</v>
      </c>
      <c r="I29" s="503">
        <f t="shared" si="2"/>
        <v>10266</v>
      </c>
      <c r="J29" s="463">
        <f t="shared" si="5"/>
        <v>9785</v>
      </c>
      <c r="K29" s="421">
        <f t="shared" si="3"/>
        <v>20051</v>
      </c>
    </row>
    <row r="30" spans="1:11" ht="13.5" customHeight="1">
      <c r="A30" s="433"/>
      <c r="B30" s="540" t="s">
        <v>714</v>
      </c>
      <c r="C30" s="462">
        <v>153709</v>
      </c>
      <c r="D30" s="421">
        <v>145702</v>
      </c>
      <c r="E30" s="421">
        <f>IF(SUM(C30:D30)=0,"-",SUM(C30:D30))</f>
        <v>299411</v>
      </c>
      <c r="F30" s="462">
        <v>15498</v>
      </c>
      <c r="G30" s="421">
        <v>15334</v>
      </c>
      <c r="H30" s="421">
        <f>IF(SUM(F30:G30)=0,"-",SUM(F30:G30))</f>
        <v>30832</v>
      </c>
      <c r="I30" s="503">
        <f>SUM(C30,F30)</f>
        <v>169207</v>
      </c>
      <c r="J30" s="463">
        <f t="shared" si="5"/>
        <v>161036</v>
      </c>
      <c r="K30" s="421">
        <f>IF(SUM(I30:J30)=0,"-",SUM(I30:J30))</f>
        <v>330243</v>
      </c>
    </row>
    <row r="31" spans="1:11" ht="13.5" customHeight="1">
      <c r="A31" s="433"/>
      <c r="B31" s="540" t="s">
        <v>1275</v>
      </c>
      <c r="C31" s="462" t="s">
        <v>643</v>
      </c>
      <c r="D31" s="421" t="s">
        <v>643</v>
      </c>
      <c r="E31" s="421" t="str">
        <f t="shared" si="0"/>
        <v>-</v>
      </c>
      <c r="F31" s="462">
        <v>9037</v>
      </c>
      <c r="G31" s="421">
        <v>8728</v>
      </c>
      <c r="H31" s="421">
        <f t="shared" si="1"/>
        <v>17765</v>
      </c>
      <c r="I31" s="503">
        <f t="shared" si="2"/>
        <v>9037</v>
      </c>
      <c r="J31" s="463">
        <f t="shared" si="5"/>
        <v>8728</v>
      </c>
      <c r="K31" s="421">
        <f t="shared" si="3"/>
        <v>17765</v>
      </c>
    </row>
    <row r="32" spans="1:11" ht="13.5" customHeight="1">
      <c r="A32" s="433"/>
      <c r="B32" s="523" t="s">
        <v>1265</v>
      </c>
      <c r="C32" s="118">
        <f>SUM(C33:C37)</f>
        <v>283319</v>
      </c>
      <c r="D32" s="44">
        <f>SUM(D33:D37)</f>
        <v>264508</v>
      </c>
      <c r="E32" s="44">
        <f t="shared" si="0"/>
        <v>547827</v>
      </c>
      <c r="F32" s="118">
        <f>SUM(F33:F37)</f>
        <v>126404</v>
      </c>
      <c r="G32" s="44">
        <f>SUM(G33:G37)</f>
        <v>120910</v>
      </c>
      <c r="H32" s="44">
        <f t="shared" si="1"/>
        <v>247314</v>
      </c>
      <c r="I32" s="21">
        <f t="shared" si="2"/>
        <v>409723</v>
      </c>
      <c r="J32" s="118">
        <f t="shared" si="5"/>
        <v>385418</v>
      </c>
      <c r="K32" s="44">
        <f t="shared" si="3"/>
        <v>795141</v>
      </c>
    </row>
    <row r="33" spans="1:11" ht="13.5" customHeight="1">
      <c r="A33" s="433"/>
      <c r="B33" s="524" t="s">
        <v>769</v>
      </c>
      <c r="C33" s="463">
        <v>175282</v>
      </c>
      <c r="D33" s="421">
        <v>164569</v>
      </c>
      <c r="E33" s="421">
        <f t="shared" si="0"/>
        <v>339851</v>
      </c>
      <c r="F33" s="463">
        <v>11992</v>
      </c>
      <c r="G33" s="421">
        <v>11140</v>
      </c>
      <c r="H33" s="421">
        <f t="shared" si="1"/>
        <v>23132</v>
      </c>
      <c r="I33" s="503">
        <f t="shared" si="2"/>
        <v>187274</v>
      </c>
      <c r="J33" s="463">
        <f t="shared" si="5"/>
        <v>175709</v>
      </c>
      <c r="K33" s="421">
        <f t="shared" si="3"/>
        <v>362983</v>
      </c>
    </row>
    <row r="34" spans="1:11" ht="13.5" customHeight="1">
      <c r="A34" s="433"/>
      <c r="B34" s="540" t="s">
        <v>770</v>
      </c>
      <c r="C34" s="462" t="s">
        <v>643</v>
      </c>
      <c r="D34" s="421" t="s">
        <v>643</v>
      </c>
      <c r="E34" s="421" t="str">
        <f t="shared" si="0"/>
        <v>-</v>
      </c>
      <c r="F34" s="462">
        <v>44239</v>
      </c>
      <c r="G34" s="421">
        <v>42760</v>
      </c>
      <c r="H34" s="421">
        <f t="shared" si="1"/>
        <v>86999</v>
      </c>
      <c r="I34" s="503">
        <f t="shared" si="2"/>
        <v>44239</v>
      </c>
      <c r="J34" s="463">
        <f t="shared" si="5"/>
        <v>42760</v>
      </c>
      <c r="K34" s="421">
        <f t="shared" si="3"/>
        <v>86999</v>
      </c>
    </row>
    <row r="35" spans="1:11" ht="13.5" customHeight="1">
      <c r="A35" s="433"/>
      <c r="B35" s="524" t="s">
        <v>771</v>
      </c>
      <c r="C35" s="463" t="s">
        <v>643</v>
      </c>
      <c r="D35" s="421" t="s">
        <v>643</v>
      </c>
      <c r="E35" s="421" t="str">
        <f t="shared" si="0"/>
        <v>-</v>
      </c>
      <c r="F35" s="463">
        <v>41966</v>
      </c>
      <c r="G35" s="421">
        <v>40169</v>
      </c>
      <c r="H35" s="421">
        <f t="shared" si="1"/>
        <v>82135</v>
      </c>
      <c r="I35" s="503">
        <f t="shared" si="2"/>
        <v>41966</v>
      </c>
      <c r="J35" s="463">
        <f t="shared" si="5"/>
        <v>40169</v>
      </c>
      <c r="K35" s="421">
        <f t="shared" si="3"/>
        <v>82135</v>
      </c>
    </row>
    <row r="36" spans="1:11" ht="13.5" customHeight="1">
      <c r="A36" s="433"/>
      <c r="B36" s="524" t="s">
        <v>1629</v>
      </c>
      <c r="C36" s="463" t="s">
        <v>643</v>
      </c>
      <c r="D36" s="421" t="s">
        <v>643</v>
      </c>
      <c r="E36" s="421" t="str">
        <f t="shared" si="0"/>
        <v>-</v>
      </c>
      <c r="F36" s="463">
        <v>28207</v>
      </c>
      <c r="G36" s="421">
        <v>26841</v>
      </c>
      <c r="H36" s="421">
        <f t="shared" si="1"/>
        <v>55048</v>
      </c>
      <c r="I36" s="503">
        <f t="shared" si="2"/>
        <v>28207</v>
      </c>
      <c r="J36" s="463">
        <f t="shared" si="5"/>
        <v>26841</v>
      </c>
      <c r="K36" s="421">
        <f t="shared" si="3"/>
        <v>55048</v>
      </c>
    </row>
    <row r="37" spans="1:11" ht="13.5" customHeight="1">
      <c r="A37" s="433"/>
      <c r="B37" s="526" t="s">
        <v>772</v>
      </c>
      <c r="C37" s="468">
        <v>108037</v>
      </c>
      <c r="D37" s="489">
        <v>99939</v>
      </c>
      <c r="E37" s="489">
        <f t="shared" si="0"/>
        <v>207976</v>
      </c>
      <c r="F37" s="468" t="s">
        <v>643</v>
      </c>
      <c r="G37" s="489" t="s">
        <v>643</v>
      </c>
      <c r="H37" s="489" t="str">
        <f t="shared" si="1"/>
        <v>-</v>
      </c>
      <c r="I37" s="488">
        <f t="shared" si="2"/>
        <v>108037</v>
      </c>
      <c r="J37" s="468">
        <f t="shared" si="5"/>
        <v>99939</v>
      </c>
      <c r="K37" s="489">
        <f t="shared" si="3"/>
        <v>207976</v>
      </c>
    </row>
    <row r="38" spans="1:11" s="6" customFormat="1" ht="13.5" customHeight="1">
      <c r="A38" s="598"/>
      <c r="B38" s="707" t="s">
        <v>1184</v>
      </c>
      <c r="C38" s="119">
        <f>SUM(C32,C22,C12,C7)</f>
        <v>1867682</v>
      </c>
      <c r="D38" s="130">
        <f>SUM(D32,D22,D12,D7)</f>
        <v>1757626</v>
      </c>
      <c r="E38" s="119">
        <f t="shared" si="0"/>
        <v>3625308</v>
      </c>
      <c r="F38" s="119">
        <f>SUM(F32,F22,F12,F7)</f>
        <v>499171</v>
      </c>
      <c r="G38" s="130">
        <f>SUM(G32,G22,G12,G7)</f>
        <v>480348</v>
      </c>
      <c r="H38" s="130">
        <f>SUM(H32,H22,H12,H7)</f>
        <v>979519</v>
      </c>
      <c r="I38" s="26">
        <f>SUM(I32,I22,I12,I7)</f>
        <v>2366853</v>
      </c>
      <c r="J38" s="119">
        <f t="shared" si="5"/>
        <v>2237974</v>
      </c>
      <c r="K38" s="130">
        <f>SUM(E38,H38)</f>
        <v>4604827</v>
      </c>
    </row>
    <row r="39" spans="1:11">
      <c r="A39" s="433"/>
      <c r="I39" s="6"/>
      <c r="J39" s="6"/>
      <c r="K39" s="280" t="s">
        <v>363</v>
      </c>
    </row>
    <row r="40" spans="1:11">
      <c r="A40" s="433"/>
    </row>
  </sheetData>
  <mergeCells count="6">
    <mergeCell ref="B1:K1"/>
    <mergeCell ref="B2:K2"/>
    <mergeCell ref="F4:H4"/>
    <mergeCell ref="I4:K4"/>
    <mergeCell ref="B4:B5"/>
    <mergeCell ref="C4:E4"/>
  </mergeCells>
  <phoneticPr fontId="0" type="noConversion"/>
  <pageMargins left="0.1" right="0.1" top="0.38" bottom="0.1" header="0.4" footer="0"/>
  <pageSetup paperSize="9" orientation="landscape" blackAndWhite="1" r:id="rId1"/>
  <headerFooter alignWithMargins="0"/>
</worksheet>
</file>

<file path=xl/worksheets/sheet14.xml><?xml version="1.0" encoding="utf-8"?>
<worksheet xmlns="http://schemas.openxmlformats.org/spreadsheetml/2006/main" xmlns:r="http://schemas.openxmlformats.org/officeDocument/2006/relationships">
  <sheetPr codeName="Sheet43"/>
  <dimension ref="A1:K40"/>
  <sheetViews>
    <sheetView workbookViewId="0">
      <selection activeCell="I31" sqref="I31"/>
    </sheetView>
  </sheetViews>
  <sheetFormatPr defaultRowHeight="12.75"/>
  <cols>
    <col min="1" max="1" width="6" style="405" customWidth="1"/>
    <col min="2" max="2" width="20.7109375" style="405" customWidth="1"/>
    <col min="3" max="11" width="12.7109375" style="405" customWidth="1"/>
    <col min="12" max="16384" width="9.140625" style="405"/>
  </cols>
  <sheetData>
    <row r="1" spans="1:11">
      <c r="A1" s="432"/>
      <c r="B1" s="1250" t="s">
        <v>423</v>
      </c>
      <c r="C1" s="1250"/>
      <c r="D1" s="1250"/>
      <c r="E1" s="1250"/>
      <c r="F1" s="1250"/>
      <c r="G1" s="1250"/>
      <c r="H1" s="1250"/>
      <c r="I1" s="1250"/>
      <c r="J1" s="1250"/>
      <c r="K1" s="1250"/>
    </row>
    <row r="2" spans="1:11" s="412" customFormat="1" ht="16.5">
      <c r="A2" s="433"/>
      <c r="B2" s="1267" t="str">
        <f>CONCATENATE("Distribution of Rural and Urban Population by sex in the district of ",District!$A$1,", 2011")</f>
        <v>Distribution of Rural and Urban Population by sex in the district of Nadia, 2011</v>
      </c>
      <c r="C2" s="1267"/>
      <c r="D2" s="1267"/>
      <c r="E2" s="1267"/>
      <c r="F2" s="1267"/>
      <c r="G2" s="1267"/>
      <c r="H2" s="1267"/>
      <c r="I2" s="1267"/>
      <c r="J2" s="1267"/>
      <c r="K2" s="1267"/>
    </row>
    <row r="3" spans="1:11">
      <c r="A3" s="435"/>
      <c r="B3" s="412"/>
      <c r="C3" s="436"/>
      <c r="D3" s="436"/>
      <c r="E3" s="436"/>
      <c r="F3" s="428"/>
      <c r="G3" s="428"/>
      <c r="H3" s="428"/>
      <c r="I3" s="436"/>
      <c r="J3" s="436"/>
      <c r="K3" s="451" t="s">
        <v>223</v>
      </c>
    </row>
    <row r="4" spans="1:11" ht="17.25" customHeight="1">
      <c r="A4" s="433"/>
      <c r="B4" s="1262" t="s">
        <v>1389</v>
      </c>
      <c r="C4" s="1251" t="s">
        <v>1605</v>
      </c>
      <c r="D4" s="1251"/>
      <c r="E4" s="1252"/>
      <c r="F4" s="1253" t="s">
        <v>1606</v>
      </c>
      <c r="G4" s="1251"/>
      <c r="H4" s="1252"/>
      <c r="I4" s="1253" t="s">
        <v>302</v>
      </c>
      <c r="J4" s="1251"/>
      <c r="K4" s="1252"/>
    </row>
    <row r="5" spans="1:11" ht="13.5" customHeight="1">
      <c r="A5" s="433"/>
      <c r="B5" s="1263"/>
      <c r="C5" s="204" t="s">
        <v>246</v>
      </c>
      <c r="D5" s="221" t="s">
        <v>249</v>
      </c>
      <c r="E5" s="46" t="s">
        <v>210</v>
      </c>
      <c r="F5" s="204" t="s">
        <v>246</v>
      </c>
      <c r="G5" s="216" t="s">
        <v>249</v>
      </c>
      <c r="H5" s="46" t="s">
        <v>210</v>
      </c>
      <c r="I5" s="108" t="s">
        <v>246</v>
      </c>
      <c r="J5" s="204" t="s">
        <v>249</v>
      </c>
      <c r="K5" s="46" t="s">
        <v>210</v>
      </c>
    </row>
    <row r="6" spans="1:11">
      <c r="A6" s="433"/>
      <c r="B6" s="514" t="s">
        <v>163</v>
      </c>
      <c r="C6" s="225" t="s">
        <v>164</v>
      </c>
      <c r="D6" s="224" t="s">
        <v>165</v>
      </c>
      <c r="E6" s="224" t="s">
        <v>166</v>
      </c>
      <c r="F6" s="225" t="s">
        <v>167</v>
      </c>
      <c r="G6" s="224" t="s">
        <v>168</v>
      </c>
      <c r="H6" s="224" t="s">
        <v>169</v>
      </c>
      <c r="I6" s="299" t="s">
        <v>211</v>
      </c>
      <c r="J6" s="225" t="s">
        <v>212</v>
      </c>
      <c r="K6" s="224" t="s">
        <v>213</v>
      </c>
    </row>
    <row r="7" spans="1:11" ht="13.5" customHeight="1">
      <c r="A7" s="433"/>
      <c r="B7" s="822" t="s">
        <v>1091</v>
      </c>
      <c r="C7" s="137">
        <f>SUM(C8:C11)</f>
        <v>397676</v>
      </c>
      <c r="D7" s="79">
        <f t="shared" ref="D7:K7" si="0">SUM(D8:D11)</f>
        <v>375908</v>
      </c>
      <c r="E7" s="44">
        <f t="shared" si="0"/>
        <v>773584</v>
      </c>
      <c r="F7" s="137">
        <f t="shared" si="0"/>
        <v>11557</v>
      </c>
      <c r="G7" s="823">
        <f t="shared" si="0"/>
        <v>11104</v>
      </c>
      <c r="H7" s="44">
        <f t="shared" si="0"/>
        <v>22661</v>
      </c>
      <c r="I7" s="193">
        <f t="shared" si="0"/>
        <v>409233</v>
      </c>
      <c r="J7" s="193">
        <f t="shared" si="0"/>
        <v>387012</v>
      </c>
      <c r="K7" s="44">
        <f t="shared" si="0"/>
        <v>796245</v>
      </c>
    </row>
    <row r="8" spans="1:11" ht="13.5" customHeight="1">
      <c r="A8" s="433"/>
      <c r="B8" s="524" t="s">
        <v>1118</v>
      </c>
      <c r="C8" s="463">
        <v>83014</v>
      </c>
      <c r="D8" s="421">
        <v>77881</v>
      </c>
      <c r="E8" s="421">
        <f>IF(SUM(C8:D8)=0,"-",SUM(C8:D8))</f>
        <v>160895</v>
      </c>
      <c r="F8" s="463">
        <v>11557</v>
      </c>
      <c r="G8" s="421">
        <v>11104</v>
      </c>
      <c r="H8" s="421">
        <f>IF(SUM(F8:G8)=0,"-",SUM(F8:G8))</f>
        <v>22661</v>
      </c>
      <c r="I8" s="463">
        <f t="shared" ref="I8:J11" si="1">SUM(C8,F8)</f>
        <v>94571</v>
      </c>
      <c r="J8" s="463">
        <f t="shared" si="1"/>
        <v>88985</v>
      </c>
      <c r="K8" s="421">
        <f>IF(SUM(I8:J8)=0,"-",SUM(I8:J8))</f>
        <v>183556</v>
      </c>
    </row>
    <row r="9" spans="1:11" ht="13.5" customHeight="1">
      <c r="A9" s="433"/>
      <c r="B9" s="540" t="s">
        <v>1119</v>
      </c>
      <c r="C9" s="421">
        <v>111488</v>
      </c>
      <c r="D9" s="462">
        <v>105648</v>
      </c>
      <c r="E9" s="421">
        <f>IF(SUM(C9:D9)=0,"-",SUM(C9:D9))</f>
        <v>217136</v>
      </c>
      <c r="F9" s="463" t="s">
        <v>643</v>
      </c>
      <c r="G9" s="421" t="s">
        <v>643</v>
      </c>
      <c r="H9" s="421" t="str">
        <f>IF(SUM(F9:G9)=0,"-",SUM(F9:G9))</f>
        <v>-</v>
      </c>
      <c r="I9" s="463">
        <f t="shared" si="1"/>
        <v>111488</v>
      </c>
      <c r="J9" s="463">
        <f t="shared" si="1"/>
        <v>105648</v>
      </c>
      <c r="K9" s="421">
        <f>IF(SUM(I9:J9)=0,"-",SUM(I9:J9))</f>
        <v>217136</v>
      </c>
    </row>
    <row r="10" spans="1:11" ht="13.5" customHeight="1">
      <c r="A10" s="433"/>
      <c r="B10" s="540" t="s">
        <v>1121</v>
      </c>
      <c r="C10" s="421">
        <v>125875</v>
      </c>
      <c r="D10" s="462">
        <v>118447</v>
      </c>
      <c r="E10" s="421">
        <f>IF(SUM(C10:D10)=0,"-",SUM(C10:D10))</f>
        <v>244322</v>
      </c>
      <c r="F10" s="463" t="s">
        <v>643</v>
      </c>
      <c r="G10" s="421" t="s">
        <v>643</v>
      </c>
      <c r="H10" s="421" t="str">
        <f>IF(SUM(F10:G10)=0,"-",SUM(F10:G10))</f>
        <v>-</v>
      </c>
      <c r="I10" s="463">
        <f t="shared" si="1"/>
        <v>125875</v>
      </c>
      <c r="J10" s="463">
        <f t="shared" si="1"/>
        <v>118447</v>
      </c>
      <c r="K10" s="421">
        <f>IF(SUM(I10:J10)=0,"-",SUM(I10:J10))</f>
        <v>244322</v>
      </c>
    </row>
    <row r="11" spans="1:11" ht="13.5" customHeight="1">
      <c r="A11" s="433"/>
      <c r="B11" s="540" t="s">
        <v>1120</v>
      </c>
      <c r="C11" s="421">
        <v>77299</v>
      </c>
      <c r="D11" s="462">
        <v>73932</v>
      </c>
      <c r="E11" s="421">
        <f>IF(SUM(C11:D11)=0,"-",SUM(C11:D11))</f>
        <v>151231</v>
      </c>
      <c r="F11" s="463" t="s">
        <v>643</v>
      </c>
      <c r="G11" s="421" t="s">
        <v>643</v>
      </c>
      <c r="H11" s="421" t="str">
        <f>IF(SUM(F11:G11)=0,"-",SUM(F11:G11))</f>
        <v>-</v>
      </c>
      <c r="I11" s="463">
        <f t="shared" si="1"/>
        <v>77299</v>
      </c>
      <c r="J11" s="463">
        <f t="shared" si="1"/>
        <v>73932</v>
      </c>
      <c r="K11" s="421">
        <f>IF(SUM(I11:J11)=0,"-",SUM(I11:J11))</f>
        <v>151231</v>
      </c>
    </row>
    <row r="12" spans="1:11" ht="13.5" customHeight="1">
      <c r="A12" s="433"/>
      <c r="B12" s="824" t="s">
        <v>1264</v>
      </c>
      <c r="C12" s="137">
        <f t="shared" ref="C12:K12" si="2">SUM(C13:C21)</f>
        <v>821952</v>
      </c>
      <c r="D12" s="137">
        <f t="shared" si="2"/>
        <v>775828</v>
      </c>
      <c r="E12" s="137">
        <f t="shared" si="2"/>
        <v>1597780</v>
      </c>
      <c r="F12" s="137">
        <f t="shared" si="2"/>
        <v>229743</v>
      </c>
      <c r="G12" s="137">
        <f t="shared" si="2"/>
        <v>219508</v>
      </c>
      <c r="H12" s="137">
        <f t="shared" si="2"/>
        <v>449251</v>
      </c>
      <c r="I12" s="137">
        <f t="shared" si="2"/>
        <v>1051695</v>
      </c>
      <c r="J12" s="137">
        <f t="shared" si="2"/>
        <v>995336</v>
      </c>
      <c r="K12" s="79">
        <f t="shared" si="2"/>
        <v>2047031</v>
      </c>
    </row>
    <row r="13" spans="1:11" ht="13.5" customHeight="1">
      <c r="A13" s="433"/>
      <c r="B13" s="540" t="s">
        <v>1122</v>
      </c>
      <c r="C13" s="421">
        <v>157234</v>
      </c>
      <c r="D13" s="462">
        <v>148963</v>
      </c>
      <c r="E13" s="421">
        <f t="shared" ref="E13:E21" si="3">IF(SUM(C13:D13)=0,"-",SUM(C13:D13))</f>
        <v>306197</v>
      </c>
      <c r="F13" s="463">
        <v>14678</v>
      </c>
      <c r="G13" s="421">
        <v>14006</v>
      </c>
      <c r="H13" s="421">
        <f t="shared" ref="H13:H21" si="4">IF(SUM(F13:G13)=0,"-",SUM(F13:G13))</f>
        <v>28684</v>
      </c>
      <c r="I13" s="463">
        <f t="shared" ref="I13:I21" si="5">SUM(C13,F13)</f>
        <v>171912</v>
      </c>
      <c r="J13" s="463">
        <f t="shared" ref="J13:J21" si="6">SUM(D13,G13)</f>
        <v>162969</v>
      </c>
      <c r="K13" s="421">
        <f t="shared" ref="K13:K21" si="7">IF(SUM(I13:J13)=0,"-",SUM(I13:J13))</f>
        <v>334881</v>
      </c>
    </row>
    <row r="14" spans="1:11" ht="13.5" customHeight="1">
      <c r="A14" s="433"/>
      <c r="B14" s="540" t="s">
        <v>1123</v>
      </c>
      <c r="C14" s="421">
        <v>180990</v>
      </c>
      <c r="D14" s="462">
        <v>171201</v>
      </c>
      <c r="E14" s="421">
        <f t="shared" si="3"/>
        <v>352191</v>
      </c>
      <c r="F14" s="421">
        <v>17527</v>
      </c>
      <c r="G14" s="421">
        <v>16851</v>
      </c>
      <c r="H14" s="421">
        <f t="shared" si="4"/>
        <v>34378</v>
      </c>
      <c r="I14" s="463">
        <f t="shared" si="5"/>
        <v>198517</v>
      </c>
      <c r="J14" s="463">
        <f t="shared" si="6"/>
        <v>188052</v>
      </c>
      <c r="K14" s="421">
        <f t="shared" si="7"/>
        <v>386569</v>
      </c>
    </row>
    <row r="15" spans="1:11" ht="13.5" customHeight="1">
      <c r="A15" s="433"/>
      <c r="B15" s="540" t="s">
        <v>1124</v>
      </c>
      <c r="C15" s="421">
        <v>152575</v>
      </c>
      <c r="D15" s="462">
        <v>143954</v>
      </c>
      <c r="E15" s="421">
        <f t="shared" si="3"/>
        <v>296529</v>
      </c>
      <c r="F15" s="421">
        <v>7161</v>
      </c>
      <c r="G15" s="421">
        <v>6962</v>
      </c>
      <c r="H15" s="421">
        <f t="shared" si="4"/>
        <v>14123</v>
      </c>
      <c r="I15" s="463">
        <f t="shared" si="5"/>
        <v>159736</v>
      </c>
      <c r="J15" s="463">
        <f t="shared" si="6"/>
        <v>150916</v>
      </c>
      <c r="K15" s="421">
        <f t="shared" si="7"/>
        <v>310652</v>
      </c>
    </row>
    <row r="16" spans="1:11" ht="13.5" customHeight="1">
      <c r="A16" s="433"/>
      <c r="B16" s="540" t="s">
        <v>1125</v>
      </c>
      <c r="C16" s="421">
        <v>75573</v>
      </c>
      <c r="D16" s="462">
        <v>71132</v>
      </c>
      <c r="E16" s="421">
        <f t="shared" si="3"/>
        <v>146705</v>
      </c>
      <c r="F16" s="421" t="s">
        <v>643</v>
      </c>
      <c r="G16" s="421" t="s">
        <v>643</v>
      </c>
      <c r="H16" s="421" t="str">
        <f t="shared" si="4"/>
        <v>-</v>
      </c>
      <c r="I16" s="463">
        <f t="shared" si="5"/>
        <v>75573</v>
      </c>
      <c r="J16" s="463">
        <f t="shared" si="6"/>
        <v>71132</v>
      </c>
      <c r="K16" s="421">
        <f t="shared" si="7"/>
        <v>146705</v>
      </c>
    </row>
    <row r="17" spans="1:11" ht="13.5" customHeight="1">
      <c r="A17" s="433"/>
      <c r="B17" s="540" t="s">
        <v>1126</v>
      </c>
      <c r="C17" s="463">
        <v>147239</v>
      </c>
      <c r="D17" s="628">
        <v>138646</v>
      </c>
      <c r="E17" s="421">
        <f t="shared" si="3"/>
        <v>285885</v>
      </c>
      <c r="F17" s="421">
        <v>14847</v>
      </c>
      <c r="G17" s="421">
        <v>14101</v>
      </c>
      <c r="H17" s="421">
        <f t="shared" si="4"/>
        <v>28948</v>
      </c>
      <c r="I17" s="463">
        <f t="shared" si="5"/>
        <v>162086</v>
      </c>
      <c r="J17" s="463">
        <f t="shared" si="6"/>
        <v>152747</v>
      </c>
      <c r="K17" s="421">
        <f t="shared" si="7"/>
        <v>314833</v>
      </c>
    </row>
    <row r="18" spans="1:11" ht="13.5" customHeight="1">
      <c r="A18" s="433"/>
      <c r="B18" s="540" t="s">
        <v>1127</v>
      </c>
      <c r="C18" s="463" t="s">
        <v>643</v>
      </c>
      <c r="D18" s="628" t="s">
        <v>643</v>
      </c>
      <c r="E18" s="421" t="str">
        <f t="shared" si="3"/>
        <v>-</v>
      </c>
      <c r="F18" s="421">
        <v>77146</v>
      </c>
      <c r="G18" s="421">
        <v>75916</v>
      </c>
      <c r="H18" s="421">
        <f t="shared" si="4"/>
        <v>153062</v>
      </c>
      <c r="I18" s="463">
        <f t="shared" si="5"/>
        <v>77146</v>
      </c>
      <c r="J18" s="463">
        <f t="shared" si="6"/>
        <v>75916</v>
      </c>
      <c r="K18" s="421">
        <f t="shared" si="7"/>
        <v>153062</v>
      </c>
    </row>
    <row r="19" spans="1:11" ht="13.5" customHeight="1">
      <c r="A19" s="433"/>
      <c r="B19" s="540" t="s">
        <v>1128</v>
      </c>
      <c r="C19" s="463">
        <v>68826</v>
      </c>
      <c r="D19" s="628">
        <v>65206</v>
      </c>
      <c r="E19" s="421">
        <f t="shared" si="3"/>
        <v>134032</v>
      </c>
      <c r="F19" s="421">
        <v>2788</v>
      </c>
      <c r="G19" s="421">
        <v>2652</v>
      </c>
      <c r="H19" s="421">
        <f t="shared" si="4"/>
        <v>5440</v>
      </c>
      <c r="I19" s="463">
        <f t="shared" si="5"/>
        <v>71614</v>
      </c>
      <c r="J19" s="463">
        <f t="shared" si="6"/>
        <v>67858</v>
      </c>
      <c r="K19" s="421">
        <f t="shared" si="7"/>
        <v>139472</v>
      </c>
    </row>
    <row r="20" spans="1:11" ht="13.5" customHeight="1">
      <c r="A20" s="433"/>
      <c r="B20" s="540" t="s">
        <v>90</v>
      </c>
      <c r="C20" s="463">
        <v>39515</v>
      </c>
      <c r="D20" s="628">
        <v>36726</v>
      </c>
      <c r="E20" s="421">
        <f t="shared" si="3"/>
        <v>76241</v>
      </c>
      <c r="F20" s="421">
        <v>30181</v>
      </c>
      <c r="G20" s="421">
        <v>28892</v>
      </c>
      <c r="H20" s="421">
        <f t="shared" si="4"/>
        <v>59073</v>
      </c>
      <c r="I20" s="463">
        <f t="shared" si="5"/>
        <v>69696</v>
      </c>
      <c r="J20" s="463">
        <f t="shared" si="6"/>
        <v>65618</v>
      </c>
      <c r="K20" s="421">
        <f t="shared" si="7"/>
        <v>135314</v>
      </c>
    </row>
    <row r="21" spans="1:11" ht="13.5" customHeight="1">
      <c r="A21" s="433"/>
      <c r="B21" s="540" t="s">
        <v>1130</v>
      </c>
      <c r="C21" s="463" t="s">
        <v>643</v>
      </c>
      <c r="D21" s="628" t="s">
        <v>643</v>
      </c>
      <c r="E21" s="421" t="str">
        <f t="shared" si="3"/>
        <v>-</v>
      </c>
      <c r="F21" s="463">
        <v>65415</v>
      </c>
      <c r="G21" s="421">
        <v>60128</v>
      </c>
      <c r="H21" s="421">
        <f t="shared" si="4"/>
        <v>125543</v>
      </c>
      <c r="I21" s="463">
        <f t="shared" si="5"/>
        <v>65415</v>
      </c>
      <c r="J21" s="463">
        <f t="shared" si="6"/>
        <v>60128</v>
      </c>
      <c r="K21" s="421">
        <f t="shared" si="7"/>
        <v>125543</v>
      </c>
    </row>
    <row r="22" spans="1:11" ht="13.5" customHeight="1">
      <c r="A22" s="433"/>
      <c r="B22" s="824" t="s">
        <v>805</v>
      </c>
      <c r="C22" s="137">
        <f>SUM(C23:C31)</f>
        <v>431956</v>
      </c>
      <c r="D22" s="137">
        <f t="shared" ref="D22:K22" si="8">SUM(D23:D31)</f>
        <v>403565</v>
      </c>
      <c r="E22" s="44">
        <f t="shared" si="8"/>
        <v>835521</v>
      </c>
      <c r="F22" s="137">
        <f t="shared" si="8"/>
        <v>304077</v>
      </c>
      <c r="G22" s="137">
        <f t="shared" si="8"/>
        <v>293163</v>
      </c>
      <c r="H22" s="44">
        <f t="shared" si="8"/>
        <v>597240</v>
      </c>
      <c r="I22" s="118">
        <f t="shared" si="8"/>
        <v>736033</v>
      </c>
      <c r="J22" s="118">
        <f t="shared" si="8"/>
        <v>696728</v>
      </c>
      <c r="K22" s="44">
        <f t="shared" si="8"/>
        <v>1432761</v>
      </c>
    </row>
    <row r="23" spans="1:11" ht="13.5" customHeight="1">
      <c r="A23" s="433"/>
      <c r="B23" s="540" t="s">
        <v>1131</v>
      </c>
      <c r="C23" s="462">
        <v>79482</v>
      </c>
      <c r="D23" s="421">
        <v>74774</v>
      </c>
      <c r="E23" s="421">
        <f t="shared" ref="E23:E37" si="9">IF(SUM(C23:D23)=0,"-",SUM(C23:D23))</f>
        <v>154256</v>
      </c>
      <c r="F23" s="462">
        <v>44918</v>
      </c>
      <c r="G23" s="421">
        <v>41906</v>
      </c>
      <c r="H23" s="421">
        <f t="shared" ref="H23:H37" si="10">IF(SUM(F23:G23)=0,"-",SUM(F23:G23))</f>
        <v>86824</v>
      </c>
      <c r="I23" s="463">
        <f t="shared" ref="I23:I31" si="11">SUM(C23,F23)</f>
        <v>124400</v>
      </c>
      <c r="J23" s="463">
        <f t="shared" ref="J23:J31" si="12">SUM(D23,G23)</f>
        <v>116680</v>
      </c>
      <c r="K23" s="421">
        <f t="shared" ref="K23:K31" si="13">IF(SUM(I23:J23)=0,"-",SUM(I23:J23))</f>
        <v>241080</v>
      </c>
    </row>
    <row r="24" spans="1:11" ht="13.5" customHeight="1">
      <c r="A24" s="433"/>
      <c r="B24" s="540" t="s">
        <v>1133</v>
      </c>
      <c r="C24" s="462" t="s">
        <v>643</v>
      </c>
      <c r="D24" s="421" t="s">
        <v>643</v>
      </c>
      <c r="E24" s="421" t="str">
        <f t="shared" si="9"/>
        <v>-</v>
      </c>
      <c r="F24" s="462">
        <v>77011</v>
      </c>
      <c r="G24" s="421">
        <v>74766</v>
      </c>
      <c r="H24" s="421">
        <f t="shared" si="10"/>
        <v>151777</v>
      </c>
      <c r="I24" s="463">
        <f t="shared" si="11"/>
        <v>77011</v>
      </c>
      <c r="J24" s="463">
        <f t="shared" si="12"/>
        <v>74766</v>
      </c>
      <c r="K24" s="421">
        <f t="shared" si="13"/>
        <v>151777</v>
      </c>
    </row>
    <row r="25" spans="1:11" ht="13.5" customHeight="1">
      <c r="A25" s="433"/>
      <c r="B25" s="540" t="s">
        <v>1134</v>
      </c>
      <c r="C25" s="462">
        <v>127576</v>
      </c>
      <c r="D25" s="421">
        <v>118323</v>
      </c>
      <c r="E25" s="421">
        <f t="shared" si="9"/>
        <v>245899</v>
      </c>
      <c r="F25" s="462">
        <v>24069</v>
      </c>
      <c r="G25" s="421">
        <v>23072</v>
      </c>
      <c r="H25" s="421">
        <f t="shared" si="10"/>
        <v>47141</v>
      </c>
      <c r="I25" s="463">
        <f t="shared" si="11"/>
        <v>151645</v>
      </c>
      <c r="J25" s="463">
        <f t="shared" si="12"/>
        <v>141395</v>
      </c>
      <c r="K25" s="421">
        <f t="shared" si="13"/>
        <v>293040</v>
      </c>
    </row>
    <row r="26" spans="1:11" ht="13.5" customHeight="1">
      <c r="A26" s="433"/>
      <c r="B26" s="540" t="s">
        <v>1623</v>
      </c>
      <c r="C26" s="462">
        <v>62661</v>
      </c>
      <c r="D26" s="421">
        <v>58186</v>
      </c>
      <c r="E26" s="421">
        <f t="shared" si="9"/>
        <v>120847</v>
      </c>
      <c r="F26" s="462">
        <v>56783</v>
      </c>
      <c r="G26" s="421">
        <v>54652</v>
      </c>
      <c r="H26" s="421">
        <f t="shared" si="10"/>
        <v>111435</v>
      </c>
      <c r="I26" s="463">
        <f t="shared" si="11"/>
        <v>119444</v>
      </c>
      <c r="J26" s="463">
        <f t="shared" si="12"/>
        <v>112838</v>
      </c>
      <c r="K26" s="421">
        <f t="shared" si="13"/>
        <v>232282</v>
      </c>
    </row>
    <row r="27" spans="1:11" ht="13.5" customHeight="1">
      <c r="A27" s="433"/>
      <c r="B27" s="540" t="s">
        <v>768</v>
      </c>
      <c r="C27" s="462" t="s">
        <v>643</v>
      </c>
      <c r="D27" s="421" t="s">
        <v>643</v>
      </c>
      <c r="E27" s="421" t="str">
        <f t="shared" si="9"/>
        <v>-</v>
      </c>
      <c r="F27" s="462">
        <v>37948</v>
      </c>
      <c r="G27" s="421">
        <v>37417</v>
      </c>
      <c r="H27" s="421">
        <f t="shared" si="10"/>
        <v>75365</v>
      </c>
      <c r="I27" s="463">
        <f t="shared" si="11"/>
        <v>37948</v>
      </c>
      <c r="J27" s="463">
        <f t="shared" si="12"/>
        <v>37417</v>
      </c>
      <c r="K27" s="421">
        <f t="shared" si="13"/>
        <v>75365</v>
      </c>
    </row>
    <row r="28" spans="1:11" ht="13.5" customHeight="1">
      <c r="A28" s="433"/>
      <c r="B28" s="540" t="s">
        <v>1625</v>
      </c>
      <c r="C28" s="462" t="s">
        <v>643</v>
      </c>
      <c r="D28" s="421" t="s">
        <v>643</v>
      </c>
      <c r="E28" s="421" t="str">
        <f t="shared" si="9"/>
        <v>-</v>
      </c>
      <c r="F28" s="462">
        <v>15658</v>
      </c>
      <c r="G28" s="421">
        <v>15141</v>
      </c>
      <c r="H28" s="421">
        <f t="shared" si="10"/>
        <v>30799</v>
      </c>
      <c r="I28" s="463">
        <f t="shared" si="11"/>
        <v>15658</v>
      </c>
      <c r="J28" s="463">
        <f t="shared" si="12"/>
        <v>15141</v>
      </c>
      <c r="K28" s="421">
        <f t="shared" si="13"/>
        <v>30799</v>
      </c>
    </row>
    <row r="29" spans="1:11" ht="13.5" customHeight="1">
      <c r="A29" s="433"/>
      <c r="B29" s="524" t="s">
        <v>1626</v>
      </c>
      <c r="C29" s="463" t="s">
        <v>643</v>
      </c>
      <c r="D29" s="421" t="s">
        <v>643</v>
      </c>
      <c r="E29" s="421" t="str">
        <f t="shared" si="9"/>
        <v>-</v>
      </c>
      <c r="F29" s="463">
        <v>10642</v>
      </c>
      <c r="G29" s="421">
        <v>10252</v>
      </c>
      <c r="H29" s="421">
        <f t="shared" si="10"/>
        <v>20894</v>
      </c>
      <c r="I29" s="463">
        <f t="shared" si="11"/>
        <v>10642</v>
      </c>
      <c r="J29" s="463">
        <f t="shared" si="12"/>
        <v>10252</v>
      </c>
      <c r="K29" s="421">
        <f t="shared" si="13"/>
        <v>20894</v>
      </c>
    </row>
    <row r="30" spans="1:11" ht="13.5" customHeight="1">
      <c r="A30" s="433"/>
      <c r="B30" s="540" t="s">
        <v>714</v>
      </c>
      <c r="C30" s="462">
        <v>162237</v>
      </c>
      <c r="D30" s="421">
        <v>152282</v>
      </c>
      <c r="E30" s="421">
        <f t="shared" si="9"/>
        <v>314519</v>
      </c>
      <c r="F30" s="462">
        <v>27469</v>
      </c>
      <c r="G30" s="421">
        <v>26693</v>
      </c>
      <c r="H30" s="421">
        <f t="shared" si="10"/>
        <v>54162</v>
      </c>
      <c r="I30" s="463">
        <f t="shared" si="11"/>
        <v>189706</v>
      </c>
      <c r="J30" s="463">
        <f t="shared" si="12"/>
        <v>178975</v>
      </c>
      <c r="K30" s="421">
        <f t="shared" si="13"/>
        <v>368681</v>
      </c>
    </row>
    <row r="31" spans="1:11" ht="13.5" customHeight="1">
      <c r="A31" s="433"/>
      <c r="B31" s="540" t="s">
        <v>1275</v>
      </c>
      <c r="C31" s="462" t="s">
        <v>643</v>
      </c>
      <c r="D31" s="421" t="s">
        <v>643</v>
      </c>
      <c r="E31" s="421" t="str">
        <f t="shared" si="9"/>
        <v>-</v>
      </c>
      <c r="F31" s="462">
        <v>9579</v>
      </c>
      <c r="G31" s="421">
        <v>9264</v>
      </c>
      <c r="H31" s="421">
        <f t="shared" si="10"/>
        <v>18843</v>
      </c>
      <c r="I31" s="463">
        <f t="shared" si="11"/>
        <v>9579</v>
      </c>
      <c r="J31" s="463">
        <f t="shared" si="12"/>
        <v>9264</v>
      </c>
      <c r="K31" s="421">
        <f t="shared" si="13"/>
        <v>18843</v>
      </c>
    </row>
    <row r="32" spans="1:11" ht="13.5" customHeight="1">
      <c r="A32" s="433"/>
      <c r="B32" s="523" t="s">
        <v>1265</v>
      </c>
      <c r="C32" s="118">
        <f>SUM(C33:C37)</f>
        <v>269528</v>
      </c>
      <c r="D32" s="44">
        <f t="shared" ref="D32:K32" si="14">SUM(D33:D37)</f>
        <v>252314</v>
      </c>
      <c r="E32" s="44">
        <f t="shared" si="14"/>
        <v>521842</v>
      </c>
      <c r="F32" s="118">
        <f t="shared" si="14"/>
        <v>187279</v>
      </c>
      <c r="G32" s="44">
        <f t="shared" si="14"/>
        <v>182442</v>
      </c>
      <c r="H32" s="44">
        <f t="shared" si="14"/>
        <v>369721</v>
      </c>
      <c r="I32" s="21">
        <f t="shared" si="14"/>
        <v>456807</v>
      </c>
      <c r="J32" s="118">
        <f t="shared" si="14"/>
        <v>434756</v>
      </c>
      <c r="K32" s="44">
        <f t="shared" si="14"/>
        <v>891563</v>
      </c>
    </row>
    <row r="33" spans="1:11" ht="13.5" customHeight="1">
      <c r="A33" s="433"/>
      <c r="B33" s="524" t="s">
        <v>769</v>
      </c>
      <c r="C33" s="463">
        <v>162899</v>
      </c>
      <c r="D33" s="421">
        <v>151484</v>
      </c>
      <c r="E33" s="421">
        <f t="shared" si="9"/>
        <v>314383</v>
      </c>
      <c r="F33" s="463">
        <v>46614</v>
      </c>
      <c r="G33" s="421">
        <v>44722</v>
      </c>
      <c r="H33" s="421">
        <f t="shared" si="10"/>
        <v>91336</v>
      </c>
      <c r="I33" s="503">
        <f t="shared" ref="I33:J37" si="15">SUM(C33,F33)</f>
        <v>209513</v>
      </c>
      <c r="J33" s="463">
        <f t="shared" si="15"/>
        <v>196206</v>
      </c>
      <c r="K33" s="421">
        <f>IF(SUM(I33:J33)=0,"-",SUM(I33:J33))</f>
        <v>405719</v>
      </c>
    </row>
    <row r="34" spans="1:11" ht="13.5" customHeight="1">
      <c r="A34" s="433"/>
      <c r="B34" s="540" t="s">
        <v>770</v>
      </c>
      <c r="C34" s="462" t="s">
        <v>643</v>
      </c>
      <c r="D34" s="421" t="s">
        <v>643</v>
      </c>
      <c r="E34" s="421" t="str">
        <f t="shared" si="9"/>
        <v>-</v>
      </c>
      <c r="F34" s="462">
        <v>48047</v>
      </c>
      <c r="G34" s="421">
        <v>47156</v>
      </c>
      <c r="H34" s="421">
        <f t="shared" si="10"/>
        <v>95203</v>
      </c>
      <c r="I34" s="503">
        <f t="shared" si="15"/>
        <v>48047</v>
      </c>
      <c r="J34" s="463">
        <f t="shared" si="15"/>
        <v>47156</v>
      </c>
      <c r="K34" s="421">
        <f>IF(SUM(I34:J34)=0,"-",SUM(I34:J34))</f>
        <v>95203</v>
      </c>
    </row>
    <row r="35" spans="1:11" ht="13.5" customHeight="1">
      <c r="A35" s="433"/>
      <c r="B35" s="524" t="s">
        <v>771</v>
      </c>
      <c r="C35" s="463" t="s">
        <v>643</v>
      </c>
      <c r="D35" s="421" t="s">
        <v>643</v>
      </c>
      <c r="E35" s="421" t="str">
        <f t="shared" si="9"/>
        <v>-</v>
      </c>
      <c r="F35" s="463">
        <v>50727</v>
      </c>
      <c r="G35" s="421">
        <v>49848</v>
      </c>
      <c r="H35" s="421">
        <f t="shared" si="10"/>
        <v>100575</v>
      </c>
      <c r="I35" s="503">
        <f t="shared" si="15"/>
        <v>50727</v>
      </c>
      <c r="J35" s="463">
        <f t="shared" si="15"/>
        <v>49848</v>
      </c>
      <c r="K35" s="421">
        <f>IF(SUM(I35:J35)=0,"-",SUM(I35:J35))</f>
        <v>100575</v>
      </c>
    </row>
    <row r="36" spans="1:11" ht="13.5" customHeight="1">
      <c r="A36" s="433"/>
      <c r="B36" s="524" t="s">
        <v>1629</v>
      </c>
      <c r="C36" s="463" t="s">
        <v>643</v>
      </c>
      <c r="D36" s="421" t="s">
        <v>643</v>
      </c>
      <c r="E36" s="421" t="str">
        <f t="shared" si="9"/>
        <v>-</v>
      </c>
      <c r="F36" s="463">
        <v>29811</v>
      </c>
      <c r="G36" s="421">
        <v>29187</v>
      </c>
      <c r="H36" s="421">
        <f t="shared" si="10"/>
        <v>58998</v>
      </c>
      <c r="I36" s="503">
        <f t="shared" si="15"/>
        <v>29811</v>
      </c>
      <c r="J36" s="463">
        <f t="shared" si="15"/>
        <v>29187</v>
      </c>
      <c r="K36" s="421">
        <f>IF(SUM(I36:J36)=0,"-",SUM(I36:J36))</f>
        <v>58998</v>
      </c>
    </row>
    <row r="37" spans="1:11" ht="13.5" customHeight="1">
      <c r="A37" s="433"/>
      <c r="B37" s="526" t="s">
        <v>772</v>
      </c>
      <c r="C37" s="468">
        <v>106629</v>
      </c>
      <c r="D37" s="489">
        <v>100830</v>
      </c>
      <c r="E37" s="489">
        <f t="shared" si="9"/>
        <v>207459</v>
      </c>
      <c r="F37" s="468">
        <v>12080</v>
      </c>
      <c r="G37" s="489">
        <v>11529</v>
      </c>
      <c r="H37" s="489">
        <f t="shared" si="10"/>
        <v>23609</v>
      </c>
      <c r="I37" s="488">
        <f t="shared" si="15"/>
        <v>118709</v>
      </c>
      <c r="J37" s="468">
        <f t="shared" si="15"/>
        <v>112359</v>
      </c>
      <c r="K37" s="489">
        <f>IF(SUM(I37:J37)=0,"-",SUM(I37:J37))</f>
        <v>231068</v>
      </c>
    </row>
    <row r="38" spans="1:11" s="6" customFormat="1" ht="13.5" customHeight="1">
      <c r="A38" s="598"/>
      <c r="B38" s="707" t="s">
        <v>1184</v>
      </c>
      <c r="C38" s="119">
        <f>SUM(C32,C22,C12,C7)</f>
        <v>1921112</v>
      </c>
      <c r="D38" s="130">
        <f t="shared" ref="D38:K38" si="16">SUM(D32,D22,D12,D7)</f>
        <v>1807615</v>
      </c>
      <c r="E38" s="119">
        <f t="shared" si="16"/>
        <v>3728727</v>
      </c>
      <c r="F38" s="119">
        <f t="shared" si="16"/>
        <v>732656</v>
      </c>
      <c r="G38" s="130">
        <f t="shared" si="16"/>
        <v>706217</v>
      </c>
      <c r="H38" s="119">
        <f t="shared" si="16"/>
        <v>1438873</v>
      </c>
      <c r="I38" s="305">
        <f t="shared" si="16"/>
        <v>2653768</v>
      </c>
      <c r="J38" s="305">
        <f t="shared" si="16"/>
        <v>2513832</v>
      </c>
      <c r="K38" s="130">
        <f t="shared" si="16"/>
        <v>5167600</v>
      </c>
    </row>
    <row r="39" spans="1:11">
      <c r="A39" s="433"/>
      <c r="I39" s="6"/>
      <c r="J39" s="6"/>
      <c r="K39" s="280" t="s">
        <v>194</v>
      </c>
    </row>
    <row r="40" spans="1:11">
      <c r="A40" s="433"/>
    </row>
  </sheetData>
  <mergeCells count="6">
    <mergeCell ref="B1:K1"/>
    <mergeCell ref="B2:K2"/>
    <mergeCell ref="F4:H4"/>
    <mergeCell ref="I4:K4"/>
    <mergeCell ref="B4:B5"/>
    <mergeCell ref="C4:E4"/>
  </mergeCells>
  <phoneticPr fontId="0" type="noConversion"/>
  <pageMargins left="0.1" right="0.1" top="0.7" bottom="0.1" header="0.7" footer="0"/>
  <pageSetup paperSize="9" orientation="landscape" blackAndWhite="1" r:id="rId1"/>
  <headerFooter alignWithMargins="0"/>
</worksheet>
</file>

<file path=xl/worksheets/sheet15.xml><?xml version="1.0" encoding="utf-8"?>
<worksheet xmlns="http://schemas.openxmlformats.org/spreadsheetml/2006/main" xmlns:r="http://schemas.openxmlformats.org/officeDocument/2006/relationships">
  <dimension ref="B1:T27"/>
  <sheetViews>
    <sheetView workbookViewId="0">
      <selection activeCell="I31" sqref="I31"/>
    </sheetView>
  </sheetViews>
  <sheetFormatPr defaultRowHeight="12.75"/>
  <cols>
    <col min="1" max="1" width="9" style="405" customWidth="1"/>
    <col min="2" max="2" width="9.28515625" style="405" customWidth="1"/>
    <col min="3" max="20" width="6.7109375" style="405" customWidth="1"/>
    <col min="21" max="16384" width="9.140625" style="405"/>
  </cols>
  <sheetData>
    <row r="1" spans="2:20" ht="12.75" customHeight="1">
      <c r="B1" s="1250" t="s">
        <v>424</v>
      </c>
      <c r="C1" s="1250"/>
      <c r="D1" s="1250"/>
      <c r="E1" s="1250"/>
      <c r="F1" s="1250"/>
      <c r="G1" s="1250"/>
      <c r="H1" s="1250"/>
      <c r="I1" s="1250"/>
      <c r="J1" s="1250"/>
      <c r="K1" s="1250"/>
      <c r="L1" s="1250"/>
      <c r="M1" s="1250"/>
      <c r="N1" s="1250"/>
      <c r="O1" s="1250"/>
      <c r="P1" s="1250"/>
      <c r="Q1" s="1250"/>
      <c r="R1" s="1250"/>
      <c r="S1" s="1250"/>
      <c r="T1" s="1250"/>
    </row>
    <row r="2" spans="2:20" s="412" customFormat="1" ht="16.5">
      <c r="B2" s="1267" t="str">
        <f>CONCATENATE("Distribution of Population by sex and by age group in the district of ",District!$A$1,", 2001")</f>
        <v>Distribution of Population by sex and by age group in the district of Nadia, 2001</v>
      </c>
      <c r="C2" s="1267"/>
      <c r="D2" s="1267"/>
      <c r="E2" s="1267"/>
      <c r="F2" s="1267"/>
      <c r="G2" s="1267"/>
      <c r="H2" s="1267"/>
      <c r="I2" s="1267"/>
      <c r="J2" s="1267"/>
      <c r="K2" s="1267"/>
      <c r="L2" s="1267"/>
      <c r="M2" s="1267"/>
      <c r="N2" s="1267"/>
      <c r="O2" s="1267"/>
      <c r="P2" s="1267"/>
      <c r="Q2" s="1267"/>
      <c r="R2" s="1267"/>
      <c r="S2" s="1267"/>
      <c r="T2" s="1267"/>
    </row>
    <row r="3" spans="2:20">
      <c r="B3" s="412"/>
      <c r="C3" s="436"/>
      <c r="D3" s="436"/>
      <c r="E3" s="436"/>
      <c r="F3" s="436"/>
      <c r="G3" s="436"/>
      <c r="H3" s="436"/>
      <c r="I3" s="436"/>
      <c r="J3" s="436"/>
      <c r="K3" s="436"/>
      <c r="L3" s="436"/>
      <c r="M3" s="436"/>
      <c r="N3" s="436"/>
      <c r="O3" s="436"/>
      <c r="P3" s="436"/>
      <c r="Q3" s="436"/>
      <c r="R3" s="436"/>
      <c r="S3" s="436"/>
      <c r="T3" s="451" t="s">
        <v>37</v>
      </c>
    </row>
    <row r="4" spans="2:20">
      <c r="B4" s="1309" t="s">
        <v>868</v>
      </c>
      <c r="C4" s="1312" t="s">
        <v>1605</v>
      </c>
      <c r="D4" s="1312"/>
      <c r="E4" s="1312"/>
      <c r="F4" s="1312"/>
      <c r="G4" s="1312"/>
      <c r="H4" s="1313"/>
      <c r="I4" s="1314" t="s">
        <v>1606</v>
      </c>
      <c r="J4" s="1312"/>
      <c r="K4" s="1312"/>
      <c r="L4" s="1312"/>
      <c r="M4" s="1312"/>
      <c r="N4" s="1313"/>
      <c r="O4" s="1315" t="s">
        <v>302</v>
      </c>
      <c r="P4" s="1315"/>
      <c r="Q4" s="1315"/>
      <c r="R4" s="1315"/>
      <c r="S4" s="1315"/>
      <c r="T4" s="1316"/>
    </row>
    <row r="5" spans="2:20">
      <c r="B5" s="1310"/>
      <c r="C5" s="1317" t="s">
        <v>246</v>
      </c>
      <c r="D5" s="1318"/>
      <c r="E5" s="1319" t="s">
        <v>249</v>
      </c>
      <c r="F5" s="1318"/>
      <c r="G5" s="1312" t="s">
        <v>210</v>
      </c>
      <c r="H5" s="1313"/>
      <c r="I5" s="1319" t="s">
        <v>246</v>
      </c>
      <c r="J5" s="1318"/>
      <c r="K5" s="1319" t="s">
        <v>249</v>
      </c>
      <c r="L5" s="1318"/>
      <c r="M5" s="1312" t="s">
        <v>210</v>
      </c>
      <c r="N5" s="1313"/>
      <c r="O5" s="1319" t="s">
        <v>246</v>
      </c>
      <c r="P5" s="1318"/>
      <c r="Q5" s="1319" t="s">
        <v>249</v>
      </c>
      <c r="R5" s="1318"/>
      <c r="S5" s="1312" t="s">
        <v>210</v>
      </c>
      <c r="T5" s="1313"/>
    </row>
    <row r="6" spans="2:20">
      <c r="B6" s="1311"/>
      <c r="C6" s="420" t="s">
        <v>225</v>
      </c>
      <c r="D6" s="825" t="s">
        <v>252</v>
      </c>
      <c r="E6" s="826" t="s">
        <v>225</v>
      </c>
      <c r="F6" s="825" t="s">
        <v>252</v>
      </c>
      <c r="G6" s="420" t="s">
        <v>225</v>
      </c>
      <c r="H6" s="825" t="s">
        <v>252</v>
      </c>
      <c r="I6" s="826" t="s">
        <v>225</v>
      </c>
      <c r="J6" s="825" t="s">
        <v>252</v>
      </c>
      <c r="K6" s="826" t="s">
        <v>225</v>
      </c>
      <c r="L6" s="825" t="s">
        <v>252</v>
      </c>
      <c r="M6" s="420" t="s">
        <v>225</v>
      </c>
      <c r="N6" s="825" t="s">
        <v>252</v>
      </c>
      <c r="O6" s="826" t="s">
        <v>225</v>
      </c>
      <c r="P6" s="825" t="s">
        <v>252</v>
      </c>
      <c r="Q6" s="826" t="s">
        <v>225</v>
      </c>
      <c r="R6" s="825" t="s">
        <v>252</v>
      </c>
      <c r="S6" s="420" t="s">
        <v>225</v>
      </c>
      <c r="T6" s="825" t="s">
        <v>252</v>
      </c>
    </row>
    <row r="7" spans="2:20">
      <c r="B7" s="827" t="s">
        <v>163</v>
      </c>
      <c r="C7" s="828" t="s">
        <v>164</v>
      </c>
      <c r="D7" s="829" t="s">
        <v>165</v>
      </c>
      <c r="E7" s="739" t="s">
        <v>166</v>
      </c>
      <c r="F7" s="830" t="s">
        <v>167</v>
      </c>
      <c r="G7" s="828" t="s">
        <v>168</v>
      </c>
      <c r="H7" s="830" t="s">
        <v>169</v>
      </c>
      <c r="I7" s="739" t="s">
        <v>211</v>
      </c>
      <c r="J7" s="829" t="s">
        <v>212</v>
      </c>
      <c r="K7" s="739" t="s">
        <v>213</v>
      </c>
      <c r="L7" s="829" t="s">
        <v>214</v>
      </c>
      <c r="M7" s="828" t="s">
        <v>253</v>
      </c>
      <c r="N7" s="830" t="s">
        <v>254</v>
      </c>
      <c r="O7" s="831" t="s">
        <v>255</v>
      </c>
      <c r="P7" s="830" t="s">
        <v>256</v>
      </c>
      <c r="Q7" s="831" t="s">
        <v>257</v>
      </c>
      <c r="R7" s="830" t="s">
        <v>262</v>
      </c>
      <c r="S7" s="828" t="s">
        <v>264</v>
      </c>
      <c r="T7" s="829" t="s">
        <v>263</v>
      </c>
    </row>
    <row r="8" spans="2:20" ht="18" customHeight="1">
      <c r="B8" s="832" t="s">
        <v>265</v>
      </c>
      <c r="C8" s="833">
        <v>173</v>
      </c>
      <c r="D8" s="456">
        <f>ROUND(C8/C$26*100,5)</f>
        <v>9.2627299999999995</v>
      </c>
      <c r="E8" s="834">
        <v>168.3</v>
      </c>
      <c r="F8" s="456">
        <f t="shared" ref="F8:F25" si="0">ROUND(E8/E$26*100,2)</f>
        <v>9.58</v>
      </c>
      <c r="G8" s="835">
        <f t="shared" ref="G8:G25" si="1">SUM(C8,E8)</f>
        <v>341.3</v>
      </c>
      <c r="H8" s="456">
        <f t="shared" ref="H8:H22" si="2">ROUND(G8/G$26*100,2)</f>
        <v>9.41</v>
      </c>
      <c r="I8" s="834">
        <v>33.6</v>
      </c>
      <c r="J8" s="456">
        <f>ROUND(I8/I$26*100,2)</f>
        <v>6.73</v>
      </c>
      <c r="K8" s="836">
        <v>32.6</v>
      </c>
      <c r="L8" s="456">
        <f t="shared" ref="L8:L14" si="3">ROUND(K8/K$26*100,2)</f>
        <v>6.79</v>
      </c>
      <c r="M8" s="837">
        <f t="shared" ref="M8:M25" si="4">SUM(I8,K8)</f>
        <v>66.2</v>
      </c>
      <c r="N8" s="456">
        <f>ROUND(M8/M$26*100,2)</f>
        <v>6.76</v>
      </c>
      <c r="O8" s="838">
        <f t="shared" ref="O8:O25" si="5">SUM(C8,I8)</f>
        <v>206.6</v>
      </c>
      <c r="P8" s="456">
        <f t="shared" ref="P8:P25" si="6">ROUND(O8/O$26*100,2)</f>
        <v>8.73</v>
      </c>
      <c r="Q8" s="839">
        <f t="shared" ref="Q8:Q25" si="7">SUM(E8,K8)</f>
        <v>200.9</v>
      </c>
      <c r="R8" s="456">
        <f t="shared" ref="R8:R25" si="8">ROUND(Q8/Q$26*100,2)</f>
        <v>8.98</v>
      </c>
      <c r="S8" s="835">
        <f t="shared" ref="S8:S25" si="9">SUM(O8,Q8)</f>
        <v>407.5</v>
      </c>
      <c r="T8" s="456">
        <f>ROUND(S8/S$26*100,2)</f>
        <v>8.85</v>
      </c>
    </row>
    <row r="9" spans="2:20" ht="18" customHeight="1">
      <c r="B9" s="176" t="s">
        <v>266</v>
      </c>
      <c r="C9" s="833">
        <v>220.1</v>
      </c>
      <c r="D9" s="456">
        <f>ROUND(C9/C$26*100,2)+0.01</f>
        <v>11.79</v>
      </c>
      <c r="E9" s="834">
        <v>213</v>
      </c>
      <c r="F9" s="456">
        <f t="shared" si="0"/>
        <v>12.12</v>
      </c>
      <c r="G9" s="835">
        <f t="shared" si="1"/>
        <v>433.1</v>
      </c>
      <c r="H9" s="456">
        <f t="shared" si="2"/>
        <v>11.95</v>
      </c>
      <c r="I9" s="834">
        <v>42.5</v>
      </c>
      <c r="J9" s="456">
        <f>ROUND(I9/I$26*100,2)+0.01</f>
        <v>8.52</v>
      </c>
      <c r="K9" s="836">
        <v>40.9</v>
      </c>
      <c r="L9" s="456">
        <f t="shared" si="3"/>
        <v>8.52</v>
      </c>
      <c r="M9" s="837">
        <f t="shared" si="4"/>
        <v>83.4</v>
      </c>
      <c r="N9" s="456">
        <f>ROUND(M9/M$26*100,2)</f>
        <v>8.51</v>
      </c>
      <c r="O9" s="838">
        <f t="shared" si="5"/>
        <v>262.60000000000002</v>
      </c>
      <c r="P9" s="456">
        <f t="shared" si="6"/>
        <v>11.09</v>
      </c>
      <c r="Q9" s="839">
        <f t="shared" si="7"/>
        <v>253.9</v>
      </c>
      <c r="R9" s="456">
        <f t="shared" si="8"/>
        <v>11.35</v>
      </c>
      <c r="S9" s="835">
        <f t="shared" si="9"/>
        <v>516.5</v>
      </c>
      <c r="T9" s="456">
        <f>ROUND(S9/S$26*100,2)</f>
        <v>11.22</v>
      </c>
    </row>
    <row r="10" spans="2:20" ht="18" customHeight="1">
      <c r="B10" s="176" t="s">
        <v>267</v>
      </c>
      <c r="C10" s="833">
        <v>232.7</v>
      </c>
      <c r="D10" s="456">
        <f t="shared" ref="D10:D15" si="10">ROUND(C10/C$26*100,2)</f>
        <v>12.46</v>
      </c>
      <c r="E10" s="834">
        <v>219.4</v>
      </c>
      <c r="F10" s="456">
        <f t="shared" si="0"/>
        <v>12.48</v>
      </c>
      <c r="G10" s="835">
        <f t="shared" si="1"/>
        <v>452.1</v>
      </c>
      <c r="H10" s="456">
        <f t="shared" si="2"/>
        <v>12.47</v>
      </c>
      <c r="I10" s="834">
        <v>51.2</v>
      </c>
      <c r="J10" s="456">
        <f>ROUND(I10/I$26*100,2)</f>
        <v>10.26</v>
      </c>
      <c r="K10" s="834">
        <v>49</v>
      </c>
      <c r="L10" s="456">
        <f t="shared" si="3"/>
        <v>10.199999999999999</v>
      </c>
      <c r="M10" s="837">
        <f t="shared" si="4"/>
        <v>100.2</v>
      </c>
      <c r="N10" s="456">
        <f>ROUND(M10/M$26*100,2)-0.01</f>
        <v>10.220000000000001</v>
      </c>
      <c r="O10" s="838">
        <f t="shared" si="5"/>
        <v>283.89999999999998</v>
      </c>
      <c r="P10" s="456">
        <f t="shared" si="6"/>
        <v>11.99</v>
      </c>
      <c r="Q10" s="839">
        <f t="shared" si="7"/>
        <v>268.39999999999998</v>
      </c>
      <c r="R10" s="456">
        <f t="shared" si="8"/>
        <v>11.99</v>
      </c>
      <c r="S10" s="835">
        <f t="shared" si="9"/>
        <v>552.29999999999995</v>
      </c>
      <c r="T10" s="456">
        <f>ROUND(S10/S$26*100,2)+0.01</f>
        <v>12</v>
      </c>
    </row>
    <row r="11" spans="2:20" ht="18" customHeight="1">
      <c r="B11" s="176" t="s">
        <v>269</v>
      </c>
      <c r="C11" s="833">
        <v>191.3</v>
      </c>
      <c r="D11" s="456">
        <f t="shared" si="10"/>
        <v>10.24</v>
      </c>
      <c r="E11" s="834">
        <v>157.9</v>
      </c>
      <c r="F11" s="456">
        <f t="shared" si="0"/>
        <v>8.98</v>
      </c>
      <c r="G11" s="835">
        <f t="shared" si="1"/>
        <v>349.20000000000005</v>
      </c>
      <c r="H11" s="456">
        <f t="shared" si="2"/>
        <v>9.6300000000000008</v>
      </c>
      <c r="I11" s="834">
        <v>49.1</v>
      </c>
      <c r="J11" s="456">
        <f>ROUND(I11/I$26*100,2)+0.01</f>
        <v>9.85</v>
      </c>
      <c r="K11" s="836">
        <v>46.6</v>
      </c>
      <c r="L11" s="456">
        <f t="shared" si="3"/>
        <v>9.6999999999999993</v>
      </c>
      <c r="M11" s="837">
        <f t="shared" si="4"/>
        <v>95.7</v>
      </c>
      <c r="N11" s="456">
        <f t="shared" ref="N11:N25" si="11">ROUND(M11/M$26*100,2)</f>
        <v>9.77</v>
      </c>
      <c r="O11" s="838">
        <f t="shared" si="5"/>
        <v>240.4</v>
      </c>
      <c r="P11" s="456">
        <f t="shared" si="6"/>
        <v>10.16</v>
      </c>
      <c r="Q11" s="839">
        <f t="shared" si="7"/>
        <v>204.5</v>
      </c>
      <c r="R11" s="456">
        <f t="shared" si="8"/>
        <v>9.14</v>
      </c>
      <c r="S11" s="835">
        <f t="shared" si="9"/>
        <v>444.9</v>
      </c>
      <c r="T11" s="456">
        <f t="shared" ref="T11:T25" si="12">ROUND(S11/S$26*100,2)</f>
        <v>9.66</v>
      </c>
    </row>
    <row r="12" spans="2:20" ht="18" customHeight="1">
      <c r="B12" s="176" t="s">
        <v>270</v>
      </c>
      <c r="C12" s="833">
        <v>161</v>
      </c>
      <c r="D12" s="456">
        <f t="shared" si="10"/>
        <v>8.6199999999999992</v>
      </c>
      <c r="E12" s="834">
        <v>161.19999999999999</v>
      </c>
      <c r="F12" s="456">
        <f t="shared" si="0"/>
        <v>9.17</v>
      </c>
      <c r="G12" s="835">
        <f t="shared" si="1"/>
        <v>322.2</v>
      </c>
      <c r="H12" s="456">
        <f t="shared" si="2"/>
        <v>8.89</v>
      </c>
      <c r="I12" s="834">
        <v>45.9</v>
      </c>
      <c r="J12" s="456">
        <f t="shared" ref="J12:J25" si="13">ROUND(I12/I$26*100,2)</f>
        <v>9.19</v>
      </c>
      <c r="K12" s="836">
        <v>45.4</v>
      </c>
      <c r="L12" s="456">
        <f t="shared" si="3"/>
        <v>9.4499999999999993</v>
      </c>
      <c r="M12" s="837">
        <f t="shared" si="4"/>
        <v>91.3</v>
      </c>
      <c r="N12" s="456">
        <f t="shared" si="11"/>
        <v>9.32</v>
      </c>
      <c r="O12" s="838">
        <f t="shared" si="5"/>
        <v>206.9</v>
      </c>
      <c r="P12" s="456">
        <f t="shared" si="6"/>
        <v>8.74</v>
      </c>
      <c r="Q12" s="839">
        <f t="shared" si="7"/>
        <v>206.6</v>
      </c>
      <c r="R12" s="456">
        <f t="shared" si="8"/>
        <v>9.23</v>
      </c>
      <c r="S12" s="835">
        <f t="shared" si="9"/>
        <v>413.5</v>
      </c>
      <c r="T12" s="456">
        <f t="shared" si="12"/>
        <v>8.98</v>
      </c>
    </row>
    <row r="13" spans="2:20" ht="18" customHeight="1">
      <c r="B13" s="176" t="s">
        <v>271</v>
      </c>
      <c r="C13" s="833">
        <v>158.19999999999999</v>
      </c>
      <c r="D13" s="456">
        <f t="shared" si="10"/>
        <v>8.4700000000000006</v>
      </c>
      <c r="E13" s="834">
        <v>166.9</v>
      </c>
      <c r="F13" s="456">
        <f t="shared" si="0"/>
        <v>9.5</v>
      </c>
      <c r="G13" s="835">
        <f t="shared" si="1"/>
        <v>325.10000000000002</v>
      </c>
      <c r="H13" s="456">
        <f t="shared" si="2"/>
        <v>8.9700000000000006</v>
      </c>
      <c r="I13" s="834">
        <v>44</v>
      </c>
      <c r="J13" s="456">
        <f t="shared" si="13"/>
        <v>8.81</v>
      </c>
      <c r="K13" s="834">
        <v>45</v>
      </c>
      <c r="L13" s="456">
        <f t="shared" si="3"/>
        <v>9.3699999999999992</v>
      </c>
      <c r="M13" s="837">
        <f t="shared" si="4"/>
        <v>89</v>
      </c>
      <c r="N13" s="456">
        <f t="shared" si="11"/>
        <v>9.09</v>
      </c>
      <c r="O13" s="838">
        <f t="shared" si="5"/>
        <v>202.2</v>
      </c>
      <c r="P13" s="456">
        <f t="shared" si="6"/>
        <v>8.5399999999999991</v>
      </c>
      <c r="Q13" s="839">
        <f t="shared" si="7"/>
        <v>211.9</v>
      </c>
      <c r="R13" s="456">
        <f t="shared" si="8"/>
        <v>9.4700000000000006</v>
      </c>
      <c r="S13" s="835">
        <f t="shared" si="9"/>
        <v>414.1</v>
      </c>
      <c r="T13" s="456">
        <f t="shared" si="12"/>
        <v>8.99</v>
      </c>
    </row>
    <row r="14" spans="2:20" ht="18" customHeight="1">
      <c r="B14" s="176" t="s">
        <v>272</v>
      </c>
      <c r="C14" s="833">
        <v>146.6</v>
      </c>
      <c r="D14" s="456">
        <f t="shared" si="10"/>
        <v>7.85</v>
      </c>
      <c r="E14" s="834">
        <v>134.69999999999999</v>
      </c>
      <c r="F14" s="456">
        <f t="shared" si="0"/>
        <v>7.66</v>
      </c>
      <c r="G14" s="835">
        <f t="shared" si="1"/>
        <v>281.29999999999995</v>
      </c>
      <c r="H14" s="456">
        <f t="shared" si="2"/>
        <v>7.76</v>
      </c>
      <c r="I14" s="834">
        <v>40.6</v>
      </c>
      <c r="J14" s="456">
        <f t="shared" si="13"/>
        <v>8.1300000000000008</v>
      </c>
      <c r="K14" s="834">
        <v>40</v>
      </c>
      <c r="L14" s="456">
        <f t="shared" si="3"/>
        <v>8.33</v>
      </c>
      <c r="M14" s="837">
        <f t="shared" si="4"/>
        <v>80.599999999999994</v>
      </c>
      <c r="N14" s="456">
        <f t="shared" si="11"/>
        <v>8.23</v>
      </c>
      <c r="O14" s="838">
        <f t="shared" si="5"/>
        <v>187.2</v>
      </c>
      <c r="P14" s="456">
        <f t="shared" si="6"/>
        <v>7.91</v>
      </c>
      <c r="Q14" s="839">
        <f t="shared" si="7"/>
        <v>174.7</v>
      </c>
      <c r="R14" s="456">
        <f t="shared" si="8"/>
        <v>7.81</v>
      </c>
      <c r="S14" s="835">
        <f t="shared" si="9"/>
        <v>361.9</v>
      </c>
      <c r="T14" s="456">
        <f t="shared" si="12"/>
        <v>7.86</v>
      </c>
    </row>
    <row r="15" spans="2:20" ht="18" customHeight="1">
      <c r="B15" s="176" t="s">
        <v>273</v>
      </c>
      <c r="C15" s="833">
        <v>141.80000000000001</v>
      </c>
      <c r="D15" s="456">
        <f t="shared" si="10"/>
        <v>7.59</v>
      </c>
      <c r="E15" s="834">
        <v>124.6</v>
      </c>
      <c r="F15" s="456">
        <f t="shared" si="0"/>
        <v>7.09</v>
      </c>
      <c r="G15" s="835">
        <f t="shared" si="1"/>
        <v>266.39999999999998</v>
      </c>
      <c r="H15" s="456">
        <f t="shared" si="2"/>
        <v>7.35</v>
      </c>
      <c r="I15" s="834">
        <v>40.700000000000003</v>
      </c>
      <c r="J15" s="456">
        <f t="shared" si="13"/>
        <v>8.15</v>
      </c>
      <c r="K15" s="836">
        <v>40.4</v>
      </c>
      <c r="L15" s="456">
        <f>ROUND(K15/K$26*100,2)+0.01</f>
        <v>8.42</v>
      </c>
      <c r="M15" s="837">
        <f t="shared" si="4"/>
        <v>81.099999999999994</v>
      </c>
      <c r="N15" s="456">
        <f t="shared" si="11"/>
        <v>8.2799999999999994</v>
      </c>
      <c r="O15" s="838">
        <f t="shared" si="5"/>
        <v>182.5</v>
      </c>
      <c r="P15" s="456">
        <f t="shared" si="6"/>
        <v>7.71</v>
      </c>
      <c r="Q15" s="839">
        <f t="shared" si="7"/>
        <v>165</v>
      </c>
      <c r="R15" s="456">
        <f t="shared" si="8"/>
        <v>7.37</v>
      </c>
      <c r="S15" s="835">
        <f t="shared" si="9"/>
        <v>347.5</v>
      </c>
      <c r="T15" s="456">
        <f t="shared" si="12"/>
        <v>7.55</v>
      </c>
    </row>
    <row r="16" spans="2:20" ht="18" customHeight="1">
      <c r="B16" s="176" t="s">
        <v>274</v>
      </c>
      <c r="C16" s="833">
        <v>111.4</v>
      </c>
      <c r="D16" s="456">
        <f>ROUND(C16/C$26*100,2)+0.01</f>
        <v>5.97</v>
      </c>
      <c r="E16" s="834">
        <v>83.9</v>
      </c>
      <c r="F16" s="456">
        <f t="shared" si="0"/>
        <v>4.7699999999999996</v>
      </c>
      <c r="G16" s="835">
        <f t="shared" si="1"/>
        <v>195.3</v>
      </c>
      <c r="H16" s="456">
        <f t="shared" si="2"/>
        <v>5.39</v>
      </c>
      <c r="I16" s="834">
        <v>35.4</v>
      </c>
      <c r="J16" s="456">
        <f t="shared" si="13"/>
        <v>7.09</v>
      </c>
      <c r="K16" s="836">
        <v>29.2</v>
      </c>
      <c r="L16" s="456">
        <f t="shared" ref="L16:L25" si="14">ROUND(K16/K$26*100,2)</f>
        <v>6.08</v>
      </c>
      <c r="M16" s="837">
        <f t="shared" si="4"/>
        <v>64.599999999999994</v>
      </c>
      <c r="N16" s="456">
        <f t="shared" si="11"/>
        <v>6.6</v>
      </c>
      <c r="O16" s="838">
        <f t="shared" si="5"/>
        <v>146.80000000000001</v>
      </c>
      <c r="P16" s="456">
        <f t="shared" si="6"/>
        <v>6.2</v>
      </c>
      <c r="Q16" s="839">
        <f t="shared" si="7"/>
        <v>113.10000000000001</v>
      </c>
      <c r="R16" s="456">
        <f t="shared" si="8"/>
        <v>5.05</v>
      </c>
      <c r="S16" s="835">
        <f t="shared" si="9"/>
        <v>259.90000000000003</v>
      </c>
      <c r="T16" s="456">
        <f t="shared" si="12"/>
        <v>5.64</v>
      </c>
    </row>
    <row r="17" spans="2:20" ht="18" customHeight="1">
      <c r="B17" s="176" t="s">
        <v>275</v>
      </c>
      <c r="C17" s="631">
        <v>87.9</v>
      </c>
      <c r="D17" s="456">
        <f t="shared" ref="D17:D25" si="15">ROUND(C17/C$26*100,2)</f>
        <v>4.71</v>
      </c>
      <c r="E17" s="840">
        <v>72.599999999999994</v>
      </c>
      <c r="F17" s="456">
        <f t="shared" si="0"/>
        <v>4.13</v>
      </c>
      <c r="G17" s="835">
        <f t="shared" si="1"/>
        <v>160.5</v>
      </c>
      <c r="H17" s="456">
        <f t="shared" si="2"/>
        <v>4.43</v>
      </c>
      <c r="I17" s="840">
        <v>30.6</v>
      </c>
      <c r="J17" s="456">
        <f t="shared" si="13"/>
        <v>6.13</v>
      </c>
      <c r="K17" s="840">
        <v>25.5</v>
      </c>
      <c r="L17" s="456">
        <f t="shared" si="14"/>
        <v>5.31</v>
      </c>
      <c r="M17" s="837">
        <f t="shared" si="4"/>
        <v>56.1</v>
      </c>
      <c r="N17" s="456">
        <f t="shared" si="11"/>
        <v>5.73</v>
      </c>
      <c r="O17" s="838">
        <f t="shared" si="5"/>
        <v>118.5</v>
      </c>
      <c r="P17" s="456">
        <f t="shared" si="6"/>
        <v>5.01</v>
      </c>
      <c r="Q17" s="839">
        <f t="shared" si="7"/>
        <v>98.1</v>
      </c>
      <c r="R17" s="456">
        <f t="shared" si="8"/>
        <v>4.38</v>
      </c>
      <c r="S17" s="835">
        <f t="shared" si="9"/>
        <v>216.6</v>
      </c>
      <c r="T17" s="456">
        <f t="shared" si="12"/>
        <v>4.7</v>
      </c>
    </row>
    <row r="18" spans="2:20" ht="18" customHeight="1">
      <c r="B18" s="176" t="s">
        <v>276</v>
      </c>
      <c r="C18" s="631">
        <v>62</v>
      </c>
      <c r="D18" s="456">
        <f t="shared" si="15"/>
        <v>3.32</v>
      </c>
      <c r="E18" s="840">
        <v>55.5</v>
      </c>
      <c r="F18" s="456">
        <f t="shared" si="0"/>
        <v>3.16</v>
      </c>
      <c r="G18" s="835">
        <f t="shared" si="1"/>
        <v>117.5</v>
      </c>
      <c r="H18" s="456">
        <f t="shared" si="2"/>
        <v>3.24</v>
      </c>
      <c r="I18" s="840">
        <v>22.4</v>
      </c>
      <c r="J18" s="456">
        <f t="shared" si="13"/>
        <v>4.49</v>
      </c>
      <c r="K18" s="840">
        <v>18.5</v>
      </c>
      <c r="L18" s="456">
        <f t="shared" si="14"/>
        <v>3.85</v>
      </c>
      <c r="M18" s="837">
        <f t="shared" si="4"/>
        <v>40.9</v>
      </c>
      <c r="N18" s="456">
        <f t="shared" si="11"/>
        <v>4.18</v>
      </c>
      <c r="O18" s="838">
        <f t="shared" si="5"/>
        <v>84.4</v>
      </c>
      <c r="P18" s="456">
        <f t="shared" si="6"/>
        <v>3.57</v>
      </c>
      <c r="Q18" s="839">
        <f t="shared" si="7"/>
        <v>74</v>
      </c>
      <c r="R18" s="456">
        <f t="shared" si="8"/>
        <v>3.31</v>
      </c>
      <c r="S18" s="835">
        <f t="shared" si="9"/>
        <v>158.4</v>
      </c>
      <c r="T18" s="456">
        <f t="shared" si="12"/>
        <v>3.44</v>
      </c>
    </row>
    <row r="19" spans="2:20" ht="18" customHeight="1">
      <c r="B19" s="176" t="s">
        <v>277</v>
      </c>
      <c r="C19" s="631">
        <v>45.8</v>
      </c>
      <c r="D19" s="456">
        <f t="shared" si="15"/>
        <v>2.4500000000000002</v>
      </c>
      <c r="E19" s="840">
        <v>47.1</v>
      </c>
      <c r="F19" s="456">
        <f t="shared" si="0"/>
        <v>2.68</v>
      </c>
      <c r="G19" s="835">
        <f t="shared" si="1"/>
        <v>92.9</v>
      </c>
      <c r="H19" s="456">
        <f t="shared" si="2"/>
        <v>2.56</v>
      </c>
      <c r="I19" s="840">
        <v>17</v>
      </c>
      <c r="J19" s="456">
        <f t="shared" si="13"/>
        <v>3.41</v>
      </c>
      <c r="K19" s="840">
        <v>15</v>
      </c>
      <c r="L19" s="456">
        <f t="shared" si="14"/>
        <v>3.12</v>
      </c>
      <c r="M19" s="837">
        <f t="shared" si="4"/>
        <v>32</v>
      </c>
      <c r="N19" s="456">
        <f t="shared" si="11"/>
        <v>3.27</v>
      </c>
      <c r="O19" s="838">
        <f t="shared" si="5"/>
        <v>62.8</v>
      </c>
      <c r="P19" s="456">
        <f t="shared" si="6"/>
        <v>2.65</v>
      </c>
      <c r="Q19" s="839">
        <f t="shared" si="7"/>
        <v>62.1</v>
      </c>
      <c r="R19" s="456">
        <f t="shared" si="8"/>
        <v>2.77</v>
      </c>
      <c r="S19" s="835">
        <f t="shared" si="9"/>
        <v>124.9</v>
      </c>
      <c r="T19" s="456">
        <f t="shared" si="12"/>
        <v>2.71</v>
      </c>
    </row>
    <row r="20" spans="2:20" ht="18" customHeight="1">
      <c r="B20" s="176" t="s">
        <v>278</v>
      </c>
      <c r="C20" s="631">
        <v>46.5</v>
      </c>
      <c r="D20" s="456">
        <f t="shared" si="15"/>
        <v>2.4900000000000002</v>
      </c>
      <c r="E20" s="840">
        <v>50.6</v>
      </c>
      <c r="F20" s="456">
        <f t="shared" si="0"/>
        <v>2.88</v>
      </c>
      <c r="G20" s="835">
        <f t="shared" si="1"/>
        <v>97.1</v>
      </c>
      <c r="H20" s="456">
        <f t="shared" si="2"/>
        <v>2.68</v>
      </c>
      <c r="I20" s="840">
        <v>15</v>
      </c>
      <c r="J20" s="456">
        <f t="shared" si="13"/>
        <v>3</v>
      </c>
      <c r="K20" s="840">
        <v>16</v>
      </c>
      <c r="L20" s="456">
        <f t="shared" si="14"/>
        <v>3.33</v>
      </c>
      <c r="M20" s="837">
        <f t="shared" si="4"/>
        <v>31</v>
      </c>
      <c r="N20" s="456">
        <f t="shared" si="11"/>
        <v>3.16</v>
      </c>
      <c r="O20" s="838">
        <f t="shared" si="5"/>
        <v>61.5</v>
      </c>
      <c r="P20" s="456">
        <f t="shared" si="6"/>
        <v>2.6</v>
      </c>
      <c r="Q20" s="839">
        <f t="shared" si="7"/>
        <v>66.599999999999994</v>
      </c>
      <c r="R20" s="456">
        <f t="shared" si="8"/>
        <v>2.98</v>
      </c>
      <c r="S20" s="835">
        <f t="shared" si="9"/>
        <v>128.1</v>
      </c>
      <c r="T20" s="456">
        <f t="shared" si="12"/>
        <v>2.78</v>
      </c>
    </row>
    <row r="21" spans="2:20" ht="18" customHeight="1">
      <c r="B21" s="176" t="s">
        <v>279</v>
      </c>
      <c r="C21" s="631">
        <v>32.1</v>
      </c>
      <c r="D21" s="456">
        <f t="shared" si="15"/>
        <v>1.72</v>
      </c>
      <c r="E21" s="840">
        <v>37.4</v>
      </c>
      <c r="F21" s="456">
        <f t="shared" si="0"/>
        <v>2.13</v>
      </c>
      <c r="G21" s="835">
        <f t="shared" si="1"/>
        <v>69.5</v>
      </c>
      <c r="H21" s="456">
        <f t="shared" si="2"/>
        <v>1.92</v>
      </c>
      <c r="I21" s="840">
        <v>11.6</v>
      </c>
      <c r="J21" s="456">
        <f t="shared" si="13"/>
        <v>2.3199999999999998</v>
      </c>
      <c r="K21" s="840">
        <v>13.2</v>
      </c>
      <c r="L21" s="456">
        <f t="shared" si="14"/>
        <v>2.75</v>
      </c>
      <c r="M21" s="837">
        <f t="shared" si="4"/>
        <v>24.799999999999997</v>
      </c>
      <c r="N21" s="456">
        <f t="shared" si="11"/>
        <v>2.5299999999999998</v>
      </c>
      <c r="O21" s="838">
        <f t="shared" si="5"/>
        <v>43.7</v>
      </c>
      <c r="P21" s="456">
        <f t="shared" si="6"/>
        <v>1.85</v>
      </c>
      <c r="Q21" s="839">
        <f t="shared" si="7"/>
        <v>50.599999999999994</v>
      </c>
      <c r="R21" s="456">
        <f t="shared" si="8"/>
        <v>2.2599999999999998</v>
      </c>
      <c r="S21" s="835">
        <f t="shared" si="9"/>
        <v>94.3</v>
      </c>
      <c r="T21" s="456">
        <f t="shared" si="12"/>
        <v>2.0499999999999998</v>
      </c>
    </row>
    <row r="22" spans="2:20" ht="18" customHeight="1">
      <c r="B22" s="176" t="s">
        <v>281</v>
      </c>
      <c r="C22" s="631">
        <v>26</v>
      </c>
      <c r="D22" s="456">
        <f t="shared" si="15"/>
        <v>1.39</v>
      </c>
      <c r="E22" s="840">
        <v>28.8</v>
      </c>
      <c r="F22" s="456">
        <f t="shared" si="0"/>
        <v>1.64</v>
      </c>
      <c r="G22" s="835">
        <f t="shared" si="1"/>
        <v>54.8</v>
      </c>
      <c r="H22" s="456">
        <f t="shared" si="2"/>
        <v>1.51</v>
      </c>
      <c r="I22" s="840">
        <v>9</v>
      </c>
      <c r="J22" s="456">
        <f t="shared" si="13"/>
        <v>1.8</v>
      </c>
      <c r="K22" s="840">
        <v>9.9</v>
      </c>
      <c r="L22" s="456">
        <f t="shared" si="14"/>
        <v>2.06</v>
      </c>
      <c r="M22" s="837">
        <f t="shared" si="4"/>
        <v>18.899999999999999</v>
      </c>
      <c r="N22" s="456">
        <f t="shared" si="11"/>
        <v>1.93</v>
      </c>
      <c r="O22" s="839">
        <f t="shared" si="5"/>
        <v>35</v>
      </c>
      <c r="P22" s="456">
        <f t="shared" si="6"/>
        <v>1.48</v>
      </c>
      <c r="Q22" s="839">
        <f t="shared" si="7"/>
        <v>38.700000000000003</v>
      </c>
      <c r="R22" s="456">
        <f t="shared" si="8"/>
        <v>1.73</v>
      </c>
      <c r="S22" s="835">
        <f t="shared" si="9"/>
        <v>73.7</v>
      </c>
      <c r="T22" s="456">
        <f t="shared" si="12"/>
        <v>1.6</v>
      </c>
    </row>
    <row r="23" spans="2:20" ht="18" customHeight="1">
      <c r="B23" s="176" t="s">
        <v>282</v>
      </c>
      <c r="C23" s="631">
        <v>12.7</v>
      </c>
      <c r="D23" s="456">
        <f t="shared" si="15"/>
        <v>0.68</v>
      </c>
      <c r="E23" s="840">
        <v>14</v>
      </c>
      <c r="F23" s="456">
        <f t="shared" si="0"/>
        <v>0.8</v>
      </c>
      <c r="G23" s="835">
        <f t="shared" si="1"/>
        <v>26.7</v>
      </c>
      <c r="H23" s="456">
        <f>ROUND(G23/G$26*100,2)-0.01</f>
        <v>0.73</v>
      </c>
      <c r="I23" s="840">
        <v>4.7</v>
      </c>
      <c r="J23" s="456">
        <f t="shared" si="13"/>
        <v>0.94</v>
      </c>
      <c r="K23" s="840">
        <v>5.3</v>
      </c>
      <c r="L23" s="456">
        <f t="shared" si="14"/>
        <v>1.1000000000000001</v>
      </c>
      <c r="M23" s="837">
        <f t="shared" si="4"/>
        <v>10</v>
      </c>
      <c r="N23" s="456">
        <f t="shared" si="11"/>
        <v>1.02</v>
      </c>
      <c r="O23" s="838">
        <f t="shared" si="5"/>
        <v>17.399999999999999</v>
      </c>
      <c r="P23" s="456">
        <f t="shared" si="6"/>
        <v>0.74</v>
      </c>
      <c r="Q23" s="839">
        <f t="shared" si="7"/>
        <v>19.3</v>
      </c>
      <c r="R23" s="456">
        <f t="shared" si="8"/>
        <v>0.86</v>
      </c>
      <c r="S23" s="835">
        <f t="shared" si="9"/>
        <v>36.700000000000003</v>
      </c>
      <c r="T23" s="456">
        <f t="shared" si="12"/>
        <v>0.8</v>
      </c>
    </row>
    <row r="24" spans="2:20" ht="18" customHeight="1">
      <c r="B24" s="176" t="s">
        <v>283</v>
      </c>
      <c r="C24" s="631">
        <v>16.3</v>
      </c>
      <c r="D24" s="456">
        <f t="shared" si="15"/>
        <v>0.87</v>
      </c>
      <c r="E24" s="840">
        <v>19.899999999999999</v>
      </c>
      <c r="F24" s="456">
        <f t="shared" si="0"/>
        <v>1.1299999999999999</v>
      </c>
      <c r="G24" s="835">
        <f t="shared" si="1"/>
        <v>36.200000000000003</v>
      </c>
      <c r="H24" s="456">
        <f>ROUND(G24/G$26*100,2)</f>
        <v>1</v>
      </c>
      <c r="I24" s="840">
        <v>5.3</v>
      </c>
      <c r="J24" s="456">
        <f t="shared" si="13"/>
        <v>1.06</v>
      </c>
      <c r="K24" s="840">
        <v>7.3</v>
      </c>
      <c r="L24" s="456">
        <f t="shared" si="14"/>
        <v>1.52</v>
      </c>
      <c r="M24" s="837">
        <f t="shared" si="4"/>
        <v>12.6</v>
      </c>
      <c r="N24" s="456">
        <f t="shared" si="11"/>
        <v>1.29</v>
      </c>
      <c r="O24" s="838">
        <f t="shared" si="5"/>
        <v>21.6</v>
      </c>
      <c r="P24" s="456">
        <f t="shared" si="6"/>
        <v>0.91</v>
      </c>
      <c r="Q24" s="839">
        <f t="shared" si="7"/>
        <v>27.2</v>
      </c>
      <c r="R24" s="456">
        <f t="shared" si="8"/>
        <v>1.22</v>
      </c>
      <c r="S24" s="835">
        <f t="shared" si="9"/>
        <v>48.8</v>
      </c>
      <c r="T24" s="456">
        <f t="shared" si="12"/>
        <v>1.06</v>
      </c>
    </row>
    <row r="25" spans="2:20" ht="27.75" customHeight="1">
      <c r="B25" s="404" t="s">
        <v>869</v>
      </c>
      <c r="C25" s="631">
        <v>2.2999999999999998</v>
      </c>
      <c r="D25" s="456">
        <f t="shared" si="15"/>
        <v>0.12</v>
      </c>
      <c r="E25" s="840">
        <v>1.8</v>
      </c>
      <c r="F25" s="456">
        <f t="shared" si="0"/>
        <v>0.1</v>
      </c>
      <c r="G25" s="835">
        <f t="shared" si="1"/>
        <v>4.0999999999999996</v>
      </c>
      <c r="H25" s="456">
        <f>ROUND(G25/G$26*100,2)</f>
        <v>0.11</v>
      </c>
      <c r="I25" s="840">
        <v>0.6</v>
      </c>
      <c r="J25" s="456">
        <f t="shared" si="13"/>
        <v>0.12</v>
      </c>
      <c r="K25" s="840">
        <v>0.5</v>
      </c>
      <c r="L25" s="456">
        <f t="shared" si="14"/>
        <v>0.1</v>
      </c>
      <c r="M25" s="837">
        <f t="shared" si="4"/>
        <v>1.1000000000000001</v>
      </c>
      <c r="N25" s="456">
        <f t="shared" si="11"/>
        <v>0.11</v>
      </c>
      <c r="O25" s="838">
        <f t="shared" si="5"/>
        <v>2.9</v>
      </c>
      <c r="P25" s="456">
        <f t="shared" si="6"/>
        <v>0.12</v>
      </c>
      <c r="Q25" s="839">
        <f t="shared" si="7"/>
        <v>2.2999999999999998</v>
      </c>
      <c r="R25" s="456">
        <f t="shared" si="8"/>
        <v>0.1</v>
      </c>
      <c r="S25" s="835">
        <f t="shared" si="9"/>
        <v>5.1999999999999993</v>
      </c>
      <c r="T25" s="458">
        <f t="shared" si="12"/>
        <v>0.11</v>
      </c>
    </row>
    <row r="26" spans="2:20" ht="24" customHeight="1">
      <c r="B26" s="841" t="s">
        <v>280</v>
      </c>
      <c r="C26" s="842">
        <f t="shared" ref="C26:T26" si="16">SUM(C8:C25)</f>
        <v>1867.6999999999998</v>
      </c>
      <c r="D26" s="843">
        <f t="shared" si="16"/>
        <v>100.00273</v>
      </c>
      <c r="E26" s="842">
        <f t="shared" si="16"/>
        <v>1757.6</v>
      </c>
      <c r="F26" s="843">
        <f t="shared" si="16"/>
        <v>99.999999999999972</v>
      </c>
      <c r="G26" s="842">
        <f t="shared" si="16"/>
        <v>3625.3</v>
      </c>
      <c r="H26" s="843">
        <f t="shared" si="16"/>
        <v>100.00000000000001</v>
      </c>
      <c r="I26" s="842">
        <f t="shared" si="16"/>
        <v>499.20000000000005</v>
      </c>
      <c r="J26" s="843">
        <f t="shared" si="16"/>
        <v>99.999999999999986</v>
      </c>
      <c r="K26" s="842">
        <f t="shared" si="16"/>
        <v>480.29999999999995</v>
      </c>
      <c r="L26" s="843">
        <f t="shared" si="16"/>
        <v>99.999999999999972</v>
      </c>
      <c r="M26" s="842">
        <f t="shared" si="16"/>
        <v>979.5</v>
      </c>
      <c r="N26" s="843">
        <f t="shared" si="16"/>
        <v>100</v>
      </c>
      <c r="O26" s="842">
        <f t="shared" si="16"/>
        <v>2366.9</v>
      </c>
      <c r="P26" s="843">
        <f t="shared" si="16"/>
        <v>99.999999999999986</v>
      </c>
      <c r="Q26" s="842">
        <f t="shared" si="16"/>
        <v>2237.8999999999996</v>
      </c>
      <c r="R26" s="843">
        <f t="shared" si="16"/>
        <v>100</v>
      </c>
      <c r="S26" s="842">
        <f t="shared" si="16"/>
        <v>4604.8</v>
      </c>
      <c r="T26" s="844">
        <f t="shared" si="16"/>
        <v>100</v>
      </c>
    </row>
    <row r="27" spans="2:20" ht="18" customHeight="1">
      <c r="B27" s="759"/>
      <c r="N27" s="1320" t="s">
        <v>363</v>
      </c>
      <c r="O27" s="1320"/>
      <c r="P27" s="1320"/>
      <c r="Q27" s="1320"/>
      <c r="R27" s="1320"/>
      <c r="S27" s="1320"/>
      <c r="T27" s="1320"/>
    </row>
  </sheetData>
  <mergeCells count="16">
    <mergeCell ref="N27:T27"/>
    <mergeCell ref="M5:N5"/>
    <mergeCell ref="O5:P5"/>
    <mergeCell ref="Q5:R5"/>
    <mergeCell ref="S5:T5"/>
    <mergeCell ref="B1:T1"/>
    <mergeCell ref="B2:T2"/>
    <mergeCell ref="B4:B6"/>
    <mergeCell ref="C4:H4"/>
    <mergeCell ref="I4:N4"/>
    <mergeCell ref="O4:T4"/>
    <mergeCell ref="C5:D5"/>
    <mergeCell ref="E5:F5"/>
    <mergeCell ref="G5:H5"/>
    <mergeCell ref="I5:J5"/>
    <mergeCell ref="K5:L5"/>
  </mergeCells>
  <phoneticPr fontId="0" type="noConversion"/>
  <pageMargins left="0.1" right="0.1" top="0.82" bottom="0.1" header="0.5" footer="0.5"/>
  <pageSetup paperSize="9" orientation="landscape" blackAndWhite="1" r:id="rId1"/>
  <headerFooter alignWithMargins="0"/>
</worksheet>
</file>

<file path=xl/worksheets/sheet16.xml><?xml version="1.0" encoding="utf-8"?>
<worksheet xmlns="http://schemas.openxmlformats.org/spreadsheetml/2006/main" xmlns:r="http://schemas.openxmlformats.org/officeDocument/2006/relationships">
  <dimension ref="B1:T27"/>
  <sheetViews>
    <sheetView workbookViewId="0">
      <selection activeCell="I31" sqref="I31"/>
    </sheetView>
  </sheetViews>
  <sheetFormatPr defaultRowHeight="12.75"/>
  <cols>
    <col min="1" max="1" width="5.7109375" style="405" customWidth="1"/>
    <col min="2" max="2" width="9.28515625" style="405" customWidth="1"/>
    <col min="3" max="3" width="8" style="405" customWidth="1"/>
    <col min="4" max="4" width="6.7109375" style="405" customWidth="1"/>
    <col min="5" max="5" width="7.85546875" style="405" customWidth="1"/>
    <col min="6" max="6" width="6.5703125" style="405" customWidth="1"/>
    <col min="7" max="7" width="7.85546875" style="405" customWidth="1"/>
    <col min="8" max="8" width="6.28515625" style="405" customWidth="1"/>
    <col min="9" max="9" width="7.5703125" style="405" customWidth="1"/>
    <col min="10" max="10" width="6.5703125" style="405" customWidth="1"/>
    <col min="11" max="11" width="7.140625" style="405" customWidth="1"/>
    <col min="12" max="12" width="6.42578125" style="405" customWidth="1"/>
    <col min="13" max="13" width="7.85546875" style="405" customWidth="1"/>
    <col min="14" max="14" width="6.42578125" style="405" customWidth="1"/>
    <col min="15" max="15" width="8" style="405" customWidth="1"/>
    <col min="16" max="16" width="6.28515625" style="405" customWidth="1"/>
    <col min="17" max="17" width="8" style="405" customWidth="1"/>
    <col min="18" max="18" width="6.28515625" style="405" customWidth="1"/>
    <col min="19" max="19" width="7.85546875" style="405" customWidth="1"/>
    <col min="20" max="20" width="6.7109375" style="405" customWidth="1"/>
    <col min="21" max="16384" width="9.140625" style="405"/>
  </cols>
  <sheetData>
    <row r="1" spans="2:20" ht="12.75" customHeight="1">
      <c r="B1" s="1250" t="s">
        <v>425</v>
      </c>
      <c r="C1" s="1250"/>
      <c r="D1" s="1250"/>
      <c r="E1" s="1250"/>
      <c r="F1" s="1250"/>
      <c r="G1" s="1250"/>
      <c r="H1" s="1250"/>
      <c r="I1" s="1250"/>
      <c r="J1" s="1250"/>
      <c r="K1" s="1250"/>
      <c r="L1" s="1250"/>
      <c r="M1" s="1250"/>
      <c r="N1" s="1250"/>
      <c r="O1" s="1250"/>
      <c r="P1" s="1250"/>
      <c r="Q1" s="1250"/>
      <c r="R1" s="1250"/>
      <c r="S1" s="1250"/>
      <c r="T1" s="1250"/>
    </row>
    <row r="2" spans="2:20" s="412" customFormat="1" ht="16.5">
      <c r="B2" s="1267" t="str">
        <f>CONCATENATE("Distribution of Population by sex and by age group in the district of ",District!$A$1,", 2011")</f>
        <v>Distribution of Population by sex and by age group in the district of Nadia, 2011</v>
      </c>
      <c r="C2" s="1267"/>
      <c r="D2" s="1267"/>
      <c r="E2" s="1267"/>
      <c r="F2" s="1267"/>
      <c r="G2" s="1267"/>
      <c r="H2" s="1267"/>
      <c r="I2" s="1267"/>
      <c r="J2" s="1267"/>
      <c r="K2" s="1267"/>
      <c r="L2" s="1267"/>
      <c r="M2" s="1267"/>
      <c r="N2" s="1267"/>
      <c r="O2" s="1267"/>
      <c r="P2" s="1267"/>
      <c r="Q2" s="1267"/>
      <c r="R2" s="1267"/>
      <c r="S2" s="1267"/>
      <c r="T2" s="1267"/>
    </row>
    <row r="3" spans="2:20">
      <c r="B3" s="412"/>
      <c r="C3" s="436"/>
      <c r="D3" s="436"/>
      <c r="E3" s="436"/>
      <c r="F3" s="436"/>
      <c r="G3" s="436"/>
      <c r="H3" s="436"/>
      <c r="I3" s="436"/>
      <c r="J3" s="436"/>
      <c r="K3" s="436"/>
      <c r="L3" s="436"/>
      <c r="M3" s="436"/>
      <c r="N3" s="436"/>
      <c r="O3" s="436"/>
      <c r="P3" s="436"/>
      <c r="Q3" s="436"/>
      <c r="R3" s="436"/>
      <c r="S3" s="436"/>
      <c r="T3" s="451" t="s">
        <v>864</v>
      </c>
    </row>
    <row r="4" spans="2:20">
      <c r="B4" s="1309" t="s">
        <v>868</v>
      </c>
      <c r="C4" s="1312" t="s">
        <v>1605</v>
      </c>
      <c r="D4" s="1312"/>
      <c r="E4" s="1312"/>
      <c r="F4" s="1312"/>
      <c r="G4" s="1312"/>
      <c r="H4" s="1313"/>
      <c r="I4" s="1314" t="s">
        <v>1606</v>
      </c>
      <c r="J4" s="1312"/>
      <c r="K4" s="1312"/>
      <c r="L4" s="1312"/>
      <c r="M4" s="1312"/>
      <c r="N4" s="1313"/>
      <c r="O4" s="1315" t="s">
        <v>302</v>
      </c>
      <c r="P4" s="1315"/>
      <c r="Q4" s="1315"/>
      <c r="R4" s="1315"/>
      <c r="S4" s="1315"/>
      <c r="T4" s="1316"/>
    </row>
    <row r="5" spans="2:20">
      <c r="B5" s="1310"/>
      <c r="C5" s="1317" t="s">
        <v>246</v>
      </c>
      <c r="D5" s="1318"/>
      <c r="E5" s="1319" t="s">
        <v>249</v>
      </c>
      <c r="F5" s="1318"/>
      <c r="G5" s="1312" t="s">
        <v>210</v>
      </c>
      <c r="H5" s="1313"/>
      <c r="I5" s="1319" t="s">
        <v>246</v>
      </c>
      <c r="J5" s="1318"/>
      <c r="K5" s="1319" t="s">
        <v>249</v>
      </c>
      <c r="L5" s="1318"/>
      <c r="M5" s="1312" t="s">
        <v>210</v>
      </c>
      <c r="N5" s="1313"/>
      <c r="O5" s="1319" t="s">
        <v>246</v>
      </c>
      <c r="P5" s="1318"/>
      <c r="Q5" s="1319" t="s">
        <v>249</v>
      </c>
      <c r="R5" s="1318"/>
      <c r="S5" s="1312" t="s">
        <v>210</v>
      </c>
      <c r="T5" s="1313"/>
    </row>
    <row r="6" spans="2:20">
      <c r="B6" s="1311"/>
      <c r="C6" s="420" t="s">
        <v>225</v>
      </c>
      <c r="D6" s="825" t="s">
        <v>252</v>
      </c>
      <c r="E6" s="826" t="s">
        <v>225</v>
      </c>
      <c r="F6" s="825" t="s">
        <v>252</v>
      </c>
      <c r="G6" s="420" t="s">
        <v>225</v>
      </c>
      <c r="H6" s="825" t="s">
        <v>252</v>
      </c>
      <c r="I6" s="826" t="s">
        <v>225</v>
      </c>
      <c r="J6" s="825" t="s">
        <v>252</v>
      </c>
      <c r="K6" s="826" t="s">
        <v>225</v>
      </c>
      <c r="L6" s="825" t="s">
        <v>252</v>
      </c>
      <c r="M6" s="420" t="s">
        <v>225</v>
      </c>
      <c r="N6" s="825" t="s">
        <v>252</v>
      </c>
      <c r="O6" s="826" t="s">
        <v>225</v>
      </c>
      <c r="P6" s="825" t="s">
        <v>252</v>
      </c>
      <c r="Q6" s="826" t="s">
        <v>225</v>
      </c>
      <c r="R6" s="825" t="s">
        <v>252</v>
      </c>
      <c r="S6" s="420" t="s">
        <v>225</v>
      </c>
      <c r="T6" s="825" t="s">
        <v>252</v>
      </c>
    </row>
    <row r="7" spans="2:20">
      <c r="B7" s="827" t="s">
        <v>163</v>
      </c>
      <c r="C7" s="828" t="s">
        <v>164</v>
      </c>
      <c r="D7" s="829" t="s">
        <v>165</v>
      </c>
      <c r="E7" s="739" t="s">
        <v>166</v>
      </c>
      <c r="F7" s="830" t="s">
        <v>167</v>
      </c>
      <c r="G7" s="828" t="s">
        <v>168</v>
      </c>
      <c r="H7" s="830" t="s">
        <v>169</v>
      </c>
      <c r="I7" s="739" t="s">
        <v>211</v>
      </c>
      <c r="J7" s="829" t="s">
        <v>212</v>
      </c>
      <c r="K7" s="739" t="s">
        <v>213</v>
      </c>
      <c r="L7" s="829" t="s">
        <v>214</v>
      </c>
      <c r="M7" s="828" t="s">
        <v>253</v>
      </c>
      <c r="N7" s="830" t="s">
        <v>254</v>
      </c>
      <c r="O7" s="831" t="s">
        <v>255</v>
      </c>
      <c r="P7" s="830" t="s">
        <v>256</v>
      </c>
      <c r="Q7" s="831" t="s">
        <v>257</v>
      </c>
      <c r="R7" s="830" t="s">
        <v>262</v>
      </c>
      <c r="S7" s="828" t="s">
        <v>264</v>
      </c>
      <c r="T7" s="829" t="s">
        <v>263</v>
      </c>
    </row>
    <row r="8" spans="2:20" ht="18" customHeight="1">
      <c r="B8" s="832" t="s">
        <v>265</v>
      </c>
      <c r="C8" s="692">
        <v>144097</v>
      </c>
      <c r="D8" s="456">
        <f>ROUND(C8/C$26*100,2)</f>
        <v>7.5</v>
      </c>
      <c r="E8" s="845">
        <v>138983</v>
      </c>
      <c r="F8" s="456">
        <f t="shared" ref="F8:F25" si="0">ROUND(E8/E$26*100,2)</f>
        <v>7.69</v>
      </c>
      <c r="G8" s="846">
        <f t="shared" ref="G8:G25" si="1">SUM(C8,E8)</f>
        <v>283080</v>
      </c>
      <c r="H8" s="456">
        <f t="shared" ref="H8:H22" si="2">ROUND(G8/G$26*100,2)</f>
        <v>7.59</v>
      </c>
      <c r="I8" s="845">
        <v>42144</v>
      </c>
      <c r="J8" s="456">
        <f>ROUND(I8/I$26*100,2)</f>
        <v>5.75</v>
      </c>
      <c r="K8" s="845">
        <v>40179</v>
      </c>
      <c r="L8" s="456">
        <f t="shared" ref="L8:L14" si="3">ROUND(K8/K$26*100,2)</f>
        <v>5.69</v>
      </c>
      <c r="M8" s="846">
        <f t="shared" ref="M8:M25" si="4">SUM(I8,K8)</f>
        <v>82323</v>
      </c>
      <c r="N8" s="456">
        <f>ROUND(M8/M$26*100,2)</f>
        <v>5.72</v>
      </c>
      <c r="O8" s="847">
        <f t="shared" ref="O8:O25" si="5">SUM(C8,I8)</f>
        <v>186241</v>
      </c>
      <c r="P8" s="456">
        <f t="shared" ref="P8:P25" si="6">ROUND(O8/O$26*100,2)</f>
        <v>7.02</v>
      </c>
      <c r="Q8" s="847">
        <f t="shared" ref="Q8:Q25" si="7">SUM(E8,K8)</f>
        <v>179162</v>
      </c>
      <c r="R8" s="456">
        <f t="shared" ref="R8:R25" si="8">ROUND(Q8/Q$26*100,2)</f>
        <v>7.13</v>
      </c>
      <c r="S8" s="846">
        <f t="shared" ref="S8:S25" si="9">SUM(O8,Q8)</f>
        <v>365403</v>
      </c>
      <c r="T8" s="456">
        <f>ROUND(S8/S$26*100,2)</f>
        <v>7.07</v>
      </c>
    </row>
    <row r="9" spans="2:20" ht="18" customHeight="1">
      <c r="B9" s="176" t="s">
        <v>266</v>
      </c>
      <c r="C9" s="692">
        <v>163788</v>
      </c>
      <c r="D9" s="456">
        <f t="shared" ref="D9:D25" si="10">ROUND(C9/C$26*100,2)</f>
        <v>8.5299999999999994</v>
      </c>
      <c r="E9" s="845">
        <v>158115</v>
      </c>
      <c r="F9" s="456">
        <f t="shared" si="0"/>
        <v>8.75</v>
      </c>
      <c r="G9" s="846">
        <f t="shared" si="1"/>
        <v>321903</v>
      </c>
      <c r="H9" s="456">
        <f t="shared" si="2"/>
        <v>8.6300000000000008</v>
      </c>
      <c r="I9" s="845">
        <v>49305</v>
      </c>
      <c r="J9" s="456">
        <f>ROUND(I9/I$26*100,2)</f>
        <v>6.73</v>
      </c>
      <c r="K9" s="845">
        <v>47375</v>
      </c>
      <c r="L9" s="456">
        <f t="shared" si="3"/>
        <v>6.71</v>
      </c>
      <c r="M9" s="846">
        <f t="shared" si="4"/>
        <v>96680</v>
      </c>
      <c r="N9" s="456">
        <f>ROUND(M9/M$26*100,2)</f>
        <v>6.72</v>
      </c>
      <c r="O9" s="847">
        <f t="shared" si="5"/>
        <v>213093</v>
      </c>
      <c r="P9" s="456">
        <f t="shared" si="6"/>
        <v>8.0299999999999994</v>
      </c>
      <c r="Q9" s="847">
        <f t="shared" si="7"/>
        <v>205490</v>
      </c>
      <c r="R9" s="456">
        <f t="shared" si="8"/>
        <v>8.17</v>
      </c>
      <c r="S9" s="846">
        <f t="shared" si="9"/>
        <v>418583</v>
      </c>
      <c r="T9" s="456">
        <f>ROUND(S9/S$26*100,2)</f>
        <v>8.1</v>
      </c>
    </row>
    <row r="10" spans="2:20" ht="18" customHeight="1">
      <c r="B10" s="176" t="s">
        <v>267</v>
      </c>
      <c r="C10" s="692">
        <v>193999</v>
      </c>
      <c r="D10" s="456">
        <f t="shared" si="10"/>
        <v>10.1</v>
      </c>
      <c r="E10" s="845">
        <v>185882</v>
      </c>
      <c r="F10" s="456">
        <f t="shared" si="0"/>
        <v>10.28</v>
      </c>
      <c r="G10" s="846">
        <f t="shared" si="1"/>
        <v>379881</v>
      </c>
      <c r="H10" s="456">
        <f t="shared" si="2"/>
        <v>10.19</v>
      </c>
      <c r="I10" s="845">
        <v>57589</v>
      </c>
      <c r="J10" s="456">
        <f>ROUND(I10/I$26*100,2)</f>
        <v>7.86</v>
      </c>
      <c r="K10" s="845">
        <v>54845</v>
      </c>
      <c r="L10" s="456">
        <f>ROUND(K10/K$26*100,2)-0.01</f>
        <v>7.76</v>
      </c>
      <c r="M10" s="846">
        <f t="shared" si="4"/>
        <v>112434</v>
      </c>
      <c r="N10" s="456">
        <f>ROUND(M10/M$26*100,2)</f>
        <v>7.81</v>
      </c>
      <c r="O10" s="847">
        <f t="shared" si="5"/>
        <v>251588</v>
      </c>
      <c r="P10" s="456">
        <f t="shared" si="6"/>
        <v>9.48</v>
      </c>
      <c r="Q10" s="847">
        <f t="shared" si="7"/>
        <v>240727</v>
      </c>
      <c r="R10" s="456">
        <f t="shared" si="8"/>
        <v>9.58</v>
      </c>
      <c r="S10" s="846">
        <f t="shared" si="9"/>
        <v>492315</v>
      </c>
      <c r="T10" s="456">
        <f>ROUND(S10/S$26*100,2)</f>
        <v>9.5299999999999994</v>
      </c>
    </row>
    <row r="11" spans="2:20" ht="18" customHeight="1">
      <c r="B11" s="176" t="s">
        <v>269</v>
      </c>
      <c r="C11" s="692">
        <v>201097</v>
      </c>
      <c r="D11" s="456">
        <f t="shared" si="10"/>
        <v>10.47</v>
      </c>
      <c r="E11" s="845">
        <v>180491</v>
      </c>
      <c r="F11" s="456">
        <f t="shared" si="0"/>
        <v>9.99</v>
      </c>
      <c r="G11" s="846">
        <f t="shared" si="1"/>
        <v>381588</v>
      </c>
      <c r="H11" s="456">
        <f t="shared" si="2"/>
        <v>10.23</v>
      </c>
      <c r="I11" s="845">
        <v>62906</v>
      </c>
      <c r="J11" s="456">
        <f>ROUND(I11/I$26*100,2)</f>
        <v>8.59</v>
      </c>
      <c r="K11" s="845">
        <v>61001</v>
      </c>
      <c r="L11" s="456">
        <f t="shared" si="3"/>
        <v>8.64</v>
      </c>
      <c r="M11" s="846">
        <f t="shared" si="4"/>
        <v>123907</v>
      </c>
      <c r="N11" s="456">
        <f t="shared" ref="N11:N25" si="11">ROUND(M11/M$26*100,2)</f>
        <v>8.61</v>
      </c>
      <c r="O11" s="847">
        <f t="shared" si="5"/>
        <v>264003</v>
      </c>
      <c r="P11" s="456">
        <f t="shared" si="6"/>
        <v>9.9499999999999993</v>
      </c>
      <c r="Q11" s="847">
        <f t="shared" si="7"/>
        <v>241492</v>
      </c>
      <c r="R11" s="456">
        <f t="shared" si="8"/>
        <v>9.61</v>
      </c>
      <c r="S11" s="846">
        <f t="shared" si="9"/>
        <v>505495</v>
      </c>
      <c r="T11" s="456">
        <f t="shared" ref="T11:T24" si="12">ROUND(S11/S$26*100,2)</f>
        <v>9.7799999999999994</v>
      </c>
    </row>
    <row r="12" spans="2:20" ht="18" customHeight="1">
      <c r="B12" s="176" t="s">
        <v>270</v>
      </c>
      <c r="C12" s="692">
        <v>190440</v>
      </c>
      <c r="D12" s="456">
        <f t="shared" si="10"/>
        <v>9.91</v>
      </c>
      <c r="E12" s="845">
        <v>180766</v>
      </c>
      <c r="F12" s="456">
        <f t="shared" si="0"/>
        <v>10</v>
      </c>
      <c r="G12" s="846">
        <f t="shared" si="1"/>
        <v>371206</v>
      </c>
      <c r="H12" s="456">
        <f t="shared" si="2"/>
        <v>9.9600000000000009</v>
      </c>
      <c r="I12" s="845">
        <v>66912</v>
      </c>
      <c r="J12" s="456">
        <f t="shared" ref="J12:J25" si="13">ROUND(I12/I$26*100,2)</f>
        <v>9.1300000000000008</v>
      </c>
      <c r="K12" s="845">
        <v>67664</v>
      </c>
      <c r="L12" s="456">
        <f t="shared" si="3"/>
        <v>9.58</v>
      </c>
      <c r="M12" s="846">
        <f t="shared" si="4"/>
        <v>134576</v>
      </c>
      <c r="N12" s="456">
        <f t="shared" si="11"/>
        <v>9.35</v>
      </c>
      <c r="O12" s="847">
        <f t="shared" si="5"/>
        <v>257352</v>
      </c>
      <c r="P12" s="456">
        <f t="shared" si="6"/>
        <v>9.6999999999999993</v>
      </c>
      <c r="Q12" s="847">
        <f t="shared" si="7"/>
        <v>248430</v>
      </c>
      <c r="R12" s="456">
        <f t="shared" si="8"/>
        <v>9.8800000000000008</v>
      </c>
      <c r="S12" s="846">
        <f t="shared" si="9"/>
        <v>505782</v>
      </c>
      <c r="T12" s="456">
        <f t="shared" si="12"/>
        <v>9.7899999999999991</v>
      </c>
    </row>
    <row r="13" spans="2:20" ht="18" customHeight="1">
      <c r="B13" s="176" t="s">
        <v>271</v>
      </c>
      <c r="C13" s="692">
        <v>167216</v>
      </c>
      <c r="D13" s="456">
        <f t="shared" si="10"/>
        <v>8.6999999999999993</v>
      </c>
      <c r="E13" s="845">
        <v>158960</v>
      </c>
      <c r="F13" s="456">
        <f t="shared" si="0"/>
        <v>8.7899999999999991</v>
      </c>
      <c r="G13" s="846">
        <f t="shared" si="1"/>
        <v>326176</v>
      </c>
      <c r="H13" s="456">
        <f t="shared" si="2"/>
        <v>8.75</v>
      </c>
      <c r="I13" s="845">
        <v>66775</v>
      </c>
      <c r="J13" s="456">
        <f t="shared" si="13"/>
        <v>9.11</v>
      </c>
      <c r="K13" s="845">
        <v>65299</v>
      </c>
      <c r="L13" s="456">
        <f t="shared" si="3"/>
        <v>9.25</v>
      </c>
      <c r="M13" s="846">
        <f t="shared" si="4"/>
        <v>132074</v>
      </c>
      <c r="N13" s="456">
        <f t="shared" si="11"/>
        <v>9.18</v>
      </c>
      <c r="O13" s="847">
        <f t="shared" si="5"/>
        <v>233991</v>
      </c>
      <c r="P13" s="456">
        <f t="shared" si="6"/>
        <v>8.82</v>
      </c>
      <c r="Q13" s="847">
        <f t="shared" si="7"/>
        <v>224259</v>
      </c>
      <c r="R13" s="456">
        <f t="shared" si="8"/>
        <v>8.92</v>
      </c>
      <c r="S13" s="846">
        <f t="shared" si="9"/>
        <v>458250</v>
      </c>
      <c r="T13" s="456">
        <f t="shared" si="12"/>
        <v>8.8699999999999992</v>
      </c>
    </row>
    <row r="14" spans="2:20" ht="18" customHeight="1">
      <c r="B14" s="176" t="s">
        <v>272</v>
      </c>
      <c r="C14" s="692">
        <v>135681</v>
      </c>
      <c r="D14" s="456">
        <f t="shared" si="10"/>
        <v>7.06</v>
      </c>
      <c r="E14" s="845">
        <v>130114</v>
      </c>
      <c r="F14" s="456">
        <f t="shared" si="0"/>
        <v>7.2</v>
      </c>
      <c r="G14" s="846">
        <f t="shared" si="1"/>
        <v>265795</v>
      </c>
      <c r="H14" s="456">
        <f t="shared" si="2"/>
        <v>7.13</v>
      </c>
      <c r="I14" s="845">
        <v>59904</v>
      </c>
      <c r="J14" s="456">
        <f t="shared" si="13"/>
        <v>8.18</v>
      </c>
      <c r="K14" s="845">
        <v>58200</v>
      </c>
      <c r="L14" s="456">
        <f t="shared" si="3"/>
        <v>8.24</v>
      </c>
      <c r="M14" s="846">
        <f t="shared" si="4"/>
        <v>118104</v>
      </c>
      <c r="N14" s="456">
        <f t="shared" si="11"/>
        <v>8.2100000000000009</v>
      </c>
      <c r="O14" s="847">
        <f t="shared" si="5"/>
        <v>195585</v>
      </c>
      <c r="P14" s="456">
        <f t="shared" si="6"/>
        <v>7.37</v>
      </c>
      <c r="Q14" s="847">
        <f t="shared" si="7"/>
        <v>188314</v>
      </c>
      <c r="R14" s="456">
        <f t="shared" si="8"/>
        <v>7.49</v>
      </c>
      <c r="S14" s="846">
        <f t="shared" si="9"/>
        <v>383899</v>
      </c>
      <c r="T14" s="456">
        <f t="shared" si="12"/>
        <v>7.43</v>
      </c>
    </row>
    <row r="15" spans="2:20" ht="18" customHeight="1">
      <c r="B15" s="176" t="s">
        <v>273</v>
      </c>
      <c r="C15" s="692">
        <v>145766</v>
      </c>
      <c r="D15" s="456">
        <f t="shared" si="10"/>
        <v>7.59</v>
      </c>
      <c r="E15" s="845">
        <v>143919</v>
      </c>
      <c r="F15" s="456">
        <f t="shared" si="0"/>
        <v>7.96</v>
      </c>
      <c r="G15" s="846">
        <f t="shared" si="1"/>
        <v>289685</v>
      </c>
      <c r="H15" s="456">
        <f t="shared" si="2"/>
        <v>7.77</v>
      </c>
      <c r="I15" s="845">
        <v>60944</v>
      </c>
      <c r="J15" s="456">
        <f t="shared" si="13"/>
        <v>8.32</v>
      </c>
      <c r="K15" s="845">
        <v>61164</v>
      </c>
      <c r="L15" s="456">
        <f>ROUND(K15/K$26*100,2)</f>
        <v>8.66</v>
      </c>
      <c r="M15" s="846">
        <f t="shared" si="4"/>
        <v>122108</v>
      </c>
      <c r="N15" s="456">
        <f t="shared" si="11"/>
        <v>8.49</v>
      </c>
      <c r="O15" s="847">
        <f t="shared" si="5"/>
        <v>206710</v>
      </c>
      <c r="P15" s="456">
        <f t="shared" si="6"/>
        <v>7.79</v>
      </c>
      <c r="Q15" s="847">
        <f t="shared" si="7"/>
        <v>205083</v>
      </c>
      <c r="R15" s="456">
        <f t="shared" si="8"/>
        <v>8.16</v>
      </c>
      <c r="S15" s="846">
        <f t="shared" si="9"/>
        <v>411793</v>
      </c>
      <c r="T15" s="456">
        <f t="shared" si="12"/>
        <v>7.97</v>
      </c>
    </row>
    <row r="16" spans="2:20" ht="18" customHeight="1">
      <c r="B16" s="176" t="s">
        <v>274</v>
      </c>
      <c r="C16" s="692">
        <v>138811</v>
      </c>
      <c r="D16" s="456">
        <f>ROUND(C16/C$26*100,2)-0.01</f>
        <v>7.2200000000000006</v>
      </c>
      <c r="E16" s="845">
        <v>125195</v>
      </c>
      <c r="F16" s="456">
        <f t="shared" si="0"/>
        <v>6.93</v>
      </c>
      <c r="G16" s="846">
        <f t="shared" si="1"/>
        <v>264006</v>
      </c>
      <c r="H16" s="456">
        <f t="shared" si="2"/>
        <v>7.08</v>
      </c>
      <c r="I16" s="845">
        <v>57098</v>
      </c>
      <c r="J16" s="456">
        <f t="shared" si="13"/>
        <v>7.79</v>
      </c>
      <c r="K16" s="845">
        <v>54306</v>
      </c>
      <c r="L16" s="456">
        <f t="shared" ref="L16:L25" si="14">ROUND(K16/K$26*100,2)</f>
        <v>7.69</v>
      </c>
      <c r="M16" s="846">
        <f t="shared" si="4"/>
        <v>111404</v>
      </c>
      <c r="N16" s="456">
        <f t="shared" si="11"/>
        <v>7.74</v>
      </c>
      <c r="O16" s="847">
        <f t="shared" si="5"/>
        <v>195909</v>
      </c>
      <c r="P16" s="456">
        <f t="shared" si="6"/>
        <v>7.38</v>
      </c>
      <c r="Q16" s="847">
        <f t="shared" si="7"/>
        <v>179501</v>
      </c>
      <c r="R16" s="456">
        <f t="shared" si="8"/>
        <v>7.14</v>
      </c>
      <c r="S16" s="846">
        <f t="shared" si="9"/>
        <v>375410</v>
      </c>
      <c r="T16" s="456">
        <f t="shared" si="12"/>
        <v>7.26</v>
      </c>
    </row>
    <row r="17" spans="2:20" ht="18" customHeight="1">
      <c r="B17" s="176" t="s">
        <v>275</v>
      </c>
      <c r="C17" s="691">
        <v>114910</v>
      </c>
      <c r="D17" s="456">
        <f t="shared" si="10"/>
        <v>5.98</v>
      </c>
      <c r="E17" s="441">
        <v>98657</v>
      </c>
      <c r="F17" s="456">
        <f t="shared" si="0"/>
        <v>5.46</v>
      </c>
      <c r="G17" s="846">
        <f t="shared" si="1"/>
        <v>213567</v>
      </c>
      <c r="H17" s="456">
        <f t="shared" si="2"/>
        <v>5.73</v>
      </c>
      <c r="I17" s="441">
        <v>51665</v>
      </c>
      <c r="J17" s="456">
        <f t="shared" si="13"/>
        <v>7.05</v>
      </c>
      <c r="K17" s="441">
        <v>48652</v>
      </c>
      <c r="L17" s="456">
        <f t="shared" si="14"/>
        <v>6.89</v>
      </c>
      <c r="M17" s="846">
        <f t="shared" si="4"/>
        <v>100317</v>
      </c>
      <c r="N17" s="456">
        <f t="shared" si="11"/>
        <v>6.97</v>
      </c>
      <c r="O17" s="847">
        <f t="shared" si="5"/>
        <v>166575</v>
      </c>
      <c r="P17" s="456">
        <f t="shared" si="6"/>
        <v>6.28</v>
      </c>
      <c r="Q17" s="847">
        <f t="shared" si="7"/>
        <v>147309</v>
      </c>
      <c r="R17" s="456">
        <f t="shared" si="8"/>
        <v>5.86</v>
      </c>
      <c r="S17" s="846">
        <f t="shared" si="9"/>
        <v>313884</v>
      </c>
      <c r="T17" s="456">
        <f t="shared" si="12"/>
        <v>6.07</v>
      </c>
    </row>
    <row r="18" spans="2:20" ht="18" customHeight="1">
      <c r="B18" s="176" t="s">
        <v>276</v>
      </c>
      <c r="C18" s="691">
        <v>97508</v>
      </c>
      <c r="D18" s="456">
        <f t="shared" si="10"/>
        <v>5.08</v>
      </c>
      <c r="E18" s="441">
        <v>76244</v>
      </c>
      <c r="F18" s="456">
        <f t="shared" si="0"/>
        <v>4.22</v>
      </c>
      <c r="G18" s="846">
        <f t="shared" si="1"/>
        <v>173752</v>
      </c>
      <c r="H18" s="456">
        <f t="shared" si="2"/>
        <v>4.66</v>
      </c>
      <c r="I18" s="441">
        <v>44978</v>
      </c>
      <c r="J18" s="456">
        <f t="shared" si="13"/>
        <v>6.14</v>
      </c>
      <c r="K18" s="441">
        <v>38665</v>
      </c>
      <c r="L18" s="456">
        <f t="shared" si="14"/>
        <v>5.47</v>
      </c>
      <c r="M18" s="846">
        <f t="shared" si="4"/>
        <v>83643</v>
      </c>
      <c r="N18" s="456">
        <f t="shared" si="11"/>
        <v>5.81</v>
      </c>
      <c r="O18" s="847">
        <f t="shared" si="5"/>
        <v>142486</v>
      </c>
      <c r="P18" s="456">
        <f t="shared" si="6"/>
        <v>5.37</v>
      </c>
      <c r="Q18" s="847">
        <f t="shared" si="7"/>
        <v>114909</v>
      </c>
      <c r="R18" s="456">
        <f t="shared" si="8"/>
        <v>4.57</v>
      </c>
      <c r="S18" s="846">
        <f t="shared" si="9"/>
        <v>257395</v>
      </c>
      <c r="T18" s="456">
        <f t="shared" si="12"/>
        <v>4.9800000000000004</v>
      </c>
    </row>
    <row r="19" spans="2:20" ht="18" customHeight="1">
      <c r="B19" s="176" t="s">
        <v>277</v>
      </c>
      <c r="C19" s="691">
        <v>68311</v>
      </c>
      <c r="D19" s="456">
        <f t="shared" si="10"/>
        <v>3.56</v>
      </c>
      <c r="E19" s="441">
        <v>57886</v>
      </c>
      <c r="F19" s="456">
        <f t="shared" si="0"/>
        <v>3.2</v>
      </c>
      <c r="G19" s="846">
        <f t="shared" si="1"/>
        <v>126197</v>
      </c>
      <c r="H19" s="456">
        <f>ROUND(G19/G$26*100,2)+0.01</f>
        <v>3.3899999999999997</v>
      </c>
      <c r="I19" s="441">
        <v>35397</v>
      </c>
      <c r="J19" s="456">
        <f t="shared" si="13"/>
        <v>4.83</v>
      </c>
      <c r="K19" s="441">
        <v>29466</v>
      </c>
      <c r="L19" s="456">
        <f t="shared" si="14"/>
        <v>4.17</v>
      </c>
      <c r="M19" s="846">
        <f t="shared" si="4"/>
        <v>64863</v>
      </c>
      <c r="N19" s="456">
        <f t="shared" si="11"/>
        <v>4.51</v>
      </c>
      <c r="O19" s="847">
        <f t="shared" si="5"/>
        <v>103708</v>
      </c>
      <c r="P19" s="456">
        <f t="shared" si="6"/>
        <v>3.91</v>
      </c>
      <c r="Q19" s="847">
        <f t="shared" si="7"/>
        <v>87352</v>
      </c>
      <c r="R19" s="456">
        <f t="shared" si="8"/>
        <v>3.47</v>
      </c>
      <c r="S19" s="846">
        <f t="shared" si="9"/>
        <v>191060</v>
      </c>
      <c r="T19" s="456">
        <f t="shared" si="12"/>
        <v>3.7</v>
      </c>
    </row>
    <row r="20" spans="2:20" ht="18" customHeight="1">
      <c r="B20" s="176" t="s">
        <v>278</v>
      </c>
      <c r="C20" s="691">
        <v>56194</v>
      </c>
      <c r="D20" s="456">
        <f>ROUND(C20/C$26*100,2)-0.01</f>
        <v>2.9200000000000004</v>
      </c>
      <c r="E20" s="441">
        <v>53930</v>
      </c>
      <c r="F20" s="456">
        <f t="shared" si="0"/>
        <v>2.98</v>
      </c>
      <c r="G20" s="846">
        <f t="shared" si="1"/>
        <v>110124</v>
      </c>
      <c r="H20" s="456">
        <f t="shared" si="2"/>
        <v>2.95</v>
      </c>
      <c r="I20" s="441">
        <v>27225</v>
      </c>
      <c r="J20" s="456">
        <f t="shared" si="13"/>
        <v>3.72</v>
      </c>
      <c r="K20" s="441">
        <v>24854</v>
      </c>
      <c r="L20" s="456">
        <f t="shared" si="14"/>
        <v>3.52</v>
      </c>
      <c r="M20" s="846">
        <f t="shared" si="4"/>
        <v>52079</v>
      </c>
      <c r="N20" s="456">
        <f t="shared" si="11"/>
        <v>3.62</v>
      </c>
      <c r="O20" s="847">
        <f t="shared" si="5"/>
        <v>83419</v>
      </c>
      <c r="P20" s="456">
        <f t="shared" si="6"/>
        <v>3.14</v>
      </c>
      <c r="Q20" s="847">
        <f t="shared" si="7"/>
        <v>78784</v>
      </c>
      <c r="R20" s="456">
        <f t="shared" si="8"/>
        <v>3.13</v>
      </c>
      <c r="S20" s="846">
        <f t="shared" si="9"/>
        <v>162203</v>
      </c>
      <c r="T20" s="456">
        <f t="shared" si="12"/>
        <v>3.14</v>
      </c>
    </row>
    <row r="21" spans="2:20" ht="18" customHeight="1">
      <c r="B21" s="176" t="s">
        <v>279</v>
      </c>
      <c r="C21" s="691">
        <v>38968</v>
      </c>
      <c r="D21" s="456">
        <f t="shared" si="10"/>
        <v>2.0299999999999998</v>
      </c>
      <c r="E21" s="441">
        <v>42484</v>
      </c>
      <c r="F21" s="456">
        <f t="shared" si="0"/>
        <v>2.35</v>
      </c>
      <c r="G21" s="846">
        <f t="shared" si="1"/>
        <v>81452</v>
      </c>
      <c r="H21" s="456">
        <f t="shared" si="2"/>
        <v>2.1800000000000002</v>
      </c>
      <c r="I21" s="441">
        <v>19393</v>
      </c>
      <c r="J21" s="456">
        <f t="shared" si="13"/>
        <v>2.65</v>
      </c>
      <c r="K21" s="441">
        <v>18984</v>
      </c>
      <c r="L21" s="456">
        <f t="shared" si="14"/>
        <v>2.69</v>
      </c>
      <c r="M21" s="846">
        <f t="shared" si="4"/>
        <v>38377</v>
      </c>
      <c r="N21" s="456">
        <f t="shared" si="11"/>
        <v>2.67</v>
      </c>
      <c r="O21" s="847">
        <f t="shared" si="5"/>
        <v>58361</v>
      </c>
      <c r="P21" s="456">
        <f t="shared" si="6"/>
        <v>2.2000000000000002</v>
      </c>
      <c r="Q21" s="847">
        <f t="shared" si="7"/>
        <v>61468</v>
      </c>
      <c r="R21" s="456">
        <f t="shared" si="8"/>
        <v>2.4500000000000002</v>
      </c>
      <c r="S21" s="846">
        <f t="shared" si="9"/>
        <v>119829</v>
      </c>
      <c r="T21" s="456">
        <f t="shared" si="12"/>
        <v>2.3199999999999998</v>
      </c>
    </row>
    <row r="22" spans="2:20" ht="18" customHeight="1">
      <c r="B22" s="176" t="s">
        <v>281</v>
      </c>
      <c r="C22" s="691">
        <v>29610</v>
      </c>
      <c r="D22" s="456">
        <f t="shared" si="10"/>
        <v>1.54</v>
      </c>
      <c r="E22" s="441">
        <v>33143</v>
      </c>
      <c r="F22" s="456">
        <f t="shared" si="0"/>
        <v>1.83</v>
      </c>
      <c r="G22" s="846">
        <f t="shared" si="1"/>
        <v>62753</v>
      </c>
      <c r="H22" s="456">
        <f t="shared" si="2"/>
        <v>1.68</v>
      </c>
      <c r="I22" s="441">
        <v>13741</v>
      </c>
      <c r="J22" s="456">
        <f>ROUND(I22/I$26*100,2)-0.01</f>
        <v>1.8699999999999999</v>
      </c>
      <c r="K22" s="441">
        <v>14766</v>
      </c>
      <c r="L22" s="456">
        <f t="shared" si="14"/>
        <v>2.09</v>
      </c>
      <c r="M22" s="846">
        <f t="shared" si="4"/>
        <v>28507</v>
      </c>
      <c r="N22" s="456">
        <f t="shared" si="11"/>
        <v>1.98</v>
      </c>
      <c r="O22" s="847">
        <f t="shared" si="5"/>
        <v>43351</v>
      </c>
      <c r="P22" s="456">
        <f t="shared" si="6"/>
        <v>1.63</v>
      </c>
      <c r="Q22" s="847">
        <f t="shared" si="7"/>
        <v>47909</v>
      </c>
      <c r="R22" s="456">
        <f t="shared" si="8"/>
        <v>1.91</v>
      </c>
      <c r="S22" s="846">
        <f t="shared" si="9"/>
        <v>91260</v>
      </c>
      <c r="T22" s="456">
        <f t="shared" si="12"/>
        <v>1.77</v>
      </c>
    </row>
    <row r="23" spans="2:20" ht="18" customHeight="1">
      <c r="B23" s="176" t="s">
        <v>282</v>
      </c>
      <c r="C23" s="691">
        <v>15609</v>
      </c>
      <c r="D23" s="456">
        <f t="shared" si="10"/>
        <v>0.81</v>
      </c>
      <c r="E23" s="441">
        <v>17950</v>
      </c>
      <c r="F23" s="456">
        <f t="shared" si="0"/>
        <v>0.99</v>
      </c>
      <c r="G23" s="846">
        <f t="shared" si="1"/>
        <v>33559</v>
      </c>
      <c r="H23" s="456">
        <f>ROUND(G23/G$26*100,2)</f>
        <v>0.9</v>
      </c>
      <c r="I23" s="441">
        <v>7899</v>
      </c>
      <c r="J23" s="456">
        <f t="shared" si="13"/>
        <v>1.08</v>
      </c>
      <c r="K23" s="441">
        <v>8809</v>
      </c>
      <c r="L23" s="456">
        <f t="shared" si="14"/>
        <v>1.25</v>
      </c>
      <c r="M23" s="846">
        <f t="shared" si="4"/>
        <v>16708</v>
      </c>
      <c r="N23" s="456">
        <f t="shared" si="11"/>
        <v>1.1599999999999999</v>
      </c>
      <c r="O23" s="847">
        <f t="shared" si="5"/>
        <v>23508</v>
      </c>
      <c r="P23" s="456">
        <f>ROUND(O23/O$26*100,2)-0.01</f>
        <v>0.88</v>
      </c>
      <c r="Q23" s="847">
        <f t="shared" si="7"/>
        <v>26759</v>
      </c>
      <c r="R23" s="456">
        <f t="shared" si="8"/>
        <v>1.06</v>
      </c>
      <c r="S23" s="846">
        <f t="shared" si="9"/>
        <v>50267</v>
      </c>
      <c r="T23" s="456">
        <f t="shared" si="12"/>
        <v>0.97</v>
      </c>
    </row>
    <row r="24" spans="2:20" ht="18" customHeight="1">
      <c r="B24" s="176" t="s">
        <v>283</v>
      </c>
      <c r="C24" s="691">
        <v>18190</v>
      </c>
      <c r="D24" s="456">
        <f t="shared" si="10"/>
        <v>0.95</v>
      </c>
      <c r="E24" s="441">
        <v>24242</v>
      </c>
      <c r="F24" s="456">
        <f t="shared" si="0"/>
        <v>1.34</v>
      </c>
      <c r="G24" s="846">
        <f t="shared" si="1"/>
        <v>42432</v>
      </c>
      <c r="H24" s="456">
        <f>ROUND(G24/G$26*100,2)</f>
        <v>1.1399999999999999</v>
      </c>
      <c r="I24" s="441">
        <v>8335</v>
      </c>
      <c r="J24" s="456">
        <f t="shared" si="13"/>
        <v>1.1399999999999999</v>
      </c>
      <c r="K24" s="441">
        <v>11636</v>
      </c>
      <c r="L24" s="456">
        <f t="shared" si="14"/>
        <v>1.65</v>
      </c>
      <c r="M24" s="846">
        <f t="shared" si="4"/>
        <v>19971</v>
      </c>
      <c r="N24" s="456">
        <f t="shared" si="11"/>
        <v>1.39</v>
      </c>
      <c r="O24" s="847">
        <f t="shared" si="5"/>
        <v>26525</v>
      </c>
      <c r="P24" s="456">
        <f t="shared" si="6"/>
        <v>1</v>
      </c>
      <c r="Q24" s="847">
        <f t="shared" si="7"/>
        <v>35878</v>
      </c>
      <c r="R24" s="456">
        <f t="shared" si="8"/>
        <v>1.43</v>
      </c>
      <c r="S24" s="846">
        <f t="shared" si="9"/>
        <v>62403</v>
      </c>
      <c r="T24" s="456">
        <f t="shared" si="12"/>
        <v>1.21</v>
      </c>
    </row>
    <row r="25" spans="2:20" ht="27.75" customHeight="1">
      <c r="B25" s="404" t="s">
        <v>869</v>
      </c>
      <c r="C25" s="691">
        <v>917</v>
      </c>
      <c r="D25" s="456">
        <f t="shared" si="10"/>
        <v>0.05</v>
      </c>
      <c r="E25" s="441">
        <v>654</v>
      </c>
      <c r="F25" s="456">
        <f t="shared" si="0"/>
        <v>0.04</v>
      </c>
      <c r="G25" s="846">
        <f t="shared" si="1"/>
        <v>1571</v>
      </c>
      <c r="H25" s="456">
        <f>ROUND(G25/G$26*100,2)</f>
        <v>0.04</v>
      </c>
      <c r="I25" s="441">
        <v>446</v>
      </c>
      <c r="J25" s="456">
        <f t="shared" si="13"/>
        <v>0.06</v>
      </c>
      <c r="K25" s="441">
        <v>352</v>
      </c>
      <c r="L25" s="456">
        <f t="shared" si="14"/>
        <v>0.05</v>
      </c>
      <c r="M25" s="846">
        <f t="shared" si="4"/>
        <v>798</v>
      </c>
      <c r="N25" s="456">
        <f t="shared" si="11"/>
        <v>0.06</v>
      </c>
      <c r="O25" s="847">
        <f t="shared" si="5"/>
        <v>1363</v>
      </c>
      <c r="P25" s="456">
        <f t="shared" si="6"/>
        <v>0.05</v>
      </c>
      <c r="Q25" s="847">
        <f t="shared" si="7"/>
        <v>1006</v>
      </c>
      <c r="R25" s="456">
        <f t="shared" si="8"/>
        <v>0.04</v>
      </c>
      <c r="S25" s="846">
        <f t="shared" si="9"/>
        <v>2369</v>
      </c>
      <c r="T25" s="458">
        <f>ROUND(S25/S$26*100,2)-0.01</f>
        <v>0.04</v>
      </c>
    </row>
    <row r="26" spans="2:20" ht="24" customHeight="1">
      <c r="B26" s="841" t="s">
        <v>280</v>
      </c>
      <c r="C26" s="848">
        <f t="shared" ref="C26:T26" si="15">SUM(C8:C25)</f>
        <v>1921112</v>
      </c>
      <c r="D26" s="843">
        <f t="shared" si="15"/>
        <v>100.00000000000003</v>
      </c>
      <c r="E26" s="848">
        <f t="shared" si="15"/>
        <v>1807615</v>
      </c>
      <c r="F26" s="843">
        <f t="shared" si="15"/>
        <v>100</v>
      </c>
      <c r="G26" s="848">
        <f t="shared" si="15"/>
        <v>3728727</v>
      </c>
      <c r="H26" s="843">
        <f t="shared" si="15"/>
        <v>100.00000000000003</v>
      </c>
      <c r="I26" s="848">
        <f t="shared" si="15"/>
        <v>732656</v>
      </c>
      <c r="J26" s="843">
        <f t="shared" si="15"/>
        <v>100.00000000000001</v>
      </c>
      <c r="K26" s="848">
        <f t="shared" si="15"/>
        <v>706217</v>
      </c>
      <c r="L26" s="843">
        <f t="shared" si="15"/>
        <v>100</v>
      </c>
      <c r="M26" s="848">
        <f t="shared" si="15"/>
        <v>1438873</v>
      </c>
      <c r="N26" s="843">
        <f t="shared" si="15"/>
        <v>100.00000000000001</v>
      </c>
      <c r="O26" s="848">
        <f t="shared" si="15"/>
        <v>2653768</v>
      </c>
      <c r="P26" s="843">
        <f t="shared" si="15"/>
        <v>100</v>
      </c>
      <c r="Q26" s="848">
        <f t="shared" si="15"/>
        <v>2513832</v>
      </c>
      <c r="R26" s="843">
        <f t="shared" si="15"/>
        <v>100.00000000000003</v>
      </c>
      <c r="S26" s="848">
        <f t="shared" si="15"/>
        <v>5167600</v>
      </c>
      <c r="T26" s="844">
        <f t="shared" si="15"/>
        <v>100</v>
      </c>
    </row>
    <row r="27" spans="2:20" ht="18" customHeight="1">
      <c r="B27" s="759"/>
      <c r="N27" s="1320" t="s">
        <v>194</v>
      </c>
      <c r="O27" s="1320"/>
      <c r="P27" s="1320"/>
      <c r="Q27" s="1320"/>
      <c r="R27" s="1320"/>
      <c r="S27" s="1320"/>
      <c r="T27" s="1320"/>
    </row>
  </sheetData>
  <mergeCells count="16">
    <mergeCell ref="B1:T1"/>
    <mergeCell ref="B2:T2"/>
    <mergeCell ref="B4:B6"/>
    <mergeCell ref="C4:H4"/>
    <mergeCell ref="I4:N4"/>
    <mergeCell ref="O4:T4"/>
    <mergeCell ref="C5:D5"/>
    <mergeCell ref="E5:F5"/>
    <mergeCell ref="G5:H5"/>
    <mergeCell ref="I5:J5"/>
    <mergeCell ref="K5:L5"/>
    <mergeCell ref="N27:T27"/>
    <mergeCell ref="M5:N5"/>
    <mergeCell ref="O5:P5"/>
    <mergeCell ref="Q5:R5"/>
    <mergeCell ref="S5:T5"/>
  </mergeCells>
  <phoneticPr fontId="0" type="noConversion"/>
  <pageMargins left="0.1" right="0.1" top="0.82" bottom="0.1" header="0.5" footer="0.5"/>
  <pageSetup paperSize="9" orientation="landscape" blackAndWhite="1" r:id="rId1"/>
  <headerFooter alignWithMargins="0"/>
</worksheet>
</file>

<file path=xl/worksheets/sheet17.xml><?xml version="1.0" encoding="utf-8"?>
<worksheet xmlns="http://schemas.openxmlformats.org/spreadsheetml/2006/main" xmlns:r="http://schemas.openxmlformats.org/officeDocument/2006/relationships">
  <sheetPr codeName="Sheet15"/>
  <dimension ref="A1:G94"/>
  <sheetViews>
    <sheetView workbookViewId="0">
      <selection activeCell="I31" sqref="I31"/>
    </sheetView>
  </sheetViews>
  <sheetFormatPr defaultRowHeight="12.75"/>
  <cols>
    <col min="1" max="1" width="21.42578125" style="410" customWidth="1"/>
    <col min="2" max="2" width="11.85546875" style="410" customWidth="1"/>
    <col min="3" max="7" width="10.7109375" style="410" customWidth="1"/>
    <col min="8" max="16384" width="9.140625" style="410"/>
  </cols>
  <sheetData>
    <row r="1" spans="1:7" ht="16.5" customHeight="1">
      <c r="A1" s="1261" t="s">
        <v>426</v>
      </c>
      <c r="B1" s="1261"/>
      <c r="C1" s="1261"/>
      <c r="D1" s="1261"/>
      <c r="E1" s="1261"/>
      <c r="F1" s="1261"/>
      <c r="G1" s="1261"/>
    </row>
    <row r="2" spans="1:7" s="610" customFormat="1" ht="33.75" customHeight="1">
      <c r="A2" s="1323" t="str">
        <f>CONCATENATE("Distribution of Population by sex in different towns 
in the district of ",District!$A$1,", 2011")</f>
        <v>Distribution of Population by sex in different towns 
in the district of Nadia, 2011</v>
      </c>
      <c r="B2" s="1323"/>
      <c r="C2" s="1323"/>
      <c r="D2" s="1323"/>
      <c r="E2" s="1323"/>
      <c r="F2" s="1323"/>
      <c r="G2" s="1323"/>
    </row>
    <row r="3" spans="1:7" ht="13.5" customHeight="1">
      <c r="A3" s="470"/>
      <c r="B3" s="470"/>
      <c r="C3" s="470"/>
      <c r="D3" s="470"/>
      <c r="E3" s="470"/>
      <c r="F3" s="470"/>
      <c r="G3" s="543" t="s">
        <v>864</v>
      </c>
    </row>
    <row r="4" spans="1:7" ht="30" customHeight="1">
      <c r="A4" s="1262" t="s">
        <v>900</v>
      </c>
      <c r="B4" s="1262" t="s">
        <v>1322</v>
      </c>
      <c r="C4" s="1253" t="s">
        <v>119</v>
      </c>
      <c r="D4" s="1251"/>
      <c r="E4" s="1252"/>
      <c r="F4" s="1321" t="s">
        <v>1651</v>
      </c>
      <c r="G4" s="1322"/>
    </row>
    <row r="5" spans="1:7" ht="17.25" customHeight="1">
      <c r="A5" s="1263"/>
      <c r="B5" s="1263"/>
      <c r="C5" s="204" t="s">
        <v>246</v>
      </c>
      <c r="D5" s="204" t="s">
        <v>249</v>
      </c>
      <c r="E5" s="46" t="s">
        <v>210</v>
      </c>
      <c r="F5" s="204" t="s">
        <v>284</v>
      </c>
      <c r="G5" s="46" t="s">
        <v>249</v>
      </c>
    </row>
    <row r="6" spans="1:7" ht="17.25" customHeight="1">
      <c r="A6" s="225" t="s">
        <v>163</v>
      </c>
      <c r="B6" s="224" t="s">
        <v>164</v>
      </c>
      <c r="C6" s="225" t="s">
        <v>165</v>
      </c>
      <c r="D6" s="225" t="s">
        <v>166</v>
      </c>
      <c r="E6" s="224" t="s">
        <v>167</v>
      </c>
      <c r="F6" s="225" t="s">
        <v>168</v>
      </c>
      <c r="G6" s="224" t="s">
        <v>169</v>
      </c>
    </row>
    <row r="7" spans="1:7" ht="27" customHeight="1">
      <c r="A7" s="849" t="s">
        <v>1194</v>
      </c>
      <c r="B7" s="850" t="s">
        <v>1319</v>
      </c>
      <c r="C7" s="137">
        <f>SUM(C8:C9)</f>
        <v>11557</v>
      </c>
      <c r="D7" s="137">
        <f>SUM(D8:D9)</f>
        <v>11104</v>
      </c>
      <c r="E7" s="137">
        <f>SUM(E8:E9)</f>
        <v>22661</v>
      </c>
      <c r="F7" s="150">
        <f t="shared" ref="F7:F14" si="0">ROUND(C7/E7*100,2)</f>
        <v>51</v>
      </c>
      <c r="G7" s="262">
        <f t="shared" ref="G7:G14" si="1">ROUND(D7/E7*100,2)</f>
        <v>49</v>
      </c>
    </row>
    <row r="8" spans="1:7" ht="27" customHeight="1">
      <c r="A8" s="851" t="s">
        <v>1243</v>
      </c>
      <c r="B8" s="164" t="s">
        <v>1244</v>
      </c>
      <c r="C8" s="462">
        <v>4930</v>
      </c>
      <c r="D8" s="462">
        <v>4731</v>
      </c>
      <c r="E8" s="421">
        <f>SUM(C8,D8)</f>
        <v>9661</v>
      </c>
      <c r="F8" s="585">
        <f t="shared" si="0"/>
        <v>51.03</v>
      </c>
      <c r="G8" s="456">
        <f t="shared" si="1"/>
        <v>48.97</v>
      </c>
    </row>
    <row r="9" spans="1:7" ht="27" customHeight="1">
      <c r="A9" s="851" t="s">
        <v>11</v>
      </c>
      <c r="B9" s="164" t="s">
        <v>1244</v>
      </c>
      <c r="C9" s="462">
        <v>6627</v>
      </c>
      <c r="D9" s="462">
        <v>6373</v>
      </c>
      <c r="E9" s="421">
        <f>SUM(C9,D9)</f>
        <v>13000</v>
      </c>
      <c r="F9" s="585">
        <f t="shared" si="0"/>
        <v>50.98</v>
      </c>
      <c r="G9" s="456">
        <f t="shared" si="1"/>
        <v>49.02</v>
      </c>
    </row>
    <row r="10" spans="1:7" ht="27" customHeight="1">
      <c r="A10" s="849" t="s">
        <v>1264</v>
      </c>
      <c r="B10" s="850" t="s">
        <v>1320</v>
      </c>
      <c r="C10" s="137">
        <f>SUM(C11:C28)</f>
        <v>229743</v>
      </c>
      <c r="D10" s="137">
        <f>SUM(D11:D28)</f>
        <v>219508</v>
      </c>
      <c r="E10" s="137">
        <f>SUM(E11:E28)</f>
        <v>449251</v>
      </c>
      <c r="F10" s="150">
        <f t="shared" si="0"/>
        <v>51.14</v>
      </c>
      <c r="G10" s="262">
        <f t="shared" si="1"/>
        <v>48.86</v>
      </c>
    </row>
    <row r="11" spans="1:7" ht="27" customHeight="1">
      <c r="A11" s="596" t="s">
        <v>1282</v>
      </c>
      <c r="B11" s="164" t="s">
        <v>1244</v>
      </c>
      <c r="C11" s="174">
        <v>7346</v>
      </c>
      <c r="D11" s="174">
        <v>7045</v>
      </c>
      <c r="E11" s="46">
        <f>SUM(C11,D11)</f>
        <v>14391</v>
      </c>
      <c r="F11" s="151">
        <f t="shared" si="0"/>
        <v>51.05</v>
      </c>
      <c r="G11" s="109">
        <f t="shared" si="1"/>
        <v>48.95</v>
      </c>
    </row>
    <row r="12" spans="1:7" ht="27" customHeight="1">
      <c r="A12" s="596" t="s">
        <v>1283</v>
      </c>
      <c r="B12" s="164" t="s">
        <v>1244</v>
      </c>
      <c r="C12" s="174">
        <v>7332</v>
      </c>
      <c r="D12" s="174">
        <v>6961</v>
      </c>
      <c r="E12" s="46">
        <f>SUM(C12,D12)</f>
        <v>14293</v>
      </c>
      <c r="F12" s="151">
        <f t="shared" si="0"/>
        <v>51.3</v>
      </c>
      <c r="G12" s="109">
        <f t="shared" si="1"/>
        <v>48.7</v>
      </c>
    </row>
    <row r="13" spans="1:7" ht="27" customHeight="1">
      <c r="A13" s="851" t="s">
        <v>1492</v>
      </c>
      <c r="B13" s="164" t="s">
        <v>1244</v>
      </c>
      <c r="C13" s="462">
        <v>12098</v>
      </c>
      <c r="D13" s="462">
        <v>11724</v>
      </c>
      <c r="E13" s="421">
        <f>SUM(C13,D13)</f>
        <v>23822</v>
      </c>
      <c r="F13" s="585">
        <f t="shared" si="0"/>
        <v>50.78</v>
      </c>
      <c r="G13" s="456">
        <f t="shared" si="1"/>
        <v>49.22</v>
      </c>
    </row>
    <row r="14" spans="1:7" ht="27" customHeight="1">
      <c r="A14" s="851" t="s">
        <v>1251</v>
      </c>
      <c r="B14" s="164" t="s">
        <v>1244</v>
      </c>
      <c r="C14" s="462">
        <v>5429</v>
      </c>
      <c r="D14" s="462">
        <v>5127</v>
      </c>
      <c r="E14" s="421">
        <f>SUM(C14,D14)</f>
        <v>10556</v>
      </c>
      <c r="F14" s="585">
        <f t="shared" si="0"/>
        <v>51.43</v>
      </c>
      <c r="G14" s="456">
        <f t="shared" si="1"/>
        <v>48.57</v>
      </c>
    </row>
    <row r="15" spans="1:7" ht="27" customHeight="1">
      <c r="A15" s="851" t="s">
        <v>1124</v>
      </c>
      <c r="B15" s="164" t="s">
        <v>1244</v>
      </c>
      <c r="C15" s="462">
        <v>7161</v>
      </c>
      <c r="D15" s="462">
        <v>6962</v>
      </c>
      <c r="E15" s="421">
        <f t="shared" ref="E15:E24" si="2">SUM(C15,D15)</f>
        <v>14123</v>
      </c>
      <c r="F15" s="585">
        <f t="shared" ref="F15:F24" si="3">ROUND(C15/E15*100,2)</f>
        <v>50.7</v>
      </c>
      <c r="G15" s="456">
        <f t="shared" ref="G15:G24" si="4">ROUND(D15/E15*100,2)</f>
        <v>49.3</v>
      </c>
    </row>
    <row r="16" spans="1:7" ht="27" customHeight="1">
      <c r="A16" s="596" t="s">
        <v>1330</v>
      </c>
      <c r="B16" s="164" t="s">
        <v>1244</v>
      </c>
      <c r="C16" s="462">
        <v>2316</v>
      </c>
      <c r="D16" s="462">
        <v>2195</v>
      </c>
      <c r="E16" s="421">
        <f t="shared" si="2"/>
        <v>4511</v>
      </c>
      <c r="F16" s="585">
        <f t="shared" si="3"/>
        <v>51.34</v>
      </c>
      <c r="G16" s="456">
        <f t="shared" si="4"/>
        <v>48.66</v>
      </c>
    </row>
    <row r="17" spans="1:7" ht="27" customHeight="1">
      <c r="A17" s="596" t="s">
        <v>1284</v>
      </c>
      <c r="B17" s="164" t="s">
        <v>1244</v>
      </c>
      <c r="C17" s="462">
        <v>5864</v>
      </c>
      <c r="D17" s="462">
        <v>5610</v>
      </c>
      <c r="E17" s="421">
        <f t="shared" si="2"/>
        <v>11474</v>
      </c>
      <c r="F17" s="585">
        <f t="shared" si="3"/>
        <v>51.11</v>
      </c>
      <c r="G17" s="456">
        <f t="shared" si="4"/>
        <v>48.89</v>
      </c>
    </row>
    <row r="18" spans="1:7" ht="27" customHeight="1">
      <c r="A18" s="596" t="s">
        <v>1285</v>
      </c>
      <c r="B18" s="164" t="s">
        <v>1244</v>
      </c>
      <c r="C18" s="462">
        <v>6667</v>
      </c>
      <c r="D18" s="462">
        <v>6296</v>
      </c>
      <c r="E18" s="421">
        <f t="shared" si="2"/>
        <v>12963</v>
      </c>
      <c r="F18" s="585">
        <f t="shared" si="3"/>
        <v>51.43</v>
      </c>
      <c r="G18" s="456">
        <f t="shared" si="4"/>
        <v>48.57</v>
      </c>
    </row>
    <row r="19" spans="1:7" ht="27" customHeight="1">
      <c r="A19" s="851" t="s">
        <v>773</v>
      </c>
      <c r="B19" s="164" t="s">
        <v>1252</v>
      </c>
      <c r="C19" s="462">
        <v>77146</v>
      </c>
      <c r="D19" s="462">
        <v>75916</v>
      </c>
      <c r="E19" s="421">
        <f t="shared" si="2"/>
        <v>153062</v>
      </c>
      <c r="F19" s="585">
        <f t="shared" si="3"/>
        <v>50.4</v>
      </c>
      <c r="G19" s="456">
        <f t="shared" si="4"/>
        <v>49.6</v>
      </c>
    </row>
    <row r="20" spans="1:7" ht="27" customHeight="1">
      <c r="A20" s="851" t="s">
        <v>12</v>
      </c>
      <c r="B20" s="164" t="s">
        <v>1244</v>
      </c>
      <c r="C20" s="462">
        <v>2788</v>
      </c>
      <c r="D20" s="462">
        <v>2652</v>
      </c>
      <c r="E20" s="421">
        <f t="shared" si="2"/>
        <v>5440</v>
      </c>
      <c r="F20" s="585">
        <f t="shared" si="3"/>
        <v>51.25</v>
      </c>
      <c r="G20" s="456">
        <f t="shared" si="4"/>
        <v>48.75</v>
      </c>
    </row>
    <row r="21" spans="1:7" ht="27" customHeight="1">
      <c r="A21" s="851" t="s">
        <v>13</v>
      </c>
      <c r="B21" s="164" t="s">
        <v>1244</v>
      </c>
      <c r="C21" s="462">
        <v>4656</v>
      </c>
      <c r="D21" s="462">
        <v>4481</v>
      </c>
      <c r="E21" s="421">
        <f t="shared" si="2"/>
        <v>9137</v>
      </c>
      <c r="F21" s="585">
        <f t="shared" si="3"/>
        <v>50.96</v>
      </c>
      <c r="G21" s="456">
        <f t="shared" si="4"/>
        <v>49.04</v>
      </c>
    </row>
    <row r="22" spans="1:7" ht="27" customHeight="1">
      <c r="A22" s="851" t="s">
        <v>14</v>
      </c>
      <c r="B22" s="164" t="s">
        <v>1244</v>
      </c>
      <c r="C22" s="462">
        <v>5663</v>
      </c>
      <c r="D22" s="462">
        <v>5485</v>
      </c>
      <c r="E22" s="421">
        <f t="shared" si="2"/>
        <v>11148</v>
      </c>
      <c r="F22" s="585">
        <f t="shared" si="3"/>
        <v>50.8</v>
      </c>
      <c r="G22" s="456">
        <f t="shared" si="4"/>
        <v>49.2</v>
      </c>
    </row>
    <row r="23" spans="1:7" ht="27" customHeight="1">
      <c r="A23" s="851" t="s">
        <v>1334</v>
      </c>
      <c r="B23" s="164" t="s">
        <v>1244</v>
      </c>
      <c r="C23" s="462">
        <v>7237</v>
      </c>
      <c r="D23" s="462">
        <v>6848</v>
      </c>
      <c r="E23" s="421">
        <f t="shared" si="2"/>
        <v>14085</v>
      </c>
      <c r="F23" s="585">
        <f t="shared" si="3"/>
        <v>51.38</v>
      </c>
      <c r="G23" s="456">
        <f t="shared" si="4"/>
        <v>48.62</v>
      </c>
    </row>
    <row r="24" spans="1:7" ht="27" customHeight="1">
      <c r="A24" s="851" t="s">
        <v>17</v>
      </c>
      <c r="B24" s="164" t="s">
        <v>1244</v>
      </c>
      <c r="C24" s="462">
        <v>4009</v>
      </c>
      <c r="D24" s="462">
        <v>3822</v>
      </c>
      <c r="E24" s="421">
        <f t="shared" si="2"/>
        <v>7831</v>
      </c>
      <c r="F24" s="585">
        <f t="shared" si="3"/>
        <v>51.19</v>
      </c>
      <c r="G24" s="456">
        <f t="shared" si="4"/>
        <v>48.81</v>
      </c>
    </row>
    <row r="25" spans="1:7" ht="27" customHeight="1">
      <c r="A25" s="851" t="s">
        <v>15</v>
      </c>
      <c r="B25" s="164" t="s">
        <v>1244</v>
      </c>
      <c r="C25" s="462">
        <v>2599</v>
      </c>
      <c r="D25" s="462">
        <v>2414</v>
      </c>
      <c r="E25" s="421">
        <f>SUM(C25,D25)</f>
        <v>5013</v>
      </c>
      <c r="F25" s="585">
        <f>ROUND(C25/E25*100,2)</f>
        <v>51.85</v>
      </c>
      <c r="G25" s="456">
        <f>ROUND(D25/E25*100,2)</f>
        <v>48.15</v>
      </c>
    </row>
    <row r="26" spans="1:7" ht="27" customHeight="1">
      <c r="A26" s="851" t="s">
        <v>16</v>
      </c>
      <c r="B26" s="164" t="s">
        <v>1244</v>
      </c>
      <c r="C26" s="462">
        <v>2586</v>
      </c>
      <c r="D26" s="462">
        <v>2467</v>
      </c>
      <c r="E26" s="421">
        <f>SUM(C26,D26)</f>
        <v>5053</v>
      </c>
      <c r="F26" s="585">
        <f>ROUND(C26/E26*100,2)</f>
        <v>51.18</v>
      </c>
      <c r="G26" s="456">
        <f>ROUND(D26/E26*100,2)</f>
        <v>48.82</v>
      </c>
    </row>
    <row r="27" spans="1:7" ht="27" customHeight="1">
      <c r="A27" s="851" t="s">
        <v>1254</v>
      </c>
      <c r="B27" s="164" t="s">
        <v>1244</v>
      </c>
      <c r="C27" s="462">
        <v>3431</v>
      </c>
      <c r="D27" s="462">
        <v>3375</v>
      </c>
      <c r="E27" s="421">
        <f>SUM(C27,D27)</f>
        <v>6806</v>
      </c>
      <c r="F27" s="585">
        <f>ROUND(C27/E27*100,2)</f>
        <v>50.41</v>
      </c>
      <c r="G27" s="456">
        <f>ROUND(D27/E27*100,2)</f>
        <v>49.59</v>
      </c>
    </row>
    <row r="28" spans="1:7" ht="27" customHeight="1">
      <c r="A28" s="852" t="s">
        <v>90</v>
      </c>
      <c r="B28" s="390" t="s">
        <v>1252</v>
      </c>
      <c r="C28" s="616">
        <v>65415</v>
      </c>
      <c r="D28" s="616">
        <v>60128</v>
      </c>
      <c r="E28" s="489">
        <f>SUM(C28,D28)</f>
        <v>125543</v>
      </c>
      <c r="F28" s="587">
        <f>ROUND(C28/E28*100,2)</f>
        <v>52.11</v>
      </c>
      <c r="G28" s="458">
        <f>ROUND(D28/E28*100,2)</f>
        <v>47.89</v>
      </c>
    </row>
    <row r="29" spans="1:7" ht="12.75" customHeight="1">
      <c r="A29" s="853"/>
      <c r="B29" s="854"/>
      <c r="C29" s="185"/>
      <c r="D29" s="185"/>
      <c r="E29" s="20"/>
      <c r="F29" s="593"/>
      <c r="G29" s="855" t="s">
        <v>1458</v>
      </c>
    </row>
    <row r="30" spans="1:7" ht="16.5" customHeight="1">
      <c r="A30" s="1261" t="s">
        <v>1325</v>
      </c>
      <c r="B30" s="1261"/>
      <c r="C30" s="1261"/>
      <c r="D30" s="1261"/>
      <c r="E30" s="1261"/>
      <c r="F30" s="1261"/>
      <c r="G30" s="1261"/>
    </row>
    <row r="31" spans="1:7" ht="13.5" customHeight="1">
      <c r="A31" s="470"/>
      <c r="B31" s="470"/>
      <c r="C31" s="470"/>
      <c r="D31" s="470"/>
      <c r="E31" s="470"/>
      <c r="F31" s="470"/>
      <c r="G31" s="543" t="s">
        <v>864</v>
      </c>
    </row>
    <row r="32" spans="1:7" ht="30" customHeight="1">
      <c r="A32" s="1262" t="s">
        <v>900</v>
      </c>
      <c r="B32" s="1262" t="s">
        <v>1322</v>
      </c>
      <c r="C32" s="1253" t="s">
        <v>119</v>
      </c>
      <c r="D32" s="1251"/>
      <c r="E32" s="1252"/>
      <c r="F32" s="1321" t="s">
        <v>1651</v>
      </c>
      <c r="G32" s="1322"/>
    </row>
    <row r="33" spans="1:7" ht="17.25" customHeight="1">
      <c r="A33" s="1263"/>
      <c r="B33" s="1263"/>
      <c r="C33" s="204" t="s">
        <v>246</v>
      </c>
      <c r="D33" s="204" t="s">
        <v>249</v>
      </c>
      <c r="E33" s="46" t="s">
        <v>210</v>
      </c>
      <c r="F33" s="204" t="s">
        <v>284</v>
      </c>
      <c r="G33" s="46" t="s">
        <v>249</v>
      </c>
    </row>
    <row r="34" spans="1:7" ht="17.25" customHeight="1">
      <c r="A34" s="225" t="s">
        <v>163</v>
      </c>
      <c r="B34" s="224" t="s">
        <v>164</v>
      </c>
      <c r="C34" s="225" t="s">
        <v>165</v>
      </c>
      <c r="D34" s="225" t="s">
        <v>166</v>
      </c>
      <c r="E34" s="224" t="s">
        <v>167</v>
      </c>
      <c r="F34" s="225" t="s">
        <v>168</v>
      </c>
      <c r="G34" s="224" t="s">
        <v>169</v>
      </c>
    </row>
    <row r="35" spans="1:7" ht="18.75" customHeight="1">
      <c r="A35" s="849" t="s">
        <v>805</v>
      </c>
      <c r="B35" s="850" t="s">
        <v>1321</v>
      </c>
      <c r="C35" s="137">
        <f>SUM(C36:C68)</f>
        <v>304077</v>
      </c>
      <c r="D35" s="137">
        <f>SUM(D36:D68)</f>
        <v>293163</v>
      </c>
      <c r="E35" s="137">
        <f>SUM(E36:E68)</f>
        <v>597240</v>
      </c>
      <c r="F35" s="150">
        <f t="shared" ref="F35:F44" si="5">ROUND(C35/E35*100,2)</f>
        <v>50.91</v>
      </c>
      <c r="G35" s="262">
        <f t="shared" ref="G35:G44" si="6">ROUND(D35/E35*100,2)</f>
        <v>49.09</v>
      </c>
    </row>
    <row r="36" spans="1:7" ht="18.75" customHeight="1">
      <c r="A36" s="596" t="s">
        <v>1286</v>
      </c>
      <c r="B36" s="164" t="s">
        <v>1244</v>
      </c>
      <c r="C36" s="174">
        <v>5891</v>
      </c>
      <c r="D36" s="174">
        <v>5445</v>
      </c>
      <c r="E36" s="46">
        <f t="shared" ref="E36:E44" si="7">SUM(C36,D36)</f>
        <v>11336</v>
      </c>
      <c r="F36" s="151">
        <f t="shared" si="5"/>
        <v>51.97</v>
      </c>
      <c r="G36" s="109">
        <f t="shared" si="6"/>
        <v>48.03</v>
      </c>
    </row>
    <row r="37" spans="1:7" ht="18.75" customHeight="1">
      <c r="A37" s="596" t="s">
        <v>1287</v>
      </c>
      <c r="B37" s="164" t="s">
        <v>1244</v>
      </c>
      <c r="C37" s="174">
        <v>2543</v>
      </c>
      <c r="D37" s="174">
        <v>2440</v>
      </c>
      <c r="E37" s="46">
        <f t="shared" si="7"/>
        <v>4983</v>
      </c>
      <c r="F37" s="151">
        <f t="shared" si="5"/>
        <v>51.03</v>
      </c>
      <c r="G37" s="109">
        <f t="shared" si="6"/>
        <v>48.97</v>
      </c>
    </row>
    <row r="38" spans="1:7" ht="18.75" customHeight="1">
      <c r="A38" s="596" t="s">
        <v>1288</v>
      </c>
      <c r="B38" s="164" t="s">
        <v>1244</v>
      </c>
      <c r="C38" s="174">
        <v>2776</v>
      </c>
      <c r="D38" s="174">
        <v>2492</v>
      </c>
      <c r="E38" s="46">
        <f t="shared" si="7"/>
        <v>5268</v>
      </c>
      <c r="F38" s="151">
        <f t="shared" si="5"/>
        <v>52.7</v>
      </c>
      <c r="G38" s="109">
        <f t="shared" si="6"/>
        <v>47.3</v>
      </c>
    </row>
    <row r="39" spans="1:7" ht="18.75" customHeight="1">
      <c r="A39" s="596" t="s">
        <v>1289</v>
      </c>
      <c r="B39" s="164" t="s">
        <v>1244</v>
      </c>
      <c r="C39" s="174">
        <v>5013</v>
      </c>
      <c r="D39" s="174">
        <v>4571</v>
      </c>
      <c r="E39" s="46">
        <f t="shared" si="7"/>
        <v>9584</v>
      </c>
      <c r="F39" s="151">
        <f t="shared" si="5"/>
        <v>52.31</v>
      </c>
      <c r="G39" s="109">
        <f t="shared" si="6"/>
        <v>47.69</v>
      </c>
    </row>
    <row r="40" spans="1:7" ht="18.75" customHeight="1">
      <c r="A40" s="851" t="s">
        <v>1255</v>
      </c>
      <c r="B40" s="164" t="s">
        <v>1244</v>
      </c>
      <c r="C40" s="462">
        <v>28695</v>
      </c>
      <c r="D40" s="462">
        <v>26958</v>
      </c>
      <c r="E40" s="421">
        <f t="shared" si="7"/>
        <v>55653</v>
      </c>
      <c r="F40" s="585">
        <f t="shared" si="5"/>
        <v>51.56</v>
      </c>
      <c r="G40" s="456">
        <f t="shared" si="6"/>
        <v>48.44</v>
      </c>
    </row>
    <row r="41" spans="1:7" ht="18.75" customHeight="1">
      <c r="A41" s="851" t="s">
        <v>1131</v>
      </c>
      <c r="B41" s="164" t="s">
        <v>1252</v>
      </c>
      <c r="C41" s="462">
        <v>77011</v>
      </c>
      <c r="D41" s="462">
        <v>74766</v>
      </c>
      <c r="E41" s="421">
        <f t="shared" si="7"/>
        <v>151777</v>
      </c>
      <c r="F41" s="585">
        <f t="shared" si="5"/>
        <v>50.74</v>
      </c>
      <c r="G41" s="456">
        <f t="shared" si="6"/>
        <v>49.26</v>
      </c>
    </row>
    <row r="42" spans="1:7" ht="18.75" customHeight="1">
      <c r="A42" s="596" t="s">
        <v>1290</v>
      </c>
      <c r="B42" s="164" t="s">
        <v>1244</v>
      </c>
      <c r="C42" s="462">
        <v>11631</v>
      </c>
      <c r="D42" s="462">
        <v>11018</v>
      </c>
      <c r="E42" s="421">
        <f t="shared" si="7"/>
        <v>22649</v>
      </c>
      <c r="F42" s="585">
        <f t="shared" si="5"/>
        <v>51.35</v>
      </c>
      <c r="G42" s="456">
        <f t="shared" si="6"/>
        <v>48.65</v>
      </c>
    </row>
    <row r="43" spans="1:7" ht="18.75" customHeight="1">
      <c r="A43" s="596" t="s">
        <v>1291</v>
      </c>
      <c r="B43" s="164" t="s">
        <v>1244</v>
      </c>
      <c r="C43" s="462">
        <v>9140</v>
      </c>
      <c r="D43" s="462">
        <v>8911</v>
      </c>
      <c r="E43" s="421">
        <f t="shared" si="7"/>
        <v>18051</v>
      </c>
      <c r="F43" s="585">
        <f t="shared" si="5"/>
        <v>50.63</v>
      </c>
      <c r="G43" s="456">
        <f t="shared" si="6"/>
        <v>49.37</v>
      </c>
    </row>
    <row r="44" spans="1:7" ht="18.75" customHeight="1">
      <c r="A44" s="596" t="s">
        <v>1292</v>
      </c>
      <c r="B44" s="164" t="s">
        <v>1244</v>
      </c>
      <c r="C44" s="462">
        <v>3298</v>
      </c>
      <c r="D44" s="462">
        <v>3143</v>
      </c>
      <c r="E44" s="421">
        <f t="shared" si="7"/>
        <v>6441</v>
      </c>
      <c r="F44" s="585">
        <f t="shared" si="5"/>
        <v>51.2</v>
      </c>
      <c r="G44" s="456">
        <f t="shared" si="6"/>
        <v>48.8</v>
      </c>
    </row>
    <row r="45" spans="1:7" ht="18.75" customHeight="1">
      <c r="A45" s="596" t="s">
        <v>1293</v>
      </c>
      <c r="B45" s="164" t="s">
        <v>1244</v>
      </c>
      <c r="C45" s="462">
        <v>2780</v>
      </c>
      <c r="D45" s="462">
        <v>2752</v>
      </c>
      <c r="E45" s="421">
        <f t="shared" ref="E45:E57" si="8">SUM(C45,D45)</f>
        <v>5532</v>
      </c>
      <c r="F45" s="585">
        <f t="shared" ref="F45:F57" si="9">ROUND(C45/E45*100,2)</f>
        <v>50.25</v>
      </c>
      <c r="G45" s="456">
        <f t="shared" ref="G45:G57" si="10">ROUND(D45/E45*100,2)</f>
        <v>49.75</v>
      </c>
    </row>
    <row r="46" spans="1:7" ht="18.75" customHeight="1">
      <c r="A46" s="596" t="s">
        <v>1294</v>
      </c>
      <c r="B46" s="164" t="s">
        <v>1244</v>
      </c>
      <c r="C46" s="462">
        <v>10285</v>
      </c>
      <c r="D46" s="462">
        <v>9713</v>
      </c>
      <c r="E46" s="421">
        <f t="shared" si="8"/>
        <v>19998</v>
      </c>
      <c r="F46" s="585">
        <f t="shared" si="9"/>
        <v>51.43</v>
      </c>
      <c r="G46" s="456">
        <f t="shared" si="10"/>
        <v>48.57</v>
      </c>
    </row>
    <row r="47" spans="1:7" ht="18.75" customHeight="1">
      <c r="A47" s="596" t="s">
        <v>1295</v>
      </c>
      <c r="B47" s="164" t="s">
        <v>1244</v>
      </c>
      <c r="C47" s="462">
        <v>5153</v>
      </c>
      <c r="D47" s="462">
        <v>5127</v>
      </c>
      <c r="E47" s="421">
        <f t="shared" si="8"/>
        <v>10280</v>
      </c>
      <c r="F47" s="585">
        <f t="shared" si="9"/>
        <v>50.13</v>
      </c>
      <c r="G47" s="456">
        <f t="shared" si="10"/>
        <v>49.87</v>
      </c>
    </row>
    <row r="48" spans="1:7" ht="18.75" customHeight="1">
      <c r="A48" s="596" t="s">
        <v>1296</v>
      </c>
      <c r="B48" s="164" t="s">
        <v>1244</v>
      </c>
      <c r="C48" s="462">
        <v>2677</v>
      </c>
      <c r="D48" s="462">
        <v>2672</v>
      </c>
      <c r="E48" s="421">
        <f t="shared" si="8"/>
        <v>5349</v>
      </c>
      <c r="F48" s="585">
        <f t="shared" si="9"/>
        <v>50.05</v>
      </c>
      <c r="G48" s="456">
        <f t="shared" si="10"/>
        <v>49.95</v>
      </c>
    </row>
    <row r="49" spans="1:7" ht="18.75" customHeight="1">
      <c r="A49" s="596" t="s">
        <v>1297</v>
      </c>
      <c r="B49" s="164" t="s">
        <v>1244</v>
      </c>
      <c r="C49" s="462">
        <v>10701</v>
      </c>
      <c r="D49" s="462">
        <v>9961</v>
      </c>
      <c r="E49" s="421">
        <f t="shared" si="8"/>
        <v>20662</v>
      </c>
      <c r="F49" s="585">
        <f t="shared" si="9"/>
        <v>51.79</v>
      </c>
      <c r="G49" s="456">
        <f t="shared" si="10"/>
        <v>48.21</v>
      </c>
    </row>
    <row r="50" spans="1:7" ht="18.75" customHeight="1">
      <c r="A50" s="596" t="s">
        <v>1298</v>
      </c>
      <c r="B50" s="164" t="s">
        <v>1244</v>
      </c>
      <c r="C50" s="462">
        <v>4994</v>
      </c>
      <c r="D50" s="462">
        <v>4853</v>
      </c>
      <c r="E50" s="421">
        <f t="shared" si="8"/>
        <v>9847</v>
      </c>
      <c r="F50" s="585">
        <f t="shared" si="9"/>
        <v>50.72</v>
      </c>
      <c r="G50" s="456">
        <f t="shared" si="10"/>
        <v>49.28</v>
      </c>
    </row>
    <row r="51" spans="1:7" ht="18.75" customHeight="1">
      <c r="A51" s="596" t="s">
        <v>1299</v>
      </c>
      <c r="B51" s="164" t="s">
        <v>1244</v>
      </c>
      <c r="C51" s="462">
        <v>2650</v>
      </c>
      <c r="D51" s="462">
        <v>2570</v>
      </c>
      <c r="E51" s="421">
        <f t="shared" si="8"/>
        <v>5220</v>
      </c>
      <c r="F51" s="585">
        <f t="shared" si="9"/>
        <v>50.77</v>
      </c>
      <c r="G51" s="456">
        <f t="shared" si="10"/>
        <v>49.23</v>
      </c>
    </row>
    <row r="52" spans="1:7" ht="18.75" customHeight="1">
      <c r="A52" s="596" t="s">
        <v>1300</v>
      </c>
      <c r="B52" s="164" t="s">
        <v>1244</v>
      </c>
      <c r="C52" s="462">
        <v>3920</v>
      </c>
      <c r="D52" s="462">
        <v>3898</v>
      </c>
      <c r="E52" s="421">
        <f t="shared" si="8"/>
        <v>7818</v>
      </c>
      <c r="F52" s="585">
        <f t="shared" si="9"/>
        <v>50.14</v>
      </c>
      <c r="G52" s="456">
        <f t="shared" si="10"/>
        <v>49.86</v>
      </c>
    </row>
    <row r="53" spans="1:7" ht="18.75" customHeight="1">
      <c r="A53" s="596" t="s">
        <v>1301</v>
      </c>
      <c r="B53" s="164" t="s">
        <v>1244</v>
      </c>
      <c r="C53" s="462">
        <v>4855</v>
      </c>
      <c r="D53" s="462">
        <v>4729</v>
      </c>
      <c r="E53" s="421">
        <f t="shared" si="8"/>
        <v>9584</v>
      </c>
      <c r="F53" s="585">
        <f t="shared" si="9"/>
        <v>50.66</v>
      </c>
      <c r="G53" s="456">
        <f t="shared" si="10"/>
        <v>49.34</v>
      </c>
    </row>
    <row r="54" spans="1:7" ht="18.75" customHeight="1">
      <c r="A54" s="596" t="s">
        <v>1257</v>
      </c>
      <c r="B54" s="164" t="s">
        <v>1256</v>
      </c>
      <c r="C54" s="462">
        <v>1605</v>
      </c>
      <c r="D54" s="462">
        <v>1490</v>
      </c>
      <c r="E54" s="421">
        <f t="shared" si="8"/>
        <v>3095</v>
      </c>
      <c r="F54" s="585">
        <f t="shared" si="9"/>
        <v>51.86</v>
      </c>
      <c r="G54" s="456">
        <f t="shared" si="10"/>
        <v>48.14</v>
      </c>
    </row>
    <row r="55" spans="1:7" ht="18.75" customHeight="1">
      <c r="A55" s="596" t="s">
        <v>1333</v>
      </c>
      <c r="B55" s="164" t="s">
        <v>1256</v>
      </c>
      <c r="C55" s="462">
        <v>3391</v>
      </c>
      <c r="D55" s="462">
        <v>3379</v>
      </c>
      <c r="E55" s="421">
        <f t="shared" si="8"/>
        <v>6770</v>
      </c>
      <c r="F55" s="585">
        <f t="shared" si="9"/>
        <v>50.09</v>
      </c>
      <c r="G55" s="456">
        <f t="shared" si="10"/>
        <v>49.91</v>
      </c>
    </row>
    <row r="56" spans="1:7" ht="18.75" customHeight="1">
      <c r="A56" s="596" t="s">
        <v>1332</v>
      </c>
      <c r="B56" s="164" t="s">
        <v>1256</v>
      </c>
      <c r="C56" s="462">
        <v>2348</v>
      </c>
      <c r="D56" s="462">
        <v>2210</v>
      </c>
      <c r="E56" s="421">
        <f t="shared" si="8"/>
        <v>4558</v>
      </c>
      <c r="F56" s="585">
        <f t="shared" si="9"/>
        <v>51.51</v>
      </c>
      <c r="G56" s="456">
        <f t="shared" si="10"/>
        <v>48.49</v>
      </c>
    </row>
    <row r="57" spans="1:7" ht="18.75" customHeight="1">
      <c r="A57" s="596" t="s">
        <v>1331</v>
      </c>
      <c r="B57" s="164" t="s">
        <v>1256</v>
      </c>
      <c r="C57" s="462">
        <v>1424</v>
      </c>
      <c r="D57" s="462">
        <v>1298</v>
      </c>
      <c r="E57" s="421">
        <f t="shared" si="8"/>
        <v>2722</v>
      </c>
      <c r="F57" s="585">
        <f t="shared" si="9"/>
        <v>52.31</v>
      </c>
      <c r="G57" s="456">
        <f t="shared" si="10"/>
        <v>47.69</v>
      </c>
    </row>
    <row r="58" spans="1:7" ht="18.75" customHeight="1">
      <c r="A58" s="851" t="s">
        <v>1622</v>
      </c>
      <c r="B58" s="164" t="s">
        <v>1252</v>
      </c>
      <c r="C58" s="462">
        <v>37948</v>
      </c>
      <c r="D58" s="462">
        <v>37417</v>
      </c>
      <c r="E58" s="421">
        <f t="shared" ref="E58:E68" si="11">SUM(C58,D58)</f>
        <v>75365</v>
      </c>
      <c r="F58" s="585">
        <f t="shared" ref="F58:F68" si="12">ROUND(C58/E58*100,2)</f>
        <v>50.35</v>
      </c>
      <c r="G58" s="456">
        <f t="shared" ref="G58:G68" si="13">ROUND(D58/E58*100,2)</f>
        <v>49.65</v>
      </c>
    </row>
    <row r="59" spans="1:7" ht="18.75" customHeight="1">
      <c r="A59" s="851" t="s">
        <v>1271</v>
      </c>
      <c r="B59" s="164" t="s">
        <v>1252</v>
      </c>
      <c r="C59" s="462">
        <v>15658</v>
      </c>
      <c r="D59" s="462">
        <v>15141</v>
      </c>
      <c r="E59" s="421">
        <f t="shared" si="11"/>
        <v>30799</v>
      </c>
      <c r="F59" s="585">
        <f t="shared" si="12"/>
        <v>50.84</v>
      </c>
      <c r="G59" s="456">
        <f t="shared" si="13"/>
        <v>49.16</v>
      </c>
    </row>
    <row r="60" spans="1:7" ht="18.75" customHeight="1">
      <c r="A60" s="851" t="s">
        <v>1257</v>
      </c>
      <c r="B60" s="164" t="s">
        <v>1273</v>
      </c>
      <c r="C60" s="462">
        <v>10642</v>
      </c>
      <c r="D60" s="462">
        <v>10252</v>
      </c>
      <c r="E60" s="421">
        <f t="shared" si="11"/>
        <v>20894</v>
      </c>
      <c r="F60" s="585">
        <f t="shared" si="12"/>
        <v>50.93</v>
      </c>
      <c r="G60" s="456">
        <f t="shared" si="13"/>
        <v>49.07</v>
      </c>
    </row>
    <row r="61" spans="1:7" ht="18.75" customHeight="1">
      <c r="A61" s="596" t="s">
        <v>1302</v>
      </c>
      <c r="B61" s="164" t="s">
        <v>1244</v>
      </c>
      <c r="C61" s="462">
        <v>2676</v>
      </c>
      <c r="D61" s="462">
        <v>2526</v>
      </c>
      <c r="E61" s="421">
        <f t="shared" si="11"/>
        <v>5202</v>
      </c>
      <c r="F61" s="585">
        <f t="shared" si="12"/>
        <v>51.44</v>
      </c>
      <c r="G61" s="456">
        <f t="shared" si="13"/>
        <v>48.56</v>
      </c>
    </row>
    <row r="62" spans="1:7" ht="18.75" customHeight="1">
      <c r="A62" s="596" t="s">
        <v>1303</v>
      </c>
      <c r="B62" s="164" t="s">
        <v>1244</v>
      </c>
      <c r="C62" s="462">
        <v>7174</v>
      </c>
      <c r="D62" s="462">
        <v>6795</v>
      </c>
      <c r="E62" s="421">
        <f t="shared" si="11"/>
        <v>13969</v>
      </c>
      <c r="F62" s="585">
        <f t="shared" si="12"/>
        <v>51.36</v>
      </c>
      <c r="G62" s="456">
        <f t="shared" si="13"/>
        <v>48.64</v>
      </c>
    </row>
    <row r="63" spans="1:7" ht="18.75" customHeight="1">
      <c r="A63" s="596" t="s">
        <v>1622</v>
      </c>
      <c r="B63" s="164" t="s">
        <v>1244</v>
      </c>
      <c r="C63" s="462">
        <v>1985</v>
      </c>
      <c r="D63" s="462">
        <v>1997</v>
      </c>
      <c r="E63" s="421">
        <f t="shared" si="11"/>
        <v>3982</v>
      </c>
      <c r="F63" s="585">
        <f t="shared" si="12"/>
        <v>49.85</v>
      </c>
      <c r="G63" s="456">
        <f t="shared" si="13"/>
        <v>50.15</v>
      </c>
    </row>
    <row r="64" spans="1:7" ht="18.75" customHeight="1">
      <c r="A64" s="596" t="s">
        <v>1304</v>
      </c>
      <c r="B64" s="164" t="s">
        <v>1244</v>
      </c>
      <c r="C64" s="462">
        <v>5399</v>
      </c>
      <c r="D64" s="462">
        <v>5308</v>
      </c>
      <c r="E64" s="421">
        <f t="shared" si="11"/>
        <v>10707</v>
      </c>
      <c r="F64" s="585">
        <f t="shared" si="12"/>
        <v>50.42</v>
      </c>
      <c r="G64" s="456">
        <f t="shared" si="13"/>
        <v>49.58</v>
      </c>
    </row>
    <row r="65" spans="1:7" ht="18.75" customHeight="1">
      <c r="A65" s="596" t="s">
        <v>1305</v>
      </c>
      <c r="B65" s="164" t="s">
        <v>1244</v>
      </c>
      <c r="C65" s="462">
        <v>5102</v>
      </c>
      <c r="D65" s="462">
        <v>5066</v>
      </c>
      <c r="E65" s="421">
        <f t="shared" si="11"/>
        <v>10168</v>
      </c>
      <c r="F65" s="585">
        <f t="shared" si="12"/>
        <v>50.18</v>
      </c>
      <c r="G65" s="456">
        <f t="shared" si="13"/>
        <v>49.82</v>
      </c>
    </row>
    <row r="66" spans="1:7" ht="18.75" customHeight="1">
      <c r="A66" s="596" t="s">
        <v>1306</v>
      </c>
      <c r="B66" s="164" t="s">
        <v>1244</v>
      </c>
      <c r="C66" s="462">
        <v>3042</v>
      </c>
      <c r="D66" s="462">
        <v>2816</v>
      </c>
      <c r="E66" s="421">
        <f t="shared" si="11"/>
        <v>5858</v>
      </c>
      <c r="F66" s="585">
        <f t="shared" si="12"/>
        <v>51.93</v>
      </c>
      <c r="G66" s="456">
        <f t="shared" si="13"/>
        <v>48.07</v>
      </c>
    </row>
    <row r="67" spans="1:7" ht="18.75" customHeight="1">
      <c r="A67" s="596" t="s">
        <v>1318</v>
      </c>
      <c r="B67" s="164" t="s">
        <v>1256</v>
      </c>
      <c r="C67" s="462">
        <v>2091</v>
      </c>
      <c r="D67" s="462">
        <v>2185</v>
      </c>
      <c r="E67" s="421">
        <f t="shared" si="11"/>
        <v>4276</v>
      </c>
      <c r="F67" s="585">
        <f t="shared" si="12"/>
        <v>48.9</v>
      </c>
      <c r="G67" s="456">
        <f t="shared" si="13"/>
        <v>51.1</v>
      </c>
    </row>
    <row r="68" spans="1:7" ht="18.75" customHeight="1">
      <c r="A68" s="852" t="s">
        <v>1272</v>
      </c>
      <c r="B68" s="390" t="s">
        <v>1273</v>
      </c>
      <c r="C68" s="616">
        <v>9579</v>
      </c>
      <c r="D68" s="616">
        <v>9264</v>
      </c>
      <c r="E68" s="489">
        <f t="shared" si="11"/>
        <v>18843</v>
      </c>
      <c r="F68" s="587">
        <f t="shared" si="12"/>
        <v>50.84</v>
      </c>
      <c r="G68" s="458">
        <f t="shared" si="13"/>
        <v>49.16</v>
      </c>
    </row>
    <row r="69" spans="1:7" ht="12.75" customHeight="1">
      <c r="A69" s="853"/>
      <c r="B69" s="854"/>
      <c r="C69" s="185"/>
      <c r="D69" s="185"/>
      <c r="E69" s="20"/>
      <c r="F69" s="593"/>
      <c r="G69" s="855" t="s">
        <v>1458</v>
      </c>
    </row>
    <row r="70" spans="1:7" ht="16.5" customHeight="1">
      <c r="A70" s="1261" t="s">
        <v>1326</v>
      </c>
      <c r="B70" s="1261"/>
      <c r="C70" s="1261"/>
      <c r="D70" s="1261"/>
      <c r="E70" s="1261"/>
      <c r="F70" s="1261"/>
      <c r="G70" s="1261"/>
    </row>
    <row r="71" spans="1:7" ht="13.5" customHeight="1">
      <c r="A71" s="470"/>
      <c r="B71" s="470"/>
      <c r="C71" s="470"/>
      <c r="D71" s="470"/>
      <c r="E71" s="470"/>
      <c r="F71" s="470"/>
      <c r="G71" s="543" t="s">
        <v>864</v>
      </c>
    </row>
    <row r="72" spans="1:7" ht="30" customHeight="1">
      <c r="A72" s="1262" t="s">
        <v>900</v>
      </c>
      <c r="B72" s="1262" t="s">
        <v>1322</v>
      </c>
      <c r="C72" s="1253" t="s">
        <v>119</v>
      </c>
      <c r="D72" s="1251"/>
      <c r="E72" s="1252"/>
      <c r="F72" s="1321" t="s">
        <v>1651</v>
      </c>
      <c r="G72" s="1322"/>
    </row>
    <row r="73" spans="1:7" ht="17.25" customHeight="1">
      <c r="A73" s="1263"/>
      <c r="B73" s="1263"/>
      <c r="C73" s="204" t="s">
        <v>246</v>
      </c>
      <c r="D73" s="204" t="s">
        <v>249</v>
      </c>
      <c r="E73" s="46" t="s">
        <v>210</v>
      </c>
      <c r="F73" s="204" t="s">
        <v>284</v>
      </c>
      <c r="G73" s="46" t="s">
        <v>249</v>
      </c>
    </row>
    <row r="74" spans="1:7" ht="17.25" customHeight="1">
      <c r="A74" s="225" t="s">
        <v>163</v>
      </c>
      <c r="B74" s="224" t="s">
        <v>164</v>
      </c>
      <c r="C74" s="225" t="s">
        <v>165</v>
      </c>
      <c r="D74" s="225" t="s">
        <v>166</v>
      </c>
      <c r="E74" s="224" t="s">
        <v>167</v>
      </c>
      <c r="F74" s="225" t="s">
        <v>168</v>
      </c>
      <c r="G74" s="224" t="s">
        <v>169</v>
      </c>
    </row>
    <row r="75" spans="1:7" ht="27" customHeight="1">
      <c r="A75" s="849" t="s">
        <v>1265</v>
      </c>
      <c r="B75" s="850" t="s">
        <v>1323</v>
      </c>
      <c r="C75" s="137">
        <f>SUM(C76:C92)</f>
        <v>187279</v>
      </c>
      <c r="D75" s="137">
        <f>SUM(D76:D92)</f>
        <v>182442</v>
      </c>
      <c r="E75" s="137">
        <f>SUM(E76:E92)</f>
        <v>369721</v>
      </c>
      <c r="F75" s="150">
        <f t="shared" ref="F75:F93" si="14">ROUND(C75/E75*100,2)</f>
        <v>50.65</v>
      </c>
      <c r="G75" s="262">
        <f t="shared" ref="G75:G93" si="15">ROUND(D75/E75*100,2)</f>
        <v>49.35</v>
      </c>
    </row>
    <row r="76" spans="1:7" ht="27" customHeight="1">
      <c r="A76" s="596" t="s">
        <v>1307</v>
      </c>
      <c r="B76" s="164" t="s">
        <v>1244</v>
      </c>
      <c r="C76" s="174">
        <v>3461</v>
      </c>
      <c r="D76" s="174">
        <v>3396</v>
      </c>
      <c r="E76" s="46">
        <f t="shared" ref="E76:E92" si="16">SUM(C76,D76)</f>
        <v>6857</v>
      </c>
      <c r="F76" s="151">
        <f t="shared" si="14"/>
        <v>50.47</v>
      </c>
      <c r="G76" s="109">
        <f t="shared" si="15"/>
        <v>49.53</v>
      </c>
    </row>
    <row r="77" spans="1:7" ht="27" customHeight="1">
      <c r="A77" s="596" t="s">
        <v>1308</v>
      </c>
      <c r="B77" s="164" t="s">
        <v>1244</v>
      </c>
      <c r="C77" s="174">
        <v>4307</v>
      </c>
      <c r="D77" s="174">
        <v>3968</v>
      </c>
      <c r="E77" s="46">
        <f t="shared" si="16"/>
        <v>8275</v>
      </c>
      <c r="F77" s="151">
        <f t="shared" si="14"/>
        <v>52.05</v>
      </c>
      <c r="G77" s="109">
        <f t="shared" si="15"/>
        <v>47.95</v>
      </c>
    </row>
    <row r="78" spans="1:7" ht="27" customHeight="1">
      <c r="A78" s="596" t="s">
        <v>1327</v>
      </c>
      <c r="B78" s="164" t="s">
        <v>1244</v>
      </c>
      <c r="C78" s="174">
        <v>4241</v>
      </c>
      <c r="D78" s="174">
        <v>4295</v>
      </c>
      <c r="E78" s="46">
        <f t="shared" si="16"/>
        <v>8536</v>
      </c>
      <c r="F78" s="151">
        <f t="shared" si="14"/>
        <v>49.68</v>
      </c>
      <c r="G78" s="109">
        <f t="shared" si="15"/>
        <v>50.32</v>
      </c>
    </row>
    <row r="79" spans="1:7" ht="27" customHeight="1">
      <c r="A79" s="596" t="s">
        <v>1309</v>
      </c>
      <c r="B79" s="164" t="s">
        <v>1244</v>
      </c>
      <c r="C79" s="174">
        <v>6453</v>
      </c>
      <c r="D79" s="174">
        <v>6247</v>
      </c>
      <c r="E79" s="46">
        <f t="shared" si="16"/>
        <v>12700</v>
      </c>
      <c r="F79" s="151">
        <f t="shared" si="14"/>
        <v>50.81</v>
      </c>
      <c r="G79" s="109">
        <f t="shared" si="15"/>
        <v>49.19</v>
      </c>
    </row>
    <row r="80" spans="1:7" ht="27" customHeight="1">
      <c r="A80" s="596" t="s">
        <v>1310</v>
      </c>
      <c r="B80" s="164" t="s">
        <v>1244</v>
      </c>
      <c r="C80" s="174">
        <v>2509</v>
      </c>
      <c r="D80" s="174">
        <v>2518</v>
      </c>
      <c r="E80" s="46">
        <f t="shared" si="16"/>
        <v>5027</v>
      </c>
      <c r="F80" s="151">
        <f t="shared" si="14"/>
        <v>49.91</v>
      </c>
      <c r="G80" s="109">
        <f t="shared" si="15"/>
        <v>50.09</v>
      </c>
    </row>
    <row r="81" spans="1:7" ht="27" customHeight="1">
      <c r="A81" s="596" t="s">
        <v>1311</v>
      </c>
      <c r="B81" s="164" t="s">
        <v>1244</v>
      </c>
      <c r="C81" s="174">
        <v>2848</v>
      </c>
      <c r="D81" s="174">
        <v>2915</v>
      </c>
      <c r="E81" s="46">
        <f t="shared" si="16"/>
        <v>5763</v>
      </c>
      <c r="F81" s="151">
        <f t="shared" si="14"/>
        <v>49.42</v>
      </c>
      <c r="G81" s="109">
        <f t="shared" si="15"/>
        <v>50.58</v>
      </c>
    </row>
    <row r="82" spans="1:7" ht="27" customHeight="1">
      <c r="A82" s="596" t="s">
        <v>1312</v>
      </c>
      <c r="B82" s="164" t="s">
        <v>1244</v>
      </c>
      <c r="C82" s="174">
        <v>2651</v>
      </c>
      <c r="D82" s="174">
        <v>2455</v>
      </c>
      <c r="E82" s="46">
        <f t="shared" si="16"/>
        <v>5106</v>
      </c>
      <c r="F82" s="151">
        <f t="shared" si="14"/>
        <v>51.92</v>
      </c>
      <c r="G82" s="109">
        <f t="shared" si="15"/>
        <v>48.08</v>
      </c>
    </row>
    <row r="83" spans="1:7" ht="27" customHeight="1">
      <c r="A83" s="596" t="s">
        <v>1313</v>
      </c>
      <c r="B83" s="164" t="s">
        <v>1244</v>
      </c>
      <c r="C83" s="174">
        <v>6993</v>
      </c>
      <c r="D83" s="174">
        <v>6682</v>
      </c>
      <c r="E83" s="46">
        <f t="shared" si="16"/>
        <v>13675</v>
      </c>
      <c r="F83" s="151">
        <f t="shared" si="14"/>
        <v>51.14</v>
      </c>
      <c r="G83" s="109">
        <f t="shared" si="15"/>
        <v>48.86</v>
      </c>
    </row>
    <row r="84" spans="1:7" ht="27" customHeight="1">
      <c r="A84" s="596" t="s">
        <v>1328</v>
      </c>
      <c r="B84" s="164" t="s">
        <v>1244</v>
      </c>
      <c r="C84" s="462">
        <v>7717</v>
      </c>
      <c r="D84" s="462">
        <v>7274</v>
      </c>
      <c r="E84" s="421">
        <f t="shared" si="16"/>
        <v>14991</v>
      </c>
      <c r="F84" s="585">
        <f t="shared" si="14"/>
        <v>51.48</v>
      </c>
      <c r="G84" s="456">
        <f t="shared" si="15"/>
        <v>48.52</v>
      </c>
    </row>
    <row r="85" spans="1:7" ht="27" customHeight="1">
      <c r="A85" s="596" t="s">
        <v>1329</v>
      </c>
      <c r="B85" s="164" t="s">
        <v>1244</v>
      </c>
      <c r="C85" s="462">
        <v>5434</v>
      </c>
      <c r="D85" s="462">
        <v>4972</v>
      </c>
      <c r="E85" s="421">
        <f t="shared" si="16"/>
        <v>10406</v>
      </c>
      <c r="F85" s="585">
        <f t="shared" si="14"/>
        <v>52.22</v>
      </c>
      <c r="G85" s="456">
        <f t="shared" si="15"/>
        <v>47.78</v>
      </c>
    </row>
    <row r="86" spans="1:7" ht="27" customHeight="1">
      <c r="A86" s="851" t="s">
        <v>769</v>
      </c>
      <c r="B86" s="164" t="s">
        <v>1252</v>
      </c>
      <c r="C86" s="462">
        <v>48047</v>
      </c>
      <c r="D86" s="462">
        <v>47156</v>
      </c>
      <c r="E86" s="421">
        <f t="shared" si="16"/>
        <v>95203</v>
      </c>
      <c r="F86" s="585">
        <f t="shared" si="14"/>
        <v>50.47</v>
      </c>
      <c r="G86" s="456">
        <f t="shared" si="15"/>
        <v>49.53</v>
      </c>
    </row>
    <row r="87" spans="1:7" ht="27" customHeight="1">
      <c r="A87" s="851" t="s">
        <v>1628</v>
      </c>
      <c r="B87" s="164" t="s">
        <v>1252</v>
      </c>
      <c r="C87" s="462">
        <v>50727</v>
      </c>
      <c r="D87" s="462">
        <v>49848</v>
      </c>
      <c r="E87" s="421">
        <f t="shared" si="16"/>
        <v>100575</v>
      </c>
      <c r="F87" s="585">
        <f t="shared" si="14"/>
        <v>50.44</v>
      </c>
      <c r="G87" s="456">
        <f t="shared" si="15"/>
        <v>49.56</v>
      </c>
    </row>
    <row r="88" spans="1:7" ht="27" customHeight="1">
      <c r="A88" s="851" t="s">
        <v>894</v>
      </c>
      <c r="B88" s="164" t="s">
        <v>1252</v>
      </c>
      <c r="C88" s="462">
        <v>29811</v>
      </c>
      <c r="D88" s="462">
        <v>29187</v>
      </c>
      <c r="E88" s="421">
        <f t="shared" si="16"/>
        <v>58998</v>
      </c>
      <c r="F88" s="585">
        <f t="shared" si="14"/>
        <v>50.53</v>
      </c>
      <c r="G88" s="456">
        <f t="shared" si="15"/>
        <v>49.47</v>
      </c>
    </row>
    <row r="89" spans="1:7" ht="27" customHeight="1">
      <c r="A89" s="596" t="s">
        <v>1314</v>
      </c>
      <c r="B89" s="164" t="s">
        <v>1244</v>
      </c>
      <c r="C89" s="462">
        <v>1971</v>
      </c>
      <c r="D89" s="462">
        <v>2018</v>
      </c>
      <c r="E89" s="421">
        <f t="shared" si="16"/>
        <v>3989</v>
      </c>
      <c r="F89" s="585">
        <f t="shared" si="14"/>
        <v>49.41</v>
      </c>
      <c r="G89" s="456">
        <f t="shared" si="15"/>
        <v>50.59</v>
      </c>
    </row>
    <row r="90" spans="1:7" ht="27" customHeight="1">
      <c r="A90" s="596" t="s">
        <v>1315</v>
      </c>
      <c r="B90" s="164" t="s">
        <v>1244</v>
      </c>
      <c r="C90" s="462">
        <v>3754</v>
      </c>
      <c r="D90" s="462">
        <v>3191</v>
      </c>
      <c r="E90" s="421">
        <f t="shared" si="16"/>
        <v>6945</v>
      </c>
      <c r="F90" s="585">
        <f t="shared" si="14"/>
        <v>54.05</v>
      </c>
      <c r="G90" s="456">
        <f t="shared" si="15"/>
        <v>45.95</v>
      </c>
    </row>
    <row r="91" spans="1:7" ht="27" customHeight="1">
      <c r="A91" s="596" t="s">
        <v>1316</v>
      </c>
      <c r="B91" s="164" t="s">
        <v>1244</v>
      </c>
      <c r="C91" s="462">
        <v>2899</v>
      </c>
      <c r="D91" s="462">
        <v>2860</v>
      </c>
      <c r="E91" s="421">
        <f t="shared" si="16"/>
        <v>5759</v>
      </c>
      <c r="F91" s="585">
        <f t="shared" si="14"/>
        <v>50.34</v>
      </c>
      <c r="G91" s="456">
        <f t="shared" si="15"/>
        <v>49.66</v>
      </c>
    </row>
    <row r="92" spans="1:7" ht="27" customHeight="1">
      <c r="A92" s="856" t="s">
        <v>1317</v>
      </c>
      <c r="B92" s="164" t="s">
        <v>1244</v>
      </c>
      <c r="C92" s="462">
        <v>3456</v>
      </c>
      <c r="D92" s="462">
        <v>3460</v>
      </c>
      <c r="E92" s="421">
        <f t="shared" si="16"/>
        <v>6916</v>
      </c>
      <c r="F92" s="585">
        <f t="shared" si="14"/>
        <v>49.97</v>
      </c>
      <c r="G92" s="456">
        <f t="shared" si="15"/>
        <v>50.03</v>
      </c>
    </row>
    <row r="93" spans="1:7" s="161" customFormat="1" ht="24" customHeight="1">
      <c r="A93" s="857" t="s">
        <v>1184</v>
      </c>
      <c r="B93" s="858" t="s">
        <v>1324</v>
      </c>
      <c r="C93" s="859">
        <f>SUM(C7,C10,C35,C75)</f>
        <v>732656</v>
      </c>
      <c r="D93" s="859">
        <f>SUM(D7,D10,D35,D75)</f>
        <v>706217</v>
      </c>
      <c r="E93" s="860">
        <f>SUM(E7,E10,E35,E75)</f>
        <v>1438873</v>
      </c>
      <c r="F93" s="861">
        <f t="shared" si="14"/>
        <v>50.92</v>
      </c>
      <c r="G93" s="687">
        <f t="shared" si="15"/>
        <v>49.08</v>
      </c>
    </row>
    <row r="94" spans="1:7">
      <c r="E94" s="1324" t="s">
        <v>194</v>
      </c>
      <c r="F94" s="1324"/>
      <c r="G94" s="1324"/>
    </row>
  </sheetData>
  <mergeCells count="17">
    <mergeCell ref="E94:G94"/>
    <mergeCell ref="F4:G4"/>
    <mergeCell ref="C4:E4"/>
    <mergeCell ref="B4:B5"/>
    <mergeCell ref="A30:G30"/>
    <mergeCell ref="A32:A33"/>
    <mergeCell ref="B32:B33"/>
    <mergeCell ref="C32:E32"/>
    <mergeCell ref="F32:G32"/>
    <mergeCell ref="A70:G70"/>
    <mergeCell ref="A72:A73"/>
    <mergeCell ref="B72:B73"/>
    <mergeCell ref="C72:E72"/>
    <mergeCell ref="F72:G72"/>
    <mergeCell ref="A1:G1"/>
    <mergeCell ref="A2:G2"/>
    <mergeCell ref="A4:A5"/>
  </mergeCells>
  <phoneticPr fontId="0" type="noConversion"/>
  <printOptions horizontalCentered="1"/>
  <pageMargins left="0.1" right="0.1" top="0.6" bottom="0.1" header="0.18" footer="0.1"/>
  <pageSetup paperSize="9" orientation="portrait" blackAndWhite="1" r:id="rId1"/>
  <headerFooter alignWithMargins="0"/>
  <rowBreaks count="2" manualBreakCount="2">
    <brk id="29" max="16383" man="1"/>
    <brk id="69" max="16383" man="1"/>
  </rowBreaks>
</worksheet>
</file>

<file path=xl/worksheets/sheet18.xml><?xml version="1.0" encoding="utf-8"?>
<worksheet xmlns="http://schemas.openxmlformats.org/spreadsheetml/2006/main" xmlns:r="http://schemas.openxmlformats.org/officeDocument/2006/relationships">
  <sheetPr codeName="Sheet16"/>
  <dimension ref="B1:T60"/>
  <sheetViews>
    <sheetView workbookViewId="0">
      <selection activeCell="I31" sqref="I31"/>
    </sheetView>
  </sheetViews>
  <sheetFormatPr defaultRowHeight="12.75"/>
  <cols>
    <col min="1" max="1" width="1.140625" style="9" customWidth="1"/>
    <col min="2" max="2" width="15.140625" style="9" customWidth="1"/>
    <col min="3" max="3" width="8" style="9" customWidth="1"/>
    <col min="4" max="4" width="8.42578125" style="9" customWidth="1"/>
    <col min="5" max="5" width="7.28515625" style="9" customWidth="1"/>
    <col min="6" max="6" width="7.5703125" style="9" customWidth="1"/>
    <col min="7" max="7" width="7" style="9" customWidth="1"/>
    <col min="8" max="8" width="7.42578125" style="9" customWidth="1"/>
    <col min="9" max="9" width="7.5703125" style="9" customWidth="1"/>
    <col min="10" max="11" width="7.42578125" style="9" customWidth="1"/>
    <col min="12" max="12" width="7.140625" style="9" customWidth="1"/>
    <col min="13" max="13" width="7.7109375" style="9" customWidth="1"/>
    <col min="14" max="14" width="6.5703125" style="9" customWidth="1"/>
    <col min="15" max="15" width="7.7109375" style="9" customWidth="1"/>
    <col min="16" max="16" width="6.7109375" style="9" customWidth="1"/>
    <col min="17" max="17" width="7.85546875" style="9" customWidth="1"/>
    <col min="18" max="18" width="6" style="9" customWidth="1"/>
    <col min="19" max="19" width="9.7109375" style="9" customWidth="1"/>
    <col min="20" max="20" width="8.140625" style="9" customWidth="1"/>
    <col min="21" max="16384" width="9.140625" style="9"/>
  </cols>
  <sheetData>
    <row r="1" spans="2:19" ht="12.75" customHeight="1">
      <c r="B1" s="1261" t="s">
        <v>427</v>
      </c>
      <c r="C1" s="1261"/>
      <c r="D1" s="1261"/>
      <c r="E1" s="1261"/>
      <c r="F1" s="1261"/>
      <c r="G1" s="1261"/>
      <c r="H1" s="1261"/>
      <c r="I1" s="1261"/>
      <c r="J1" s="1261"/>
      <c r="K1" s="1261"/>
      <c r="L1" s="1261"/>
      <c r="M1" s="1261"/>
      <c r="N1" s="1261"/>
      <c r="O1" s="1261"/>
      <c r="P1" s="1261"/>
      <c r="Q1" s="1261"/>
      <c r="R1" s="1261"/>
      <c r="S1" s="1261"/>
    </row>
    <row r="2" spans="2:19" ht="17.25" customHeight="1">
      <c r="B2" s="1326" t="str">
        <f>CONCATENATE("Distribution of Population over different categories of workers and non-workers in the district of ",District!$A$1,", 2011")</f>
        <v>Distribution of Population over different categories of workers and non-workers in the district of Nadia, 2011</v>
      </c>
      <c r="C2" s="1326"/>
      <c r="D2" s="1326"/>
      <c r="E2" s="1326"/>
      <c r="F2" s="1326"/>
      <c r="G2" s="1326"/>
      <c r="H2" s="1326"/>
      <c r="I2" s="1326"/>
      <c r="J2" s="1326"/>
      <c r="K2" s="1326"/>
      <c r="L2" s="1326"/>
      <c r="M2" s="1326"/>
      <c r="N2" s="1326"/>
      <c r="O2" s="1326"/>
      <c r="P2" s="1326"/>
      <c r="Q2" s="1326"/>
      <c r="R2" s="1326"/>
      <c r="S2" s="1326"/>
    </row>
    <row r="3" spans="2:19">
      <c r="B3" s="214"/>
      <c r="C3" s="215"/>
      <c r="D3" s="215"/>
      <c r="E3" s="215"/>
      <c r="F3" s="215"/>
      <c r="G3" s="215"/>
      <c r="H3" s="215"/>
      <c r="I3" s="215"/>
      <c r="J3" s="215"/>
      <c r="K3" s="215"/>
      <c r="L3" s="215"/>
      <c r="M3" s="215"/>
      <c r="N3" s="215"/>
      <c r="O3" s="215"/>
      <c r="P3" s="215"/>
      <c r="Q3" s="215"/>
      <c r="R3" s="215"/>
      <c r="S3" s="543" t="s">
        <v>864</v>
      </c>
    </row>
    <row r="4" spans="2:19" ht="15" customHeight="1">
      <c r="B4" s="1262" t="s">
        <v>901</v>
      </c>
      <c r="C4" s="1251" t="s">
        <v>1028</v>
      </c>
      <c r="D4" s="1252"/>
      <c r="E4" s="1253" t="s">
        <v>298</v>
      </c>
      <c r="F4" s="1251"/>
      <c r="G4" s="1251"/>
      <c r="H4" s="1251"/>
      <c r="I4" s="1251"/>
      <c r="J4" s="1251"/>
      <c r="K4" s="1251"/>
      <c r="L4" s="1252"/>
      <c r="M4" s="1253" t="s">
        <v>300</v>
      </c>
      <c r="N4" s="1252"/>
      <c r="O4" s="1253" t="s">
        <v>301</v>
      </c>
      <c r="P4" s="1252"/>
      <c r="Q4" s="1253" t="s">
        <v>130</v>
      </c>
      <c r="R4" s="1252"/>
      <c r="S4" s="1262" t="s">
        <v>302</v>
      </c>
    </row>
    <row r="5" spans="2:19" ht="29.25" customHeight="1">
      <c r="B5" s="1300"/>
      <c r="C5" s="1257" t="s">
        <v>285</v>
      </c>
      <c r="D5" s="1266" t="s">
        <v>252</v>
      </c>
      <c r="E5" s="1253" t="s">
        <v>287</v>
      </c>
      <c r="F5" s="1252"/>
      <c r="G5" s="1321" t="s">
        <v>1445</v>
      </c>
      <c r="H5" s="1322"/>
      <c r="I5" s="1321" t="s">
        <v>1446</v>
      </c>
      <c r="J5" s="1322"/>
      <c r="K5" s="1253" t="s">
        <v>299</v>
      </c>
      <c r="L5" s="1252"/>
      <c r="M5" s="1257" t="s">
        <v>111</v>
      </c>
      <c r="N5" s="1266" t="s">
        <v>252</v>
      </c>
      <c r="O5" s="1257" t="s">
        <v>111</v>
      </c>
      <c r="P5" s="1266" t="s">
        <v>252</v>
      </c>
      <c r="Q5" s="1257" t="s">
        <v>111</v>
      </c>
      <c r="R5" s="1266" t="s">
        <v>252</v>
      </c>
      <c r="S5" s="1300"/>
    </row>
    <row r="6" spans="2:19" ht="18" customHeight="1">
      <c r="B6" s="1263"/>
      <c r="C6" s="1258"/>
      <c r="D6" s="1325"/>
      <c r="E6" s="221" t="s">
        <v>111</v>
      </c>
      <c r="F6" s="862" t="s">
        <v>286</v>
      </c>
      <c r="G6" s="221" t="s">
        <v>111</v>
      </c>
      <c r="H6" s="862" t="s">
        <v>286</v>
      </c>
      <c r="I6" s="221" t="s">
        <v>111</v>
      </c>
      <c r="J6" s="862" t="s">
        <v>286</v>
      </c>
      <c r="K6" s="221" t="s">
        <v>111</v>
      </c>
      <c r="L6" s="862" t="s">
        <v>286</v>
      </c>
      <c r="M6" s="1258"/>
      <c r="N6" s="1325"/>
      <c r="O6" s="1258"/>
      <c r="P6" s="1325"/>
      <c r="Q6" s="1258"/>
      <c r="R6" s="1325"/>
      <c r="S6" s="1263"/>
    </row>
    <row r="7" spans="2:19" ht="15.75" customHeight="1">
      <c r="B7" s="225" t="s">
        <v>163</v>
      </c>
      <c r="C7" s="225" t="s">
        <v>164</v>
      </c>
      <c r="D7" s="863" t="s">
        <v>165</v>
      </c>
      <c r="E7" s="225" t="s">
        <v>166</v>
      </c>
      <c r="F7" s="864" t="s">
        <v>167</v>
      </c>
      <c r="G7" s="225" t="s">
        <v>168</v>
      </c>
      <c r="H7" s="864" t="s">
        <v>169</v>
      </c>
      <c r="I7" s="225" t="s">
        <v>211</v>
      </c>
      <c r="J7" s="864" t="s">
        <v>212</v>
      </c>
      <c r="K7" s="225" t="s">
        <v>213</v>
      </c>
      <c r="L7" s="864" t="s">
        <v>214</v>
      </c>
      <c r="M7" s="225" t="s">
        <v>253</v>
      </c>
      <c r="N7" s="225" t="s">
        <v>254</v>
      </c>
      <c r="O7" s="225" t="s">
        <v>255</v>
      </c>
      <c r="P7" s="225" t="s">
        <v>256</v>
      </c>
      <c r="Q7" s="225" t="s">
        <v>257</v>
      </c>
      <c r="R7" s="225" t="s">
        <v>262</v>
      </c>
      <c r="S7" s="225" t="s">
        <v>264</v>
      </c>
    </row>
    <row r="8" spans="2:19" ht="21" customHeight="1">
      <c r="B8" s="865" t="str">
        <f>District!A5</f>
        <v xml:space="preserve">Tehatta Sub-Div. </v>
      </c>
      <c r="C8" s="20">
        <f>SUM(C9:C12)</f>
        <v>265298</v>
      </c>
      <c r="D8" s="150">
        <f t="shared" ref="D8:D22" si="0">ROUND(C8/$S8*100,2)</f>
        <v>33.32</v>
      </c>
      <c r="E8" s="20">
        <f>SUM(E9:E12)</f>
        <v>68551</v>
      </c>
      <c r="F8" s="150">
        <f t="shared" ref="F8:F22" si="1">ROUND(E8/$C8*100,2)</f>
        <v>25.84</v>
      </c>
      <c r="G8" s="20">
        <f>SUM(G9:G12)</f>
        <v>126797</v>
      </c>
      <c r="H8" s="150">
        <f>ROUND(G8/$C8*100,2)+0.01</f>
        <v>47.8</v>
      </c>
      <c r="I8" s="20">
        <f>SUM(I9:I12)</f>
        <v>10277</v>
      </c>
      <c r="J8" s="150">
        <f t="shared" ref="J8:J22" si="2">ROUND(I8/$C8*100,2)</f>
        <v>3.87</v>
      </c>
      <c r="K8" s="20">
        <f>SUM(K9:K12)</f>
        <v>59673</v>
      </c>
      <c r="L8" s="150">
        <f>ROUND(K8/$C8*100,2)</f>
        <v>22.49</v>
      </c>
      <c r="M8" s="20">
        <f>SUM(M9:M12)</f>
        <v>230390</v>
      </c>
      <c r="N8" s="150">
        <f>ROUND(M8/$S8*100,2)+0.01</f>
        <v>28.94</v>
      </c>
      <c r="O8" s="20">
        <f>SUM(O9:O12)</f>
        <v>34908</v>
      </c>
      <c r="P8" s="150">
        <f t="shared" ref="P8:P22" si="3">ROUND(O8/$S8*100,2)</f>
        <v>4.38</v>
      </c>
      <c r="Q8" s="20">
        <f>SUM(Q9:Q12)</f>
        <v>530947</v>
      </c>
      <c r="R8" s="150">
        <f t="shared" ref="R8:R22" si="4">ROUND(Q8/$S8*100,2)</f>
        <v>66.680000000000007</v>
      </c>
      <c r="S8" s="118">
        <f>SUM(S9:S12)</f>
        <v>796245</v>
      </c>
    </row>
    <row r="9" spans="2:19" ht="21" customHeight="1">
      <c r="B9" s="710" t="s">
        <v>1118</v>
      </c>
      <c r="C9" s="45">
        <v>63760</v>
      </c>
      <c r="D9" s="151">
        <f t="shared" si="0"/>
        <v>34.74</v>
      </c>
      <c r="E9" s="47">
        <v>14829</v>
      </c>
      <c r="F9" s="151">
        <f t="shared" si="1"/>
        <v>23.26</v>
      </c>
      <c r="G9" s="209">
        <v>30844</v>
      </c>
      <c r="H9" s="151">
        <f t="shared" ref="H9:H22" si="5">ROUND(G9/$C9*100,2)</f>
        <v>48.38</v>
      </c>
      <c r="I9" s="209">
        <v>2251</v>
      </c>
      <c r="J9" s="151">
        <f t="shared" si="2"/>
        <v>3.53</v>
      </c>
      <c r="K9" s="209">
        <v>15836</v>
      </c>
      <c r="L9" s="151">
        <f>ROUND(K9/$C9*100,2)</f>
        <v>24.84</v>
      </c>
      <c r="M9" s="209">
        <v>53619</v>
      </c>
      <c r="N9" s="151">
        <f t="shared" ref="N9:N22" si="6">ROUND(M9/$S9*100,2)</f>
        <v>29.21</v>
      </c>
      <c r="O9" s="209">
        <v>10141</v>
      </c>
      <c r="P9" s="151">
        <f t="shared" si="3"/>
        <v>5.52</v>
      </c>
      <c r="Q9" s="209">
        <v>119796</v>
      </c>
      <c r="R9" s="151">
        <f t="shared" si="4"/>
        <v>65.260000000000005</v>
      </c>
      <c r="S9" s="81">
        <f t="shared" ref="S9:S45" si="7">SUM(Q9,O9,M9)</f>
        <v>183556</v>
      </c>
    </row>
    <row r="10" spans="2:19" ht="21" customHeight="1">
      <c r="B10" s="710" t="s">
        <v>1119</v>
      </c>
      <c r="C10" s="45">
        <v>73029</v>
      </c>
      <c r="D10" s="151">
        <f t="shared" si="0"/>
        <v>33.630000000000003</v>
      </c>
      <c r="E10" s="47">
        <v>17368</v>
      </c>
      <c r="F10" s="151">
        <f t="shared" si="1"/>
        <v>23.78</v>
      </c>
      <c r="G10" s="209">
        <v>40544</v>
      </c>
      <c r="H10" s="151">
        <f t="shared" si="5"/>
        <v>55.52</v>
      </c>
      <c r="I10" s="209">
        <v>3021</v>
      </c>
      <c r="J10" s="151">
        <f t="shared" si="2"/>
        <v>4.1399999999999997</v>
      </c>
      <c r="K10" s="209">
        <v>12096</v>
      </c>
      <c r="L10" s="151">
        <f>ROUND(K10/$C10*100,2)</f>
        <v>16.559999999999999</v>
      </c>
      <c r="M10" s="209">
        <v>63177</v>
      </c>
      <c r="N10" s="151">
        <f t="shared" si="6"/>
        <v>29.1</v>
      </c>
      <c r="O10" s="209">
        <v>9852</v>
      </c>
      <c r="P10" s="151">
        <f t="shared" si="3"/>
        <v>4.54</v>
      </c>
      <c r="Q10" s="209">
        <v>144107</v>
      </c>
      <c r="R10" s="151">
        <f t="shared" si="4"/>
        <v>66.37</v>
      </c>
      <c r="S10" s="81">
        <f t="shared" si="7"/>
        <v>217136</v>
      </c>
    </row>
    <row r="11" spans="2:19" ht="21" customHeight="1">
      <c r="B11" s="710" t="s">
        <v>1121</v>
      </c>
      <c r="C11" s="45">
        <v>81871</v>
      </c>
      <c r="D11" s="151">
        <f t="shared" si="0"/>
        <v>33.51</v>
      </c>
      <c r="E11" s="47">
        <v>21973</v>
      </c>
      <c r="F11" s="151">
        <f t="shared" si="1"/>
        <v>26.84</v>
      </c>
      <c r="G11" s="209">
        <v>34935</v>
      </c>
      <c r="H11" s="151">
        <f t="shared" si="5"/>
        <v>42.67</v>
      </c>
      <c r="I11" s="209">
        <v>4140</v>
      </c>
      <c r="J11" s="151">
        <f t="shared" si="2"/>
        <v>5.0599999999999996</v>
      </c>
      <c r="K11" s="209">
        <v>20823</v>
      </c>
      <c r="L11" s="151">
        <f>ROUND(K11/$C11*100,2)</f>
        <v>25.43</v>
      </c>
      <c r="M11" s="209">
        <v>72551</v>
      </c>
      <c r="N11" s="151">
        <f t="shared" si="6"/>
        <v>29.69</v>
      </c>
      <c r="O11" s="209">
        <v>9320</v>
      </c>
      <c r="P11" s="151">
        <f t="shared" si="3"/>
        <v>3.81</v>
      </c>
      <c r="Q11" s="209">
        <v>162451</v>
      </c>
      <c r="R11" s="151">
        <f t="shared" si="4"/>
        <v>66.489999999999995</v>
      </c>
      <c r="S11" s="81">
        <f t="shared" si="7"/>
        <v>244322</v>
      </c>
    </row>
    <row r="12" spans="2:19" ht="21" customHeight="1">
      <c r="B12" s="710" t="s">
        <v>1120</v>
      </c>
      <c r="C12" s="45">
        <v>46638</v>
      </c>
      <c r="D12" s="151">
        <f t="shared" si="0"/>
        <v>30.84</v>
      </c>
      <c r="E12" s="47">
        <v>14381</v>
      </c>
      <c r="F12" s="151">
        <f t="shared" si="1"/>
        <v>30.84</v>
      </c>
      <c r="G12" s="209">
        <v>20474</v>
      </c>
      <c r="H12" s="151">
        <f t="shared" si="5"/>
        <v>43.9</v>
      </c>
      <c r="I12" s="209">
        <v>865</v>
      </c>
      <c r="J12" s="151">
        <f t="shared" si="2"/>
        <v>1.85</v>
      </c>
      <c r="K12" s="209">
        <v>10918</v>
      </c>
      <c r="L12" s="151">
        <f>ROUND(K12/$C12*100,2)</f>
        <v>23.41</v>
      </c>
      <c r="M12" s="209">
        <v>41043</v>
      </c>
      <c r="N12" s="151">
        <f t="shared" si="6"/>
        <v>27.14</v>
      </c>
      <c r="O12" s="209">
        <v>5595</v>
      </c>
      <c r="P12" s="151">
        <f t="shared" si="3"/>
        <v>3.7</v>
      </c>
      <c r="Q12" s="209">
        <v>104593</v>
      </c>
      <c r="R12" s="151">
        <f t="shared" si="4"/>
        <v>69.16</v>
      </c>
      <c r="S12" s="81">
        <f t="shared" si="7"/>
        <v>151231</v>
      </c>
    </row>
    <row r="13" spans="2:19" ht="27.75" customHeight="1">
      <c r="B13" s="866" t="s">
        <v>1607</v>
      </c>
      <c r="C13" s="20">
        <f>SUM(C14:C22)</f>
        <v>710918</v>
      </c>
      <c r="D13" s="150">
        <f t="shared" si="0"/>
        <v>34.729999999999997</v>
      </c>
      <c r="E13" s="20">
        <f>SUM(E14:E22)</f>
        <v>119580</v>
      </c>
      <c r="F13" s="150">
        <f t="shared" si="1"/>
        <v>16.82</v>
      </c>
      <c r="G13" s="20">
        <f>SUM(G14:G22)</f>
        <v>241584</v>
      </c>
      <c r="H13" s="150">
        <f t="shared" si="5"/>
        <v>33.979999999999997</v>
      </c>
      <c r="I13" s="20">
        <f>SUM(I14:I22)</f>
        <v>58249</v>
      </c>
      <c r="J13" s="150">
        <f t="shared" si="2"/>
        <v>8.19</v>
      </c>
      <c r="K13" s="20">
        <f>SUM(K14:K22)</f>
        <v>291505</v>
      </c>
      <c r="L13" s="150">
        <f>ROUND(K13/$C13*100,2)+0.01</f>
        <v>41.01</v>
      </c>
      <c r="M13" s="20">
        <f>SUM(M14:M22)</f>
        <v>606871</v>
      </c>
      <c r="N13" s="150">
        <f t="shared" si="6"/>
        <v>29.65</v>
      </c>
      <c r="O13" s="20">
        <f>SUM(O14:O22)</f>
        <v>104047</v>
      </c>
      <c r="P13" s="150">
        <f t="shared" si="3"/>
        <v>5.08</v>
      </c>
      <c r="Q13" s="20">
        <f>SUM(Q14:Q22)</f>
        <v>1336113</v>
      </c>
      <c r="R13" s="150">
        <f t="shared" si="4"/>
        <v>65.27</v>
      </c>
      <c r="S13" s="118">
        <f>SUM(S14:S22)</f>
        <v>2047031</v>
      </c>
    </row>
    <row r="14" spans="2:19" ht="21" customHeight="1">
      <c r="B14" s="710" t="s">
        <v>1122</v>
      </c>
      <c r="C14" s="45">
        <v>103923</v>
      </c>
      <c r="D14" s="151">
        <f t="shared" si="0"/>
        <v>31.03</v>
      </c>
      <c r="E14" s="47">
        <v>21805</v>
      </c>
      <c r="F14" s="151">
        <f t="shared" si="1"/>
        <v>20.98</v>
      </c>
      <c r="G14" s="209">
        <v>49299</v>
      </c>
      <c r="H14" s="151">
        <f t="shared" si="5"/>
        <v>47.44</v>
      </c>
      <c r="I14" s="209">
        <v>3856</v>
      </c>
      <c r="J14" s="151">
        <f t="shared" si="2"/>
        <v>3.71</v>
      </c>
      <c r="K14" s="209">
        <v>28963</v>
      </c>
      <c r="L14" s="151">
        <f t="shared" ref="L14:L22" si="8">ROUND(K14/$C14*100,2)</f>
        <v>27.87</v>
      </c>
      <c r="M14" s="209">
        <v>88254</v>
      </c>
      <c r="N14" s="151">
        <f t="shared" si="6"/>
        <v>26.35</v>
      </c>
      <c r="O14" s="209">
        <v>15669</v>
      </c>
      <c r="P14" s="151">
        <f t="shared" si="3"/>
        <v>4.68</v>
      </c>
      <c r="Q14" s="209">
        <v>230958</v>
      </c>
      <c r="R14" s="151">
        <f t="shared" si="4"/>
        <v>68.97</v>
      </c>
      <c r="S14" s="81">
        <f t="shared" si="7"/>
        <v>334881</v>
      </c>
    </row>
    <row r="15" spans="2:19" ht="21" customHeight="1">
      <c r="B15" s="710" t="s">
        <v>1123</v>
      </c>
      <c r="C15" s="45">
        <v>125752</v>
      </c>
      <c r="D15" s="151">
        <f t="shared" si="0"/>
        <v>32.53</v>
      </c>
      <c r="E15" s="47">
        <v>25085</v>
      </c>
      <c r="F15" s="151">
        <f t="shared" si="1"/>
        <v>19.95</v>
      </c>
      <c r="G15" s="209">
        <v>58048</v>
      </c>
      <c r="H15" s="151">
        <f t="shared" si="5"/>
        <v>46.16</v>
      </c>
      <c r="I15" s="209">
        <v>8335</v>
      </c>
      <c r="J15" s="151">
        <f t="shared" si="2"/>
        <v>6.63</v>
      </c>
      <c r="K15" s="209">
        <v>34284</v>
      </c>
      <c r="L15" s="151">
        <f t="shared" si="8"/>
        <v>27.26</v>
      </c>
      <c r="M15" s="209">
        <v>103096</v>
      </c>
      <c r="N15" s="151">
        <f t="shared" si="6"/>
        <v>26.67</v>
      </c>
      <c r="O15" s="209">
        <v>22656</v>
      </c>
      <c r="P15" s="151">
        <f t="shared" si="3"/>
        <v>5.86</v>
      </c>
      <c r="Q15" s="209">
        <v>260817</v>
      </c>
      <c r="R15" s="151">
        <f t="shared" si="4"/>
        <v>67.47</v>
      </c>
      <c r="S15" s="81">
        <f t="shared" si="7"/>
        <v>386569</v>
      </c>
    </row>
    <row r="16" spans="2:19" ht="21" customHeight="1">
      <c r="B16" s="710" t="s">
        <v>1124</v>
      </c>
      <c r="C16" s="45">
        <v>98583</v>
      </c>
      <c r="D16" s="151">
        <f t="shared" si="0"/>
        <v>31.73</v>
      </c>
      <c r="E16" s="47">
        <v>26905</v>
      </c>
      <c r="F16" s="151">
        <f t="shared" si="1"/>
        <v>27.29</v>
      </c>
      <c r="G16" s="209">
        <v>47002</v>
      </c>
      <c r="H16" s="151">
        <f t="shared" si="5"/>
        <v>47.68</v>
      </c>
      <c r="I16" s="209">
        <v>2786</v>
      </c>
      <c r="J16" s="151">
        <f t="shared" si="2"/>
        <v>2.83</v>
      </c>
      <c r="K16" s="209">
        <v>21890</v>
      </c>
      <c r="L16" s="151">
        <f t="shared" si="8"/>
        <v>22.2</v>
      </c>
      <c r="M16" s="209">
        <v>79234</v>
      </c>
      <c r="N16" s="151">
        <f t="shared" si="6"/>
        <v>25.51</v>
      </c>
      <c r="O16" s="209">
        <v>19349</v>
      </c>
      <c r="P16" s="151">
        <f t="shared" si="3"/>
        <v>6.23</v>
      </c>
      <c r="Q16" s="209">
        <v>212069</v>
      </c>
      <c r="R16" s="151">
        <f t="shared" si="4"/>
        <v>68.27</v>
      </c>
      <c r="S16" s="81">
        <f t="shared" si="7"/>
        <v>310652</v>
      </c>
    </row>
    <row r="17" spans="2:19" ht="21" customHeight="1">
      <c r="B17" s="710" t="s">
        <v>1125</v>
      </c>
      <c r="C17" s="45">
        <v>52608</v>
      </c>
      <c r="D17" s="151">
        <f t="shared" si="0"/>
        <v>35.86</v>
      </c>
      <c r="E17" s="47">
        <v>12230</v>
      </c>
      <c r="F17" s="151">
        <f t="shared" si="1"/>
        <v>23.25</v>
      </c>
      <c r="G17" s="209">
        <v>19844</v>
      </c>
      <c r="H17" s="151">
        <f t="shared" si="5"/>
        <v>37.72</v>
      </c>
      <c r="I17" s="209">
        <v>3551</v>
      </c>
      <c r="J17" s="151">
        <f t="shared" si="2"/>
        <v>6.75</v>
      </c>
      <c r="K17" s="209">
        <v>16983</v>
      </c>
      <c r="L17" s="151">
        <f t="shared" si="8"/>
        <v>32.28</v>
      </c>
      <c r="M17" s="209">
        <v>45723</v>
      </c>
      <c r="N17" s="151">
        <f t="shared" si="6"/>
        <v>31.17</v>
      </c>
      <c r="O17" s="209">
        <v>6885</v>
      </c>
      <c r="P17" s="151">
        <f t="shared" si="3"/>
        <v>4.6900000000000004</v>
      </c>
      <c r="Q17" s="209">
        <v>94097</v>
      </c>
      <c r="R17" s="151">
        <f t="shared" si="4"/>
        <v>64.14</v>
      </c>
      <c r="S17" s="81">
        <f t="shared" si="7"/>
        <v>146705</v>
      </c>
    </row>
    <row r="18" spans="2:19" ht="21" customHeight="1">
      <c r="B18" s="710" t="s">
        <v>1126</v>
      </c>
      <c r="C18" s="45">
        <v>118548</v>
      </c>
      <c r="D18" s="151">
        <f t="shared" si="0"/>
        <v>37.65</v>
      </c>
      <c r="E18" s="47">
        <v>19580</v>
      </c>
      <c r="F18" s="151">
        <f t="shared" si="1"/>
        <v>16.52</v>
      </c>
      <c r="G18" s="209">
        <v>38888</v>
      </c>
      <c r="H18" s="151">
        <f t="shared" si="5"/>
        <v>32.799999999999997</v>
      </c>
      <c r="I18" s="209">
        <v>13601</v>
      </c>
      <c r="J18" s="151">
        <f t="shared" si="2"/>
        <v>11.47</v>
      </c>
      <c r="K18" s="209">
        <v>46479</v>
      </c>
      <c r="L18" s="151">
        <f t="shared" si="8"/>
        <v>39.21</v>
      </c>
      <c r="M18" s="209">
        <v>104993</v>
      </c>
      <c r="N18" s="151">
        <f t="shared" si="6"/>
        <v>33.35</v>
      </c>
      <c r="O18" s="209">
        <v>13555</v>
      </c>
      <c r="P18" s="151">
        <f t="shared" si="3"/>
        <v>4.3099999999999996</v>
      </c>
      <c r="Q18" s="209">
        <v>196285</v>
      </c>
      <c r="R18" s="151">
        <f t="shared" si="4"/>
        <v>62.35</v>
      </c>
      <c r="S18" s="81">
        <f t="shared" si="7"/>
        <v>314833</v>
      </c>
    </row>
    <row r="19" spans="2:19" ht="21" customHeight="1">
      <c r="B19" s="710" t="s">
        <v>1127</v>
      </c>
      <c r="C19" s="45">
        <v>54881</v>
      </c>
      <c r="D19" s="151">
        <f t="shared" si="0"/>
        <v>35.86</v>
      </c>
      <c r="E19" s="47">
        <v>296</v>
      </c>
      <c r="F19" s="151">
        <f t="shared" si="1"/>
        <v>0.54</v>
      </c>
      <c r="G19" s="209">
        <v>264</v>
      </c>
      <c r="H19" s="151">
        <f t="shared" si="5"/>
        <v>0.48</v>
      </c>
      <c r="I19" s="209">
        <v>1847</v>
      </c>
      <c r="J19" s="151">
        <f t="shared" si="2"/>
        <v>3.37</v>
      </c>
      <c r="K19" s="209">
        <v>52474</v>
      </c>
      <c r="L19" s="151">
        <f t="shared" si="8"/>
        <v>95.61</v>
      </c>
      <c r="M19" s="209">
        <v>50720</v>
      </c>
      <c r="N19" s="151">
        <f t="shared" si="6"/>
        <v>33.14</v>
      </c>
      <c r="O19" s="209">
        <v>4161</v>
      </c>
      <c r="P19" s="151">
        <f t="shared" si="3"/>
        <v>2.72</v>
      </c>
      <c r="Q19" s="209">
        <v>98181</v>
      </c>
      <c r="R19" s="151">
        <f t="shared" si="4"/>
        <v>64.14</v>
      </c>
      <c r="S19" s="81">
        <f t="shared" si="7"/>
        <v>153062</v>
      </c>
    </row>
    <row r="20" spans="2:19" ht="21" customHeight="1">
      <c r="B20" s="710" t="s">
        <v>1128</v>
      </c>
      <c r="C20" s="45">
        <v>52618</v>
      </c>
      <c r="D20" s="151">
        <f t="shared" si="0"/>
        <v>37.729999999999997</v>
      </c>
      <c r="E20" s="47">
        <v>8593</v>
      </c>
      <c r="F20" s="151">
        <f t="shared" si="1"/>
        <v>16.329999999999998</v>
      </c>
      <c r="G20" s="209">
        <v>18764</v>
      </c>
      <c r="H20" s="151">
        <f t="shared" si="5"/>
        <v>35.659999999999997</v>
      </c>
      <c r="I20" s="209">
        <v>4543</v>
      </c>
      <c r="J20" s="151">
        <f t="shared" si="2"/>
        <v>8.6300000000000008</v>
      </c>
      <c r="K20" s="209">
        <v>20718</v>
      </c>
      <c r="L20" s="151">
        <f t="shared" si="8"/>
        <v>39.369999999999997</v>
      </c>
      <c r="M20" s="209">
        <v>42535</v>
      </c>
      <c r="N20" s="151">
        <f t="shared" si="6"/>
        <v>30.5</v>
      </c>
      <c r="O20" s="209">
        <v>10083</v>
      </c>
      <c r="P20" s="151">
        <f t="shared" si="3"/>
        <v>7.23</v>
      </c>
      <c r="Q20" s="209">
        <v>86854</v>
      </c>
      <c r="R20" s="151">
        <f t="shared" si="4"/>
        <v>62.27</v>
      </c>
      <c r="S20" s="81">
        <f t="shared" si="7"/>
        <v>139472</v>
      </c>
    </row>
    <row r="21" spans="2:19" ht="21" customHeight="1">
      <c r="B21" s="710" t="s">
        <v>90</v>
      </c>
      <c r="C21" s="45">
        <v>53111</v>
      </c>
      <c r="D21" s="151">
        <f t="shared" si="0"/>
        <v>39.25</v>
      </c>
      <c r="E21" s="47">
        <v>4890</v>
      </c>
      <c r="F21" s="151">
        <f t="shared" si="1"/>
        <v>9.2100000000000009</v>
      </c>
      <c r="G21" s="209">
        <v>8909</v>
      </c>
      <c r="H21" s="151">
        <f t="shared" si="5"/>
        <v>16.77</v>
      </c>
      <c r="I21" s="209">
        <v>14343</v>
      </c>
      <c r="J21" s="151">
        <f t="shared" si="2"/>
        <v>27.01</v>
      </c>
      <c r="K21" s="209">
        <v>24969</v>
      </c>
      <c r="L21" s="151">
        <f t="shared" si="8"/>
        <v>47.01</v>
      </c>
      <c r="M21" s="209">
        <v>46128</v>
      </c>
      <c r="N21" s="151">
        <f t="shared" si="6"/>
        <v>34.090000000000003</v>
      </c>
      <c r="O21" s="209">
        <v>6983</v>
      </c>
      <c r="P21" s="151">
        <f t="shared" si="3"/>
        <v>5.16</v>
      </c>
      <c r="Q21" s="209">
        <v>82203</v>
      </c>
      <c r="R21" s="151">
        <f t="shared" si="4"/>
        <v>60.75</v>
      </c>
      <c r="S21" s="81">
        <f t="shared" si="7"/>
        <v>135314</v>
      </c>
    </row>
    <row r="22" spans="2:19" ht="21" customHeight="1">
      <c r="B22" s="867" t="s">
        <v>1130</v>
      </c>
      <c r="C22" s="212">
        <v>50894</v>
      </c>
      <c r="D22" s="160">
        <f t="shared" si="0"/>
        <v>40.54</v>
      </c>
      <c r="E22" s="212">
        <v>196</v>
      </c>
      <c r="F22" s="160">
        <f t="shared" si="1"/>
        <v>0.39</v>
      </c>
      <c r="G22" s="155">
        <v>566</v>
      </c>
      <c r="H22" s="160">
        <f t="shared" si="5"/>
        <v>1.1100000000000001</v>
      </c>
      <c r="I22" s="155">
        <v>5387</v>
      </c>
      <c r="J22" s="160">
        <f t="shared" si="2"/>
        <v>10.58</v>
      </c>
      <c r="K22" s="155">
        <v>44745</v>
      </c>
      <c r="L22" s="160">
        <f t="shared" si="8"/>
        <v>87.92</v>
      </c>
      <c r="M22" s="155">
        <v>46188</v>
      </c>
      <c r="N22" s="160">
        <f t="shared" si="6"/>
        <v>36.79</v>
      </c>
      <c r="O22" s="155">
        <v>4706</v>
      </c>
      <c r="P22" s="160">
        <f t="shared" si="3"/>
        <v>3.75</v>
      </c>
      <c r="Q22" s="155">
        <v>74649</v>
      </c>
      <c r="R22" s="160">
        <f t="shared" si="4"/>
        <v>59.46</v>
      </c>
      <c r="S22" s="129">
        <f t="shared" si="7"/>
        <v>125543</v>
      </c>
    </row>
    <row r="23" spans="2:19" ht="21.75" customHeight="1">
      <c r="B23" s="868"/>
      <c r="C23" s="172"/>
      <c r="D23" s="192"/>
      <c r="E23" s="172"/>
      <c r="F23" s="192"/>
      <c r="G23" s="173"/>
      <c r="H23" s="192"/>
      <c r="I23" s="173"/>
      <c r="J23" s="192"/>
      <c r="K23" s="173"/>
      <c r="L23" s="192"/>
      <c r="M23" s="173"/>
      <c r="N23" s="192"/>
      <c r="O23" s="173"/>
      <c r="P23" s="192"/>
      <c r="Q23" s="173"/>
      <c r="R23" s="192"/>
      <c r="S23" s="243" t="s">
        <v>1458</v>
      </c>
    </row>
    <row r="24" spans="2:19" ht="12.75" customHeight="1">
      <c r="B24" s="1261" t="s">
        <v>1473</v>
      </c>
      <c r="C24" s="1261"/>
      <c r="D24" s="1261"/>
      <c r="E24" s="1261"/>
      <c r="F24" s="1261"/>
      <c r="G24" s="1261"/>
      <c r="H24" s="1261"/>
      <c r="I24" s="1261"/>
      <c r="J24" s="1261"/>
      <c r="K24" s="1261"/>
      <c r="L24" s="1261"/>
      <c r="M24" s="1261"/>
      <c r="N24" s="1261"/>
      <c r="O24" s="1261"/>
      <c r="P24" s="1261"/>
      <c r="Q24" s="1261"/>
      <c r="R24" s="1261"/>
      <c r="S24" s="1261"/>
    </row>
    <row r="25" spans="2:19">
      <c r="B25" s="214"/>
      <c r="C25" s="215"/>
      <c r="D25" s="215"/>
      <c r="E25" s="215"/>
      <c r="F25" s="215"/>
      <c r="G25" s="215"/>
      <c r="H25" s="215"/>
      <c r="I25" s="215"/>
      <c r="J25" s="215"/>
      <c r="K25" s="215"/>
      <c r="L25" s="215"/>
      <c r="M25" s="215"/>
      <c r="N25" s="215"/>
      <c r="O25" s="215"/>
      <c r="P25" s="215"/>
      <c r="Q25" s="215"/>
      <c r="R25" s="215"/>
      <c r="S25" s="543" t="s">
        <v>864</v>
      </c>
    </row>
    <row r="26" spans="2:19" ht="12.75" customHeight="1">
      <c r="B26" s="1262" t="s">
        <v>1652</v>
      </c>
      <c r="C26" s="1251" t="s">
        <v>1028</v>
      </c>
      <c r="D26" s="1252"/>
      <c r="E26" s="1253" t="s">
        <v>298</v>
      </c>
      <c r="F26" s="1251"/>
      <c r="G26" s="1251"/>
      <c r="H26" s="1251"/>
      <c r="I26" s="1251"/>
      <c r="J26" s="1251"/>
      <c r="K26" s="1251"/>
      <c r="L26" s="1252"/>
      <c r="M26" s="1253" t="s">
        <v>300</v>
      </c>
      <c r="N26" s="1252"/>
      <c r="O26" s="1253" t="s">
        <v>301</v>
      </c>
      <c r="P26" s="1252"/>
      <c r="Q26" s="1253" t="s">
        <v>130</v>
      </c>
      <c r="R26" s="1252"/>
      <c r="S26" s="1262" t="s">
        <v>302</v>
      </c>
    </row>
    <row r="27" spans="2:19" ht="28.5" customHeight="1">
      <c r="B27" s="1300"/>
      <c r="C27" s="1257" t="s">
        <v>285</v>
      </c>
      <c r="D27" s="1266" t="s">
        <v>252</v>
      </c>
      <c r="E27" s="1253" t="s">
        <v>287</v>
      </c>
      <c r="F27" s="1252"/>
      <c r="G27" s="1321" t="s">
        <v>1445</v>
      </c>
      <c r="H27" s="1322"/>
      <c r="I27" s="1321" t="s">
        <v>1446</v>
      </c>
      <c r="J27" s="1322"/>
      <c r="K27" s="1253" t="s">
        <v>299</v>
      </c>
      <c r="L27" s="1252"/>
      <c r="M27" s="1257" t="s">
        <v>111</v>
      </c>
      <c r="N27" s="1266" t="s">
        <v>252</v>
      </c>
      <c r="O27" s="1257" t="s">
        <v>111</v>
      </c>
      <c r="P27" s="1266" t="s">
        <v>252</v>
      </c>
      <c r="Q27" s="1257" t="s">
        <v>111</v>
      </c>
      <c r="R27" s="1266" t="s">
        <v>252</v>
      </c>
      <c r="S27" s="1300"/>
    </row>
    <row r="28" spans="2:19" ht="15" customHeight="1">
      <c r="B28" s="1263"/>
      <c r="C28" s="1258"/>
      <c r="D28" s="1325"/>
      <c r="E28" s="221" t="s">
        <v>111</v>
      </c>
      <c r="F28" s="862" t="s">
        <v>286</v>
      </c>
      <c r="G28" s="221" t="s">
        <v>111</v>
      </c>
      <c r="H28" s="862" t="s">
        <v>286</v>
      </c>
      <c r="I28" s="221" t="s">
        <v>111</v>
      </c>
      <c r="J28" s="862" t="s">
        <v>286</v>
      </c>
      <c r="K28" s="221" t="s">
        <v>111</v>
      </c>
      <c r="L28" s="862" t="s">
        <v>286</v>
      </c>
      <c r="M28" s="1258"/>
      <c r="N28" s="1325"/>
      <c r="O28" s="1258"/>
      <c r="P28" s="1325"/>
      <c r="Q28" s="1258"/>
      <c r="R28" s="1325"/>
      <c r="S28" s="1263"/>
    </row>
    <row r="29" spans="2:19" ht="17.25" customHeight="1">
      <c r="B29" s="225" t="s">
        <v>163</v>
      </c>
      <c r="C29" s="225" t="s">
        <v>164</v>
      </c>
      <c r="D29" s="863" t="s">
        <v>165</v>
      </c>
      <c r="E29" s="225" t="s">
        <v>166</v>
      </c>
      <c r="F29" s="864" t="s">
        <v>167</v>
      </c>
      <c r="G29" s="225" t="s">
        <v>168</v>
      </c>
      <c r="H29" s="864" t="s">
        <v>169</v>
      </c>
      <c r="I29" s="225" t="s">
        <v>211</v>
      </c>
      <c r="J29" s="864" t="s">
        <v>212</v>
      </c>
      <c r="K29" s="225" t="s">
        <v>213</v>
      </c>
      <c r="L29" s="864" t="s">
        <v>214</v>
      </c>
      <c r="M29" s="225" t="s">
        <v>253</v>
      </c>
      <c r="N29" s="225" t="s">
        <v>254</v>
      </c>
      <c r="O29" s="225" t="s">
        <v>255</v>
      </c>
      <c r="P29" s="225" t="s">
        <v>256</v>
      </c>
      <c r="Q29" s="225" t="s">
        <v>257</v>
      </c>
      <c r="R29" s="225" t="s">
        <v>262</v>
      </c>
      <c r="S29" s="225" t="s">
        <v>264</v>
      </c>
    </row>
    <row r="30" spans="2:19" ht="21" customHeight="1">
      <c r="B30" s="709" t="s">
        <v>805</v>
      </c>
      <c r="C30" s="20">
        <f>SUM(C31:C39)</f>
        <v>543077</v>
      </c>
      <c r="D30" s="150">
        <f t="shared" ref="D30:D46" si="9">ROUND(C30/$S30*100,2)</f>
        <v>37.9</v>
      </c>
      <c r="E30" s="20">
        <f>SUM(E31:E39)</f>
        <v>79539</v>
      </c>
      <c r="F30" s="150">
        <f t="shared" ref="F30:F46" si="10">ROUND(E30/$C30*100,2)</f>
        <v>14.65</v>
      </c>
      <c r="G30" s="20">
        <f>SUM(G31:G39)</f>
        <v>111535</v>
      </c>
      <c r="H30" s="150">
        <f t="shared" ref="H30:H46" si="11">ROUND(G30/$C30*100,2)</f>
        <v>20.54</v>
      </c>
      <c r="I30" s="20">
        <f>SUM(I31:I39)</f>
        <v>87624</v>
      </c>
      <c r="J30" s="150">
        <f t="shared" ref="J30:J46" si="12">ROUND(I30/$C30*100,2)</f>
        <v>16.13</v>
      </c>
      <c r="K30" s="20">
        <f>SUM(K31:K39)</f>
        <v>264379</v>
      </c>
      <c r="L30" s="150">
        <f t="shared" ref="L30:L46" si="13">ROUND(K30/$C30*100,2)</f>
        <v>48.68</v>
      </c>
      <c r="M30" s="20">
        <f>SUM(M31:M39)</f>
        <v>480490</v>
      </c>
      <c r="N30" s="150">
        <f>ROUND(M30/$S30*100,2)-0.01</f>
        <v>33.53</v>
      </c>
      <c r="O30" s="20">
        <f>SUM(O31:O39)</f>
        <v>62587</v>
      </c>
      <c r="P30" s="150">
        <f t="shared" ref="P30:P45" si="14">ROUND(O30/$S30*100,2)</f>
        <v>4.37</v>
      </c>
      <c r="Q30" s="20">
        <f>SUM(Q31:Q39)</f>
        <v>889684</v>
      </c>
      <c r="R30" s="150">
        <f t="shared" ref="R30:R46" si="15">ROUND(Q30/$S30*100,2)</f>
        <v>62.1</v>
      </c>
      <c r="S30" s="118">
        <f>SUM(S31:S39)</f>
        <v>1432761</v>
      </c>
    </row>
    <row r="31" spans="2:19" ht="21" customHeight="1">
      <c r="B31" s="710" t="s">
        <v>1131</v>
      </c>
      <c r="C31" s="45">
        <v>100143</v>
      </c>
      <c r="D31" s="151">
        <f t="shared" si="9"/>
        <v>41.54</v>
      </c>
      <c r="E31" s="47">
        <v>10313</v>
      </c>
      <c r="F31" s="151">
        <f t="shared" si="10"/>
        <v>10.3</v>
      </c>
      <c r="G31" s="209">
        <v>21254</v>
      </c>
      <c r="H31" s="151">
        <f t="shared" si="11"/>
        <v>21.22</v>
      </c>
      <c r="I31" s="209">
        <v>35001</v>
      </c>
      <c r="J31" s="151">
        <f t="shared" si="12"/>
        <v>34.950000000000003</v>
      </c>
      <c r="K31" s="209">
        <v>33575</v>
      </c>
      <c r="L31" s="151">
        <f t="shared" si="13"/>
        <v>33.53</v>
      </c>
      <c r="M31" s="209">
        <v>87336</v>
      </c>
      <c r="N31" s="151">
        <f t="shared" ref="N31:N39" si="16">ROUND(M31/$S31*100,2)</f>
        <v>36.229999999999997</v>
      </c>
      <c r="O31" s="209">
        <v>12807</v>
      </c>
      <c r="P31" s="151">
        <f t="shared" si="14"/>
        <v>5.31</v>
      </c>
      <c r="Q31" s="209">
        <v>140937</v>
      </c>
      <c r="R31" s="151">
        <f t="shared" si="15"/>
        <v>58.46</v>
      </c>
      <c r="S31" s="81">
        <f t="shared" si="7"/>
        <v>241080</v>
      </c>
    </row>
    <row r="32" spans="2:19" ht="21" customHeight="1">
      <c r="B32" s="710" t="s">
        <v>1133</v>
      </c>
      <c r="C32" s="45">
        <v>72023</v>
      </c>
      <c r="D32" s="151">
        <f t="shared" si="9"/>
        <v>47.45</v>
      </c>
      <c r="E32" s="47">
        <v>673</v>
      </c>
      <c r="F32" s="151">
        <f t="shared" si="10"/>
        <v>0.93</v>
      </c>
      <c r="G32" s="209">
        <v>683</v>
      </c>
      <c r="H32" s="151">
        <f t="shared" si="11"/>
        <v>0.95</v>
      </c>
      <c r="I32" s="209">
        <v>27041</v>
      </c>
      <c r="J32" s="151">
        <f t="shared" si="12"/>
        <v>37.54</v>
      </c>
      <c r="K32" s="209">
        <v>43626</v>
      </c>
      <c r="L32" s="151">
        <f t="shared" si="13"/>
        <v>60.57</v>
      </c>
      <c r="M32" s="209">
        <v>63783</v>
      </c>
      <c r="N32" s="151">
        <f t="shared" si="16"/>
        <v>42.02</v>
      </c>
      <c r="O32" s="209">
        <v>8240</v>
      </c>
      <c r="P32" s="151">
        <f t="shared" si="14"/>
        <v>5.43</v>
      </c>
      <c r="Q32" s="209">
        <v>79754</v>
      </c>
      <c r="R32" s="151">
        <f t="shared" si="15"/>
        <v>52.55</v>
      </c>
      <c r="S32" s="81">
        <f t="shared" si="7"/>
        <v>151777</v>
      </c>
    </row>
    <row r="33" spans="2:19" ht="21" customHeight="1">
      <c r="B33" s="710" t="s">
        <v>1134</v>
      </c>
      <c r="C33" s="45">
        <v>104587</v>
      </c>
      <c r="D33" s="151">
        <f t="shared" si="9"/>
        <v>35.69</v>
      </c>
      <c r="E33" s="47">
        <v>26891</v>
      </c>
      <c r="F33" s="151">
        <f t="shared" si="10"/>
        <v>25.71</v>
      </c>
      <c r="G33" s="209">
        <v>30222</v>
      </c>
      <c r="H33" s="151">
        <f t="shared" si="11"/>
        <v>28.9</v>
      </c>
      <c r="I33" s="209">
        <v>7047</v>
      </c>
      <c r="J33" s="151">
        <f t="shared" si="12"/>
        <v>6.74</v>
      </c>
      <c r="K33" s="209">
        <v>40427</v>
      </c>
      <c r="L33" s="151">
        <f t="shared" si="13"/>
        <v>38.65</v>
      </c>
      <c r="M33" s="209">
        <v>89893</v>
      </c>
      <c r="N33" s="151">
        <f t="shared" si="16"/>
        <v>30.68</v>
      </c>
      <c r="O33" s="209">
        <v>14694</v>
      </c>
      <c r="P33" s="151">
        <f t="shared" si="14"/>
        <v>5.01</v>
      </c>
      <c r="Q33" s="209">
        <v>188453</v>
      </c>
      <c r="R33" s="151">
        <f t="shared" si="15"/>
        <v>64.31</v>
      </c>
      <c r="S33" s="81">
        <f t="shared" si="7"/>
        <v>293040</v>
      </c>
    </row>
    <row r="34" spans="2:19" ht="21" customHeight="1">
      <c r="B34" s="710" t="s">
        <v>1623</v>
      </c>
      <c r="C34" s="45">
        <v>84840</v>
      </c>
      <c r="D34" s="151">
        <f t="shared" si="9"/>
        <v>36.520000000000003</v>
      </c>
      <c r="E34" s="47">
        <v>11592</v>
      </c>
      <c r="F34" s="151">
        <f t="shared" si="10"/>
        <v>13.66</v>
      </c>
      <c r="G34" s="209">
        <v>17805</v>
      </c>
      <c r="H34" s="151">
        <f t="shared" si="11"/>
        <v>20.99</v>
      </c>
      <c r="I34" s="209">
        <v>8774</v>
      </c>
      <c r="J34" s="151">
        <f t="shared" si="12"/>
        <v>10.34</v>
      </c>
      <c r="K34" s="209">
        <v>46669</v>
      </c>
      <c r="L34" s="151">
        <f t="shared" si="13"/>
        <v>55.01</v>
      </c>
      <c r="M34" s="209">
        <v>75216</v>
      </c>
      <c r="N34" s="151">
        <f t="shared" si="16"/>
        <v>32.380000000000003</v>
      </c>
      <c r="O34" s="209">
        <v>9624</v>
      </c>
      <c r="P34" s="151">
        <f t="shared" si="14"/>
        <v>4.1399999999999997</v>
      </c>
      <c r="Q34" s="209">
        <v>147442</v>
      </c>
      <c r="R34" s="151">
        <f t="shared" si="15"/>
        <v>63.48</v>
      </c>
      <c r="S34" s="81">
        <f t="shared" si="7"/>
        <v>232282</v>
      </c>
    </row>
    <row r="35" spans="2:19" ht="21" customHeight="1">
      <c r="B35" s="710" t="s">
        <v>768</v>
      </c>
      <c r="C35" s="45">
        <v>26687</v>
      </c>
      <c r="D35" s="151">
        <f t="shared" si="9"/>
        <v>35.409999999999997</v>
      </c>
      <c r="E35" s="47">
        <v>80</v>
      </c>
      <c r="F35" s="151">
        <f t="shared" si="10"/>
        <v>0.3</v>
      </c>
      <c r="G35" s="209">
        <v>73</v>
      </c>
      <c r="H35" s="151">
        <f t="shared" si="11"/>
        <v>0.27</v>
      </c>
      <c r="I35" s="209">
        <v>773</v>
      </c>
      <c r="J35" s="151">
        <f t="shared" si="12"/>
        <v>2.9</v>
      </c>
      <c r="K35" s="209">
        <v>25761</v>
      </c>
      <c r="L35" s="151">
        <f t="shared" si="13"/>
        <v>96.53</v>
      </c>
      <c r="M35" s="209">
        <v>25298</v>
      </c>
      <c r="N35" s="151">
        <f t="shared" si="16"/>
        <v>33.57</v>
      </c>
      <c r="O35" s="209">
        <v>1389</v>
      </c>
      <c r="P35" s="151">
        <f t="shared" si="14"/>
        <v>1.84</v>
      </c>
      <c r="Q35" s="209">
        <v>48678</v>
      </c>
      <c r="R35" s="151">
        <f t="shared" si="15"/>
        <v>64.59</v>
      </c>
      <c r="S35" s="81">
        <f t="shared" si="7"/>
        <v>75365</v>
      </c>
    </row>
    <row r="36" spans="2:19" ht="21" customHeight="1">
      <c r="B36" s="710" t="s">
        <v>1625</v>
      </c>
      <c r="C36" s="45">
        <v>11091</v>
      </c>
      <c r="D36" s="151">
        <f t="shared" si="9"/>
        <v>36.01</v>
      </c>
      <c r="E36" s="47">
        <v>394</v>
      </c>
      <c r="F36" s="151">
        <f t="shared" si="10"/>
        <v>3.55</v>
      </c>
      <c r="G36" s="209">
        <v>1187</v>
      </c>
      <c r="H36" s="151">
        <f t="shared" si="11"/>
        <v>10.7</v>
      </c>
      <c r="I36" s="209">
        <v>1097</v>
      </c>
      <c r="J36" s="151">
        <f t="shared" si="12"/>
        <v>9.89</v>
      </c>
      <c r="K36" s="209">
        <v>8413</v>
      </c>
      <c r="L36" s="151">
        <f t="shared" si="13"/>
        <v>75.849999999999994</v>
      </c>
      <c r="M36" s="209">
        <v>10425</v>
      </c>
      <c r="N36" s="151">
        <f t="shared" si="16"/>
        <v>33.85</v>
      </c>
      <c r="O36" s="209">
        <v>666</v>
      </c>
      <c r="P36" s="151">
        <f t="shared" si="14"/>
        <v>2.16</v>
      </c>
      <c r="Q36" s="209">
        <v>19708</v>
      </c>
      <c r="R36" s="151">
        <f t="shared" si="15"/>
        <v>63.99</v>
      </c>
      <c r="S36" s="81">
        <f t="shared" si="7"/>
        <v>30799</v>
      </c>
    </row>
    <row r="37" spans="2:19" ht="21" customHeight="1">
      <c r="B37" s="710" t="s">
        <v>1626</v>
      </c>
      <c r="C37" s="45">
        <v>7707</v>
      </c>
      <c r="D37" s="151">
        <f t="shared" si="9"/>
        <v>36.89</v>
      </c>
      <c r="E37" s="209">
        <v>86</v>
      </c>
      <c r="F37" s="151">
        <f t="shared" si="10"/>
        <v>1.1200000000000001</v>
      </c>
      <c r="G37" s="209">
        <v>77</v>
      </c>
      <c r="H37" s="151">
        <f t="shared" si="11"/>
        <v>1</v>
      </c>
      <c r="I37" s="209">
        <v>293</v>
      </c>
      <c r="J37" s="151">
        <f t="shared" si="12"/>
        <v>3.8</v>
      </c>
      <c r="K37" s="209">
        <v>7251</v>
      </c>
      <c r="L37" s="151">
        <f t="shared" si="13"/>
        <v>94.08</v>
      </c>
      <c r="M37" s="209">
        <v>7030</v>
      </c>
      <c r="N37" s="151">
        <f t="shared" si="16"/>
        <v>33.65</v>
      </c>
      <c r="O37" s="209">
        <v>677</v>
      </c>
      <c r="P37" s="151">
        <f t="shared" si="14"/>
        <v>3.24</v>
      </c>
      <c r="Q37" s="209">
        <v>13187</v>
      </c>
      <c r="R37" s="151">
        <f t="shared" si="15"/>
        <v>63.11</v>
      </c>
      <c r="S37" s="81">
        <f t="shared" si="7"/>
        <v>20894</v>
      </c>
    </row>
    <row r="38" spans="2:19" ht="21" customHeight="1">
      <c r="B38" s="710" t="s">
        <v>714</v>
      </c>
      <c r="C38" s="45">
        <v>128829</v>
      </c>
      <c r="D38" s="151">
        <f t="shared" si="9"/>
        <v>34.94</v>
      </c>
      <c r="E38" s="209">
        <v>29457</v>
      </c>
      <c r="F38" s="151">
        <f t="shared" si="10"/>
        <v>22.87</v>
      </c>
      <c r="G38" s="209">
        <v>40018</v>
      </c>
      <c r="H38" s="151">
        <f t="shared" si="11"/>
        <v>31.06</v>
      </c>
      <c r="I38" s="209">
        <v>7175</v>
      </c>
      <c r="J38" s="151">
        <f t="shared" si="12"/>
        <v>5.57</v>
      </c>
      <c r="K38" s="209">
        <v>52179</v>
      </c>
      <c r="L38" s="151">
        <f t="shared" si="13"/>
        <v>40.5</v>
      </c>
      <c r="M38" s="209">
        <v>115364</v>
      </c>
      <c r="N38" s="151">
        <f t="shared" si="16"/>
        <v>31.29</v>
      </c>
      <c r="O38" s="209">
        <v>13465</v>
      </c>
      <c r="P38" s="151">
        <f t="shared" si="14"/>
        <v>3.65</v>
      </c>
      <c r="Q38" s="209">
        <v>239852</v>
      </c>
      <c r="R38" s="151">
        <f t="shared" si="15"/>
        <v>65.06</v>
      </c>
      <c r="S38" s="81">
        <f t="shared" si="7"/>
        <v>368681</v>
      </c>
    </row>
    <row r="39" spans="2:19" ht="21" customHeight="1">
      <c r="B39" s="869" t="s">
        <v>1275</v>
      </c>
      <c r="C39" s="45">
        <v>7170</v>
      </c>
      <c r="D39" s="151">
        <f t="shared" si="9"/>
        <v>38.049999999999997</v>
      </c>
      <c r="E39" s="209">
        <v>53</v>
      </c>
      <c r="F39" s="151">
        <f t="shared" si="10"/>
        <v>0.74</v>
      </c>
      <c r="G39" s="209">
        <v>216</v>
      </c>
      <c r="H39" s="151">
        <f t="shared" si="11"/>
        <v>3.01</v>
      </c>
      <c r="I39" s="209">
        <v>423</v>
      </c>
      <c r="J39" s="151">
        <f t="shared" si="12"/>
        <v>5.9</v>
      </c>
      <c r="K39" s="209">
        <v>6478</v>
      </c>
      <c r="L39" s="151">
        <f t="shared" si="13"/>
        <v>90.35</v>
      </c>
      <c r="M39" s="209">
        <v>6145</v>
      </c>
      <c r="N39" s="151">
        <f t="shared" si="16"/>
        <v>32.61</v>
      </c>
      <c r="O39" s="209">
        <v>1025</v>
      </c>
      <c r="P39" s="151">
        <f t="shared" si="14"/>
        <v>5.44</v>
      </c>
      <c r="Q39" s="209">
        <v>11673</v>
      </c>
      <c r="R39" s="151">
        <f t="shared" si="15"/>
        <v>61.95</v>
      </c>
      <c r="S39" s="81">
        <f t="shared" si="7"/>
        <v>18843</v>
      </c>
    </row>
    <row r="40" spans="2:19" ht="21" customHeight="1">
      <c r="B40" s="709" t="s">
        <v>1265</v>
      </c>
      <c r="C40" s="20">
        <f>SUM(C41:C45)</f>
        <v>323314</v>
      </c>
      <c r="D40" s="150">
        <f t="shared" si="9"/>
        <v>36.26</v>
      </c>
      <c r="E40" s="20">
        <f>SUM(E41:E45)</f>
        <v>41072</v>
      </c>
      <c r="F40" s="150">
        <f t="shared" si="10"/>
        <v>12.7</v>
      </c>
      <c r="G40" s="20">
        <f>SUM(G41:G45)</f>
        <v>76218</v>
      </c>
      <c r="H40" s="150">
        <f t="shared" si="11"/>
        <v>23.57</v>
      </c>
      <c r="I40" s="20">
        <f>SUM(I41:I45)</f>
        <v>12988</v>
      </c>
      <c r="J40" s="150">
        <f t="shared" si="12"/>
        <v>4.0199999999999996</v>
      </c>
      <c r="K40" s="20">
        <f>SUM(K41:K45)</f>
        <v>193036</v>
      </c>
      <c r="L40" s="150">
        <f t="shared" si="13"/>
        <v>59.71</v>
      </c>
      <c r="M40" s="20">
        <f>SUM(M41:M45)</f>
        <v>278129</v>
      </c>
      <c r="N40" s="150">
        <f>ROUND(M40/$S40*100,2)-0.01</f>
        <v>31.189999999999998</v>
      </c>
      <c r="O40" s="20">
        <f>SUM(O41:O45)</f>
        <v>45185</v>
      </c>
      <c r="P40" s="150">
        <f t="shared" si="14"/>
        <v>5.07</v>
      </c>
      <c r="Q40" s="20">
        <f>SUM(Q41:Q45)</f>
        <v>568249</v>
      </c>
      <c r="R40" s="150">
        <f t="shared" si="15"/>
        <v>63.74</v>
      </c>
      <c r="S40" s="118">
        <f>SUM(S41:S45)</f>
        <v>891563</v>
      </c>
    </row>
    <row r="41" spans="2:19" ht="21" customHeight="1">
      <c r="B41" s="710" t="s">
        <v>769</v>
      </c>
      <c r="C41" s="45">
        <v>144632</v>
      </c>
      <c r="D41" s="151">
        <f t="shared" si="9"/>
        <v>35.65</v>
      </c>
      <c r="E41" s="209">
        <v>24073</v>
      </c>
      <c r="F41" s="151">
        <f t="shared" si="10"/>
        <v>16.64</v>
      </c>
      <c r="G41" s="209">
        <v>42654</v>
      </c>
      <c r="H41" s="151">
        <f t="shared" si="11"/>
        <v>29.49</v>
      </c>
      <c r="I41" s="209">
        <v>6126</v>
      </c>
      <c r="J41" s="151">
        <f t="shared" si="12"/>
        <v>4.24</v>
      </c>
      <c r="K41" s="209">
        <v>71779</v>
      </c>
      <c r="L41" s="151">
        <f t="shared" si="13"/>
        <v>49.63</v>
      </c>
      <c r="M41" s="209">
        <v>127919</v>
      </c>
      <c r="N41" s="151">
        <f t="shared" ref="N41:N46" si="17">ROUND(M41/$S41*100,2)</f>
        <v>31.53</v>
      </c>
      <c r="O41" s="209">
        <v>16713</v>
      </c>
      <c r="P41" s="151">
        <f t="shared" si="14"/>
        <v>4.12</v>
      </c>
      <c r="Q41" s="209">
        <v>261087</v>
      </c>
      <c r="R41" s="151">
        <f t="shared" si="15"/>
        <v>64.349999999999994</v>
      </c>
      <c r="S41" s="81">
        <f t="shared" si="7"/>
        <v>405719</v>
      </c>
    </row>
    <row r="42" spans="2:19" ht="21" customHeight="1">
      <c r="B42" s="710" t="s">
        <v>770</v>
      </c>
      <c r="C42" s="45">
        <v>33818</v>
      </c>
      <c r="D42" s="151">
        <f t="shared" si="9"/>
        <v>35.520000000000003</v>
      </c>
      <c r="E42" s="209">
        <v>531</v>
      </c>
      <c r="F42" s="151">
        <f t="shared" si="10"/>
        <v>1.57</v>
      </c>
      <c r="G42" s="209">
        <v>1102</v>
      </c>
      <c r="H42" s="151">
        <f t="shared" si="11"/>
        <v>3.26</v>
      </c>
      <c r="I42" s="209">
        <v>1252</v>
      </c>
      <c r="J42" s="151">
        <f t="shared" si="12"/>
        <v>3.7</v>
      </c>
      <c r="K42" s="209">
        <v>30933</v>
      </c>
      <c r="L42" s="151">
        <f t="shared" si="13"/>
        <v>91.47</v>
      </c>
      <c r="M42" s="209">
        <v>30105</v>
      </c>
      <c r="N42" s="151">
        <f t="shared" si="17"/>
        <v>31.62</v>
      </c>
      <c r="O42" s="209">
        <v>3713</v>
      </c>
      <c r="P42" s="151">
        <f t="shared" si="14"/>
        <v>3.9</v>
      </c>
      <c r="Q42" s="209">
        <v>61385</v>
      </c>
      <c r="R42" s="151">
        <f t="shared" si="15"/>
        <v>64.48</v>
      </c>
      <c r="S42" s="81">
        <f t="shared" si="7"/>
        <v>95203</v>
      </c>
    </row>
    <row r="43" spans="2:19" ht="21" customHeight="1">
      <c r="B43" s="710" t="s">
        <v>771</v>
      </c>
      <c r="C43" s="45">
        <v>37443</v>
      </c>
      <c r="D43" s="151">
        <f t="shared" si="9"/>
        <v>37.229999999999997</v>
      </c>
      <c r="E43" s="209">
        <v>198</v>
      </c>
      <c r="F43" s="151">
        <f t="shared" si="10"/>
        <v>0.53</v>
      </c>
      <c r="G43" s="209">
        <v>519</v>
      </c>
      <c r="H43" s="151">
        <f t="shared" si="11"/>
        <v>1.39</v>
      </c>
      <c r="I43" s="209">
        <v>1391</v>
      </c>
      <c r="J43" s="151">
        <f t="shared" si="12"/>
        <v>3.71</v>
      </c>
      <c r="K43" s="209">
        <v>35335</v>
      </c>
      <c r="L43" s="151">
        <f t="shared" si="13"/>
        <v>94.37</v>
      </c>
      <c r="M43" s="209">
        <v>31154</v>
      </c>
      <c r="N43" s="151">
        <f t="shared" si="17"/>
        <v>30.98</v>
      </c>
      <c r="O43" s="209">
        <v>6289</v>
      </c>
      <c r="P43" s="151">
        <f t="shared" si="14"/>
        <v>6.25</v>
      </c>
      <c r="Q43" s="209">
        <v>63132</v>
      </c>
      <c r="R43" s="151">
        <f t="shared" si="15"/>
        <v>62.77</v>
      </c>
      <c r="S43" s="81">
        <f t="shared" si="7"/>
        <v>100575</v>
      </c>
    </row>
    <row r="44" spans="2:19" ht="21" customHeight="1">
      <c r="B44" s="710" t="s">
        <v>1629</v>
      </c>
      <c r="C44" s="45">
        <v>21385</v>
      </c>
      <c r="D44" s="151">
        <f t="shared" si="9"/>
        <v>36.25</v>
      </c>
      <c r="E44" s="209">
        <v>418</v>
      </c>
      <c r="F44" s="151">
        <f t="shared" si="10"/>
        <v>1.95</v>
      </c>
      <c r="G44" s="209">
        <v>1315</v>
      </c>
      <c r="H44" s="151">
        <f t="shared" si="11"/>
        <v>6.15</v>
      </c>
      <c r="I44" s="209">
        <v>958</v>
      </c>
      <c r="J44" s="151">
        <f t="shared" si="12"/>
        <v>4.4800000000000004</v>
      </c>
      <c r="K44" s="209">
        <v>18694</v>
      </c>
      <c r="L44" s="151">
        <f t="shared" si="13"/>
        <v>87.42</v>
      </c>
      <c r="M44" s="209">
        <v>17536</v>
      </c>
      <c r="N44" s="151">
        <f t="shared" si="17"/>
        <v>29.72</v>
      </c>
      <c r="O44" s="209">
        <v>3849</v>
      </c>
      <c r="P44" s="151">
        <f t="shared" si="14"/>
        <v>6.52</v>
      </c>
      <c r="Q44" s="209">
        <v>37613</v>
      </c>
      <c r="R44" s="151">
        <f t="shared" si="15"/>
        <v>63.75</v>
      </c>
      <c r="S44" s="81">
        <f t="shared" si="7"/>
        <v>58998</v>
      </c>
    </row>
    <row r="45" spans="2:19" ht="21" customHeight="1">
      <c r="B45" s="710" t="s">
        <v>772</v>
      </c>
      <c r="C45" s="45">
        <v>86036</v>
      </c>
      <c r="D45" s="151">
        <f t="shared" si="9"/>
        <v>37.229999999999997</v>
      </c>
      <c r="E45" s="209">
        <v>15852</v>
      </c>
      <c r="F45" s="151">
        <f t="shared" si="10"/>
        <v>18.420000000000002</v>
      </c>
      <c r="G45" s="209">
        <v>30628</v>
      </c>
      <c r="H45" s="151">
        <f t="shared" si="11"/>
        <v>35.6</v>
      </c>
      <c r="I45" s="209">
        <v>3261</v>
      </c>
      <c r="J45" s="151">
        <f t="shared" si="12"/>
        <v>3.79</v>
      </c>
      <c r="K45" s="209">
        <v>36295</v>
      </c>
      <c r="L45" s="151">
        <f t="shared" si="13"/>
        <v>42.19</v>
      </c>
      <c r="M45" s="209">
        <v>71415</v>
      </c>
      <c r="N45" s="151">
        <f t="shared" si="17"/>
        <v>30.91</v>
      </c>
      <c r="O45" s="209">
        <v>14621</v>
      </c>
      <c r="P45" s="151">
        <f t="shared" si="14"/>
        <v>6.33</v>
      </c>
      <c r="Q45" s="209">
        <v>145032</v>
      </c>
      <c r="R45" s="151">
        <f t="shared" si="15"/>
        <v>62.77</v>
      </c>
      <c r="S45" s="81">
        <f t="shared" si="7"/>
        <v>231068</v>
      </c>
    </row>
    <row r="46" spans="2:19" ht="18" customHeight="1">
      <c r="B46" s="686" t="s">
        <v>1184</v>
      </c>
      <c r="C46" s="477">
        <f>SUM(C8,C13,C30,C40)</f>
        <v>1842607</v>
      </c>
      <c r="D46" s="861">
        <f t="shared" si="9"/>
        <v>35.659999999999997</v>
      </c>
      <c r="E46" s="477">
        <f>SUM(E8,E13,E30,E40)</f>
        <v>308742</v>
      </c>
      <c r="F46" s="861">
        <f t="shared" si="10"/>
        <v>16.760000000000002</v>
      </c>
      <c r="G46" s="477">
        <f>SUM(G8,G13,G30,G40)</f>
        <v>556134</v>
      </c>
      <c r="H46" s="861">
        <f t="shared" si="11"/>
        <v>30.18</v>
      </c>
      <c r="I46" s="477">
        <f>SUM(I8,I13,I30,I40)</f>
        <v>169138</v>
      </c>
      <c r="J46" s="861">
        <f t="shared" si="12"/>
        <v>9.18</v>
      </c>
      <c r="K46" s="477">
        <f>SUM(K8,K13,K30,K40)</f>
        <v>808593</v>
      </c>
      <c r="L46" s="861">
        <f t="shared" si="13"/>
        <v>43.88</v>
      </c>
      <c r="M46" s="477">
        <f>SUM(M8,M13,M30,M40)</f>
        <v>1595880</v>
      </c>
      <c r="N46" s="861">
        <f t="shared" si="17"/>
        <v>30.88</v>
      </c>
      <c r="O46" s="477">
        <f>SUM(O8,O13,O30,O40)</f>
        <v>246727</v>
      </c>
      <c r="P46" s="861">
        <f>ROUND(O46/$S46*100,2)+0.01</f>
        <v>4.7799999999999994</v>
      </c>
      <c r="Q46" s="477">
        <f>SUM(Q8,Q13,Q30,Q40)</f>
        <v>3324993</v>
      </c>
      <c r="R46" s="861">
        <f t="shared" si="15"/>
        <v>64.34</v>
      </c>
      <c r="S46" s="305">
        <f>SUM(S8,S13,S30,S40)</f>
        <v>5167600</v>
      </c>
    </row>
    <row r="47" spans="2:19">
      <c r="B47" s="284" t="s">
        <v>895</v>
      </c>
      <c r="C47" s="284"/>
      <c r="D47" s="284"/>
      <c r="E47" s="284"/>
      <c r="F47" s="284"/>
      <c r="G47" s="284"/>
      <c r="H47" s="284"/>
      <c r="I47" s="284"/>
      <c r="J47" s="284" t="s">
        <v>184</v>
      </c>
      <c r="K47" s="284"/>
      <c r="L47" s="284"/>
      <c r="M47" s="284"/>
      <c r="N47" s="284"/>
      <c r="O47" s="284"/>
      <c r="P47" s="284"/>
      <c r="Q47" s="284"/>
      <c r="R47" s="284"/>
      <c r="S47" s="283" t="s">
        <v>194</v>
      </c>
    </row>
    <row r="48" spans="2:19">
      <c r="B48" s="284" t="s">
        <v>38</v>
      </c>
      <c r="C48" s="284"/>
      <c r="D48" s="284"/>
      <c r="E48" s="284"/>
      <c r="F48" s="284"/>
      <c r="G48" s="284"/>
      <c r="H48" s="284"/>
      <c r="I48" s="284"/>
      <c r="J48" s="284"/>
      <c r="K48" s="284"/>
      <c r="L48" s="284"/>
      <c r="M48" s="284"/>
      <c r="N48" s="284"/>
      <c r="O48" s="284"/>
      <c r="P48" s="284"/>
      <c r="Q48" s="284"/>
      <c r="R48" s="284"/>
      <c r="S48" s="284"/>
    </row>
    <row r="49" spans="2:20">
      <c r="B49" s="284" t="s">
        <v>364</v>
      </c>
      <c r="C49" s="284"/>
      <c r="D49" s="284"/>
      <c r="E49" s="284"/>
      <c r="F49" s="284"/>
      <c r="G49" s="284"/>
      <c r="H49" s="284"/>
      <c r="I49" s="284"/>
      <c r="J49" s="284"/>
      <c r="K49" s="284"/>
      <c r="L49" s="284"/>
      <c r="M49" s="284"/>
      <c r="N49" s="284"/>
      <c r="O49" s="284"/>
      <c r="P49" s="284"/>
      <c r="Q49" s="284"/>
      <c r="R49" s="284"/>
      <c r="S49" s="284"/>
    </row>
    <row r="50" spans="2:20">
      <c r="B50" s="284"/>
      <c r="C50" s="284"/>
      <c r="D50" s="284"/>
      <c r="E50" s="284"/>
      <c r="F50" s="284"/>
      <c r="G50" s="284"/>
    </row>
    <row r="52" spans="2:20" ht="12" customHeight="1"/>
    <row r="53" spans="2:20" ht="12.75" hidden="1" customHeight="1"/>
    <row r="57" spans="2:20">
      <c r="B57" s="18"/>
      <c r="N57" s="18"/>
      <c r="O57" s="18"/>
      <c r="P57" s="18"/>
      <c r="Q57" s="18"/>
      <c r="R57" s="18"/>
      <c r="S57" s="18"/>
      <c r="T57" s="18"/>
    </row>
    <row r="60" spans="2:20">
      <c r="S60" s="405"/>
      <c r="T60" s="405"/>
    </row>
  </sheetData>
  <mergeCells count="41">
    <mergeCell ref="D5:D6"/>
    <mergeCell ref="K5:L5"/>
    <mergeCell ref="C4:D4"/>
    <mergeCell ref="B1:S1"/>
    <mergeCell ref="B2:S2"/>
    <mergeCell ref="S4:S6"/>
    <mergeCell ref="M5:M6"/>
    <mergeCell ref="N5:N6"/>
    <mergeCell ref="O5:O6"/>
    <mergeCell ref="P5:P6"/>
    <mergeCell ref="Q4:R4"/>
    <mergeCell ref="R5:R6"/>
    <mergeCell ref="E4:L4"/>
    <mergeCell ref="E5:F5"/>
    <mergeCell ref="O4:P4"/>
    <mergeCell ref="M4:N4"/>
    <mergeCell ref="B24:S24"/>
    <mergeCell ref="B26:B28"/>
    <mergeCell ref="C26:D26"/>
    <mergeCell ref="M26:N26"/>
    <mergeCell ref="E26:L26"/>
    <mergeCell ref="D27:D28"/>
    <mergeCell ref="E27:F27"/>
    <mergeCell ref="I27:J27"/>
    <mergeCell ref="P27:P28"/>
    <mergeCell ref="B4:B6"/>
    <mergeCell ref="O26:P26"/>
    <mergeCell ref="S26:S28"/>
    <mergeCell ref="C27:C28"/>
    <mergeCell ref="R27:R28"/>
    <mergeCell ref="K27:L27"/>
    <mergeCell ref="M27:M28"/>
    <mergeCell ref="N27:N28"/>
    <mergeCell ref="O27:O28"/>
    <mergeCell ref="G27:H27"/>
    <mergeCell ref="G5:H5"/>
    <mergeCell ref="Q27:Q28"/>
    <mergeCell ref="C5:C6"/>
    <mergeCell ref="I5:J5"/>
    <mergeCell ref="Q5:Q6"/>
    <mergeCell ref="Q26:R26"/>
  </mergeCells>
  <phoneticPr fontId="0" type="noConversion"/>
  <printOptions horizontalCentered="1" verticalCentered="1"/>
  <pageMargins left="0.1" right="0.1" top="0.42" bottom="0.1" header="0.34" footer="0"/>
  <pageSetup paperSize="9" orientation="landscape" blackAndWhite="1" r:id="rId1"/>
  <headerFooter alignWithMargins="0"/>
  <rowBreaks count="1" manualBreakCount="1">
    <brk id="23" max="16383" man="1"/>
  </rowBreaks>
</worksheet>
</file>

<file path=xl/worksheets/sheet19.xml><?xml version="1.0" encoding="utf-8"?>
<worksheet xmlns="http://schemas.openxmlformats.org/spreadsheetml/2006/main" xmlns:r="http://schemas.openxmlformats.org/officeDocument/2006/relationships">
  <sheetPr codeName="Sheet17"/>
  <dimension ref="A1:G56"/>
  <sheetViews>
    <sheetView workbookViewId="0">
      <selection activeCell="I31" sqref="I31"/>
    </sheetView>
  </sheetViews>
  <sheetFormatPr defaultRowHeight="12.75"/>
  <cols>
    <col min="1" max="1" width="2.140625" style="405" customWidth="1"/>
    <col min="2" max="2" width="2.7109375" style="405" customWidth="1"/>
    <col min="3" max="3" width="18.5703125" style="405" customWidth="1"/>
    <col min="4" max="4" width="16.7109375" style="405" customWidth="1"/>
    <col min="5" max="5" width="16" style="405" customWidth="1"/>
    <col min="6" max="6" width="12.42578125" style="405" customWidth="1"/>
    <col min="7" max="7" width="17.5703125" style="405" customWidth="1"/>
    <col min="8" max="16384" width="9.140625" style="405"/>
  </cols>
  <sheetData>
    <row r="1" spans="1:7" ht="12.75" customHeight="1">
      <c r="A1" s="1335" t="s">
        <v>428</v>
      </c>
      <c r="B1" s="1335"/>
      <c r="C1" s="1335"/>
      <c r="D1" s="1335"/>
      <c r="E1" s="1335"/>
      <c r="F1" s="1335"/>
      <c r="G1" s="1335"/>
    </row>
    <row r="2" spans="1:7" s="412" customFormat="1" ht="30.75" customHeight="1">
      <c r="A2" s="1338" t="str">
        <f>CONCATENATE("Distribution of Population over different categories of workers and non-workers 
by sex in the district of ",District!$A$1,", 2011")</f>
        <v>Distribution of Population over different categories of workers and non-workers 
by sex in the district of Nadia, 2011</v>
      </c>
      <c r="B2" s="1338"/>
      <c r="C2" s="1338"/>
      <c r="D2" s="1338"/>
      <c r="E2" s="1338"/>
      <c r="F2" s="1338"/>
      <c r="G2" s="1338"/>
    </row>
    <row r="3" spans="1:7" s="412" customFormat="1" ht="12.75" customHeight="1">
      <c r="D3" s="436"/>
      <c r="E3" s="436"/>
      <c r="F3" s="436"/>
      <c r="G3" s="436"/>
    </row>
    <row r="4" spans="1:7" ht="12.75" customHeight="1">
      <c r="A4" s="1333" t="s">
        <v>303</v>
      </c>
      <c r="B4" s="1306"/>
      <c r="C4" s="1278"/>
      <c r="D4" s="1333" t="s">
        <v>111</v>
      </c>
      <c r="E4" s="1306"/>
      <c r="F4" s="1278"/>
      <c r="G4" s="1262" t="s">
        <v>1653</v>
      </c>
    </row>
    <row r="5" spans="1:7" ht="12.75" customHeight="1">
      <c r="A5" s="1336"/>
      <c r="B5" s="1337"/>
      <c r="C5" s="1279"/>
      <c r="D5" s="1334"/>
      <c r="E5" s="1308"/>
      <c r="F5" s="1280"/>
      <c r="G5" s="1300"/>
    </row>
    <row r="6" spans="1:7" ht="12.75" customHeight="1">
      <c r="A6" s="1334"/>
      <c r="B6" s="1308"/>
      <c r="C6" s="1280"/>
      <c r="D6" s="204" t="s">
        <v>246</v>
      </c>
      <c r="E6" s="45" t="s">
        <v>249</v>
      </c>
      <c r="F6" s="204" t="s">
        <v>210</v>
      </c>
      <c r="G6" s="1263"/>
    </row>
    <row r="7" spans="1:7">
      <c r="A7" s="1259" t="s">
        <v>163</v>
      </c>
      <c r="B7" s="1327"/>
      <c r="C7" s="1260"/>
      <c r="D7" s="225" t="s">
        <v>164</v>
      </c>
      <c r="E7" s="226" t="s">
        <v>165</v>
      </c>
      <c r="F7" s="225" t="s">
        <v>166</v>
      </c>
      <c r="G7" s="225" t="s">
        <v>167</v>
      </c>
    </row>
    <row r="8" spans="1:7" ht="14.25" customHeight="1">
      <c r="A8" s="629" t="s">
        <v>311</v>
      </c>
      <c r="B8" s="201" t="s">
        <v>304</v>
      </c>
      <c r="C8" s="627"/>
      <c r="D8" s="463"/>
      <c r="E8" s="464"/>
      <c r="F8" s="463"/>
      <c r="G8" s="463"/>
    </row>
    <row r="9" spans="1:7" ht="14.25" customHeight="1">
      <c r="A9" s="1329" t="s">
        <v>305</v>
      </c>
      <c r="B9" s="1330"/>
      <c r="C9" s="141" t="s">
        <v>306</v>
      </c>
      <c r="D9" s="463"/>
      <c r="E9" s="464"/>
      <c r="F9" s="463"/>
      <c r="G9" s="463"/>
    </row>
    <row r="10" spans="1:7" ht="14.25" customHeight="1">
      <c r="A10" s="1244"/>
      <c r="B10" s="1331"/>
      <c r="C10" s="627" t="s">
        <v>251</v>
      </c>
      <c r="D10" s="462">
        <v>1003628</v>
      </c>
      <c r="E10" s="461">
        <v>102109</v>
      </c>
      <c r="F10" s="463">
        <f>SUM(D10,E10)</f>
        <v>1105737</v>
      </c>
      <c r="G10" s="585">
        <f>ROUND(F10/F22*100,2)</f>
        <v>29.65</v>
      </c>
    </row>
    <row r="11" spans="1:7" ht="14.25" customHeight="1">
      <c r="A11" s="1244"/>
      <c r="B11" s="1331"/>
      <c r="C11" s="627" t="s">
        <v>250</v>
      </c>
      <c r="D11" s="462">
        <v>401563</v>
      </c>
      <c r="E11" s="461">
        <v>88580</v>
      </c>
      <c r="F11" s="463">
        <f>SUM(D11,E11)</f>
        <v>490143</v>
      </c>
      <c r="G11" s="585">
        <f>ROUND(F11/F23*100,2)</f>
        <v>34.06</v>
      </c>
    </row>
    <row r="12" spans="1:7" s="5" customFormat="1" ht="14.25" customHeight="1">
      <c r="A12" s="1332"/>
      <c r="B12" s="1261"/>
      <c r="C12" s="141" t="s">
        <v>307</v>
      </c>
      <c r="D12" s="118">
        <f>SUM(D10:D11)</f>
        <v>1405191</v>
      </c>
      <c r="E12" s="20">
        <f>SUM(E10:E11)</f>
        <v>190689</v>
      </c>
      <c r="F12" s="118">
        <f>SUM(D12,E12)</f>
        <v>1595880</v>
      </c>
      <c r="G12" s="150">
        <f>ROUND(F12/F24*100,2)</f>
        <v>30.88</v>
      </c>
    </row>
    <row r="13" spans="1:7" ht="14.25" customHeight="1">
      <c r="A13" s="1329" t="s">
        <v>308</v>
      </c>
      <c r="B13" s="1330"/>
      <c r="C13" s="141" t="s">
        <v>309</v>
      </c>
      <c r="D13" s="463"/>
      <c r="E13" s="464"/>
      <c r="F13" s="463"/>
      <c r="G13" s="585"/>
    </row>
    <row r="14" spans="1:7" ht="14.25" customHeight="1">
      <c r="A14" s="1244"/>
      <c r="B14" s="1331"/>
      <c r="C14" s="627" t="s">
        <v>251</v>
      </c>
      <c r="D14" s="462">
        <v>117672</v>
      </c>
      <c r="E14" s="461">
        <v>67193</v>
      </c>
      <c r="F14" s="463">
        <f>SUM(D14,E14)</f>
        <v>184865</v>
      </c>
      <c r="G14" s="585">
        <f>ROUND(F14/F22*100,2)</f>
        <v>4.96</v>
      </c>
    </row>
    <row r="15" spans="1:7" ht="14.25" customHeight="1">
      <c r="A15" s="1244"/>
      <c r="B15" s="1331"/>
      <c r="C15" s="627" t="s">
        <v>250</v>
      </c>
      <c r="D15" s="462">
        <v>31227</v>
      </c>
      <c r="E15" s="461">
        <v>30635</v>
      </c>
      <c r="F15" s="463">
        <f>SUM(D15,E15)</f>
        <v>61862</v>
      </c>
      <c r="G15" s="585">
        <f>ROUND(F15/F23*100,2)</f>
        <v>4.3</v>
      </c>
    </row>
    <row r="16" spans="1:7" s="5" customFormat="1" ht="14.25" customHeight="1">
      <c r="A16" s="1332"/>
      <c r="B16" s="1261"/>
      <c r="C16" s="141" t="s">
        <v>307</v>
      </c>
      <c r="D16" s="118">
        <f>SUM(D14:D15)</f>
        <v>148899</v>
      </c>
      <c r="E16" s="20">
        <f>SUM(E14:E15)</f>
        <v>97828</v>
      </c>
      <c r="F16" s="118">
        <f>SUM(D16,E16)</f>
        <v>246727</v>
      </c>
      <c r="G16" s="150">
        <f>ROUND(F16/F24*100,2)+0.01</f>
        <v>4.7799999999999994</v>
      </c>
    </row>
    <row r="17" spans="1:7" ht="14.25" customHeight="1">
      <c r="A17" s="629" t="s">
        <v>632</v>
      </c>
      <c r="B17" s="201" t="s">
        <v>310</v>
      </c>
      <c r="C17" s="627"/>
      <c r="D17" s="463"/>
      <c r="E17" s="464"/>
      <c r="F17" s="463"/>
      <c r="G17" s="585"/>
    </row>
    <row r="18" spans="1:7" ht="14.25" customHeight="1">
      <c r="A18" s="1244"/>
      <c r="B18" s="1331"/>
      <c r="C18" s="627" t="s">
        <v>251</v>
      </c>
      <c r="D18" s="462">
        <v>799812</v>
      </c>
      <c r="E18" s="461">
        <v>1638313</v>
      </c>
      <c r="F18" s="463">
        <f>SUM(D18,E18)</f>
        <v>2438125</v>
      </c>
      <c r="G18" s="585">
        <f>ROUND(F18/F22*100,2)</f>
        <v>65.39</v>
      </c>
    </row>
    <row r="19" spans="1:7" ht="14.25" customHeight="1">
      <c r="A19" s="1244"/>
      <c r="B19" s="1331"/>
      <c r="C19" s="627" t="s">
        <v>250</v>
      </c>
      <c r="D19" s="462">
        <v>299866</v>
      </c>
      <c r="E19" s="461">
        <v>587002</v>
      </c>
      <c r="F19" s="463">
        <f>SUM(D19,E19)</f>
        <v>886868</v>
      </c>
      <c r="G19" s="456">
        <f>ROUND(F19/F23*100,2)</f>
        <v>61.64</v>
      </c>
    </row>
    <row r="20" spans="1:7" s="5" customFormat="1" ht="14.25" customHeight="1">
      <c r="A20" s="1332"/>
      <c r="B20" s="1261"/>
      <c r="C20" s="141" t="s">
        <v>307</v>
      </c>
      <c r="D20" s="118">
        <f>SUM(D18:D19)</f>
        <v>1099678</v>
      </c>
      <c r="E20" s="20">
        <f>SUM(E18:E19)</f>
        <v>2225315</v>
      </c>
      <c r="F20" s="118">
        <f>SUM(D20,E20)</f>
        <v>3324993</v>
      </c>
      <c r="G20" s="150">
        <f>ROUND(F20/F24*100,2)</f>
        <v>64.34</v>
      </c>
    </row>
    <row r="21" spans="1:7" ht="14.25" customHeight="1">
      <c r="A21" s="140" t="s">
        <v>1654</v>
      </c>
      <c r="B21" s="291"/>
      <c r="C21" s="627"/>
      <c r="D21" s="463"/>
      <c r="E21" s="464"/>
      <c r="F21" s="463"/>
      <c r="G21" s="456"/>
    </row>
    <row r="22" spans="1:7" ht="14.25" customHeight="1">
      <c r="A22" s="1244"/>
      <c r="B22" s="1331"/>
      <c r="C22" s="627" t="s">
        <v>251</v>
      </c>
      <c r="D22" s="462">
        <f t="shared" ref="D22:G23" si="0">SUM(D10,D14,D18)</f>
        <v>1921112</v>
      </c>
      <c r="E22" s="461">
        <f t="shared" si="0"/>
        <v>1807615</v>
      </c>
      <c r="F22" s="462">
        <f>SUM(D22,E22)</f>
        <v>3728727</v>
      </c>
      <c r="G22" s="454">
        <f t="shared" si="0"/>
        <v>100</v>
      </c>
    </row>
    <row r="23" spans="1:7" ht="14.25" customHeight="1">
      <c r="A23" s="1244"/>
      <c r="B23" s="1331"/>
      <c r="C23" s="291" t="s">
        <v>250</v>
      </c>
      <c r="D23" s="653">
        <f t="shared" si="0"/>
        <v>732656</v>
      </c>
      <c r="E23" s="653">
        <f t="shared" si="0"/>
        <v>706217</v>
      </c>
      <c r="F23" s="653">
        <f>SUM(D23,E23)</f>
        <v>1438873</v>
      </c>
      <c r="G23" s="870">
        <f t="shared" si="0"/>
        <v>100</v>
      </c>
    </row>
    <row r="24" spans="1:7" s="5" customFormat="1" ht="14.25" customHeight="1">
      <c r="A24" s="1332"/>
      <c r="B24" s="1261"/>
      <c r="C24" s="141" t="s">
        <v>307</v>
      </c>
      <c r="D24" s="118">
        <f>SUM(D22:D23)</f>
        <v>2653768</v>
      </c>
      <c r="E24" s="20">
        <f>SUM(E22:E23)</f>
        <v>2513832</v>
      </c>
      <c r="F24" s="118">
        <f>SUM(D24,E24)</f>
        <v>5167600</v>
      </c>
      <c r="G24" s="100">
        <f>SUM(G12,G16,G20)</f>
        <v>100</v>
      </c>
    </row>
    <row r="25" spans="1:7" ht="14.25" customHeight="1">
      <c r="A25" s="1340" t="s">
        <v>303</v>
      </c>
      <c r="B25" s="1341"/>
      <c r="C25" s="1342"/>
      <c r="D25" s="1333" t="s">
        <v>111</v>
      </c>
      <c r="E25" s="1306"/>
      <c r="F25" s="1278"/>
      <c r="G25" s="1262" t="s">
        <v>1397</v>
      </c>
    </row>
    <row r="26" spans="1:7" ht="14.25" customHeight="1">
      <c r="A26" s="1343"/>
      <c r="B26" s="1344"/>
      <c r="C26" s="1345"/>
      <c r="D26" s="1334"/>
      <c r="E26" s="1308"/>
      <c r="F26" s="1280"/>
      <c r="G26" s="1300"/>
    </row>
    <row r="27" spans="1:7" ht="14.25" customHeight="1">
      <c r="A27" s="1346"/>
      <c r="B27" s="1347"/>
      <c r="C27" s="1348"/>
      <c r="D27" s="204" t="s">
        <v>246</v>
      </c>
      <c r="E27" s="45" t="s">
        <v>249</v>
      </c>
      <c r="F27" s="204" t="s">
        <v>210</v>
      </c>
      <c r="G27" s="1263"/>
    </row>
    <row r="28" spans="1:7" ht="14.25" customHeight="1">
      <c r="A28" s="1259" t="s">
        <v>168</v>
      </c>
      <c r="B28" s="1327"/>
      <c r="C28" s="1260"/>
      <c r="D28" s="225" t="s">
        <v>169</v>
      </c>
      <c r="E28" s="226" t="s">
        <v>211</v>
      </c>
      <c r="F28" s="225" t="s">
        <v>212</v>
      </c>
      <c r="G28" s="225" t="s">
        <v>213</v>
      </c>
    </row>
    <row r="29" spans="1:7" ht="14.25" customHeight="1">
      <c r="A29" s="871" t="s">
        <v>311</v>
      </c>
      <c r="B29" s="716" t="s">
        <v>304</v>
      </c>
      <c r="C29" s="872"/>
      <c r="D29" s="465"/>
      <c r="E29" s="465"/>
      <c r="F29" s="465"/>
      <c r="G29" s="465"/>
    </row>
    <row r="30" spans="1:7" ht="14.25" customHeight="1">
      <c r="A30" s="1329">
        <v>1</v>
      </c>
      <c r="B30" s="1330"/>
      <c r="C30" s="141" t="s">
        <v>312</v>
      </c>
      <c r="D30" s="463"/>
      <c r="E30" s="463"/>
      <c r="F30" s="463"/>
      <c r="G30" s="463"/>
    </row>
    <row r="31" spans="1:7" ht="14.25" customHeight="1">
      <c r="A31" s="1244"/>
      <c r="B31" s="1331"/>
      <c r="C31" s="627" t="s">
        <v>251</v>
      </c>
      <c r="D31" s="462">
        <v>286247</v>
      </c>
      <c r="E31" s="462">
        <v>10814</v>
      </c>
      <c r="F31" s="463">
        <f>SUM(D31,E31)</f>
        <v>297061</v>
      </c>
      <c r="G31" s="585">
        <f>ROUND(F31/F47*100,2)</f>
        <v>23.02</v>
      </c>
    </row>
    <row r="32" spans="1:7" ht="14.25" customHeight="1">
      <c r="A32" s="1244"/>
      <c r="B32" s="1331"/>
      <c r="C32" s="627" t="s">
        <v>250</v>
      </c>
      <c r="D32" s="462">
        <v>10808</v>
      </c>
      <c r="E32" s="462">
        <v>873</v>
      </c>
      <c r="F32" s="463">
        <f>SUM(D32,E32)</f>
        <v>11681</v>
      </c>
      <c r="G32" s="585">
        <f>ROUND(F32/F48*100,2)</f>
        <v>2.12</v>
      </c>
    </row>
    <row r="33" spans="1:7" s="5" customFormat="1" ht="14.25" customHeight="1">
      <c r="A33" s="1332"/>
      <c r="B33" s="1261"/>
      <c r="C33" s="141" t="s">
        <v>307</v>
      </c>
      <c r="D33" s="118">
        <f>SUM(D31:D32)</f>
        <v>297055</v>
      </c>
      <c r="E33" s="118">
        <f>SUM(E31:E32)</f>
        <v>11687</v>
      </c>
      <c r="F33" s="118">
        <f>SUM(D33,E33)</f>
        <v>308742</v>
      </c>
      <c r="G33" s="150">
        <f>ROUND(F33/F49*100,2)</f>
        <v>16.760000000000002</v>
      </c>
    </row>
    <row r="34" spans="1:7" ht="14.25" customHeight="1">
      <c r="A34" s="1329">
        <v>2</v>
      </c>
      <c r="B34" s="1330"/>
      <c r="C34" s="141" t="s">
        <v>313</v>
      </c>
      <c r="D34" s="463"/>
      <c r="E34" s="463"/>
      <c r="F34" s="463"/>
      <c r="G34" s="585"/>
    </row>
    <row r="35" spans="1:7" ht="14.25" customHeight="1">
      <c r="A35" s="1244"/>
      <c r="B35" s="1331"/>
      <c r="C35" s="627" t="s">
        <v>251</v>
      </c>
      <c r="D35" s="462">
        <v>486920</v>
      </c>
      <c r="E35" s="462">
        <v>39774</v>
      </c>
      <c r="F35" s="463">
        <f>SUM(D35,E35)</f>
        <v>526694</v>
      </c>
      <c r="G35" s="585">
        <f>ROUND(F35/F47*100,2)</f>
        <v>40.81</v>
      </c>
    </row>
    <row r="36" spans="1:7" ht="14.25" customHeight="1">
      <c r="A36" s="1244"/>
      <c r="B36" s="1331"/>
      <c r="C36" s="627" t="s">
        <v>250</v>
      </c>
      <c r="D36" s="462">
        <v>26380</v>
      </c>
      <c r="E36" s="462">
        <v>3060</v>
      </c>
      <c r="F36" s="463">
        <f>SUM(D36,E36)</f>
        <v>29440</v>
      </c>
      <c r="G36" s="585">
        <f>ROUND(F36/F48*100,2)</f>
        <v>5.33</v>
      </c>
    </row>
    <row r="37" spans="1:7" s="5" customFormat="1" ht="14.25" customHeight="1">
      <c r="A37" s="1332"/>
      <c r="B37" s="1261"/>
      <c r="C37" s="141" t="s">
        <v>307</v>
      </c>
      <c r="D37" s="118">
        <f>SUM(D35:D36)</f>
        <v>513300</v>
      </c>
      <c r="E37" s="118">
        <f>SUM(E35:E36)</f>
        <v>42834</v>
      </c>
      <c r="F37" s="118">
        <f>SUM(D37,E37)</f>
        <v>556134</v>
      </c>
      <c r="G37" s="150">
        <f>ROUND(F37/F49*100,2)</f>
        <v>30.18</v>
      </c>
    </row>
    <row r="38" spans="1:7" ht="14.25" customHeight="1">
      <c r="A38" s="1329">
        <v>3</v>
      </c>
      <c r="B38" s="1330"/>
      <c r="C38" s="141" t="s">
        <v>314</v>
      </c>
      <c r="D38" s="463"/>
      <c r="E38" s="463"/>
      <c r="F38" s="463"/>
      <c r="G38" s="585"/>
    </row>
    <row r="39" spans="1:7" ht="14.25" customHeight="1">
      <c r="A39" s="1244"/>
      <c r="B39" s="1331"/>
      <c r="C39" s="627" t="s">
        <v>251</v>
      </c>
      <c r="D39" s="462">
        <v>41413</v>
      </c>
      <c r="E39" s="462">
        <v>46090</v>
      </c>
      <c r="F39" s="463">
        <f>SUM(D39,E39)</f>
        <v>87503</v>
      </c>
      <c r="G39" s="585">
        <f>ROUND(F39/F47*100,2)</f>
        <v>6.78</v>
      </c>
    </row>
    <row r="40" spans="1:7" ht="14.25" customHeight="1">
      <c r="A40" s="1244"/>
      <c r="B40" s="1331"/>
      <c r="C40" s="627" t="s">
        <v>250</v>
      </c>
      <c r="D40" s="462">
        <v>45237</v>
      </c>
      <c r="E40" s="462">
        <v>36398</v>
      </c>
      <c r="F40" s="463">
        <f>SUM(D40,E40)</f>
        <v>81635</v>
      </c>
      <c r="G40" s="585">
        <f>ROUND(F40/F48*100,2)</f>
        <v>14.79</v>
      </c>
    </row>
    <row r="41" spans="1:7" s="5" customFormat="1" ht="14.25" customHeight="1">
      <c r="A41" s="1332"/>
      <c r="B41" s="1261"/>
      <c r="C41" s="141" t="s">
        <v>307</v>
      </c>
      <c r="D41" s="118">
        <f>SUM(D39:D40)</f>
        <v>86650</v>
      </c>
      <c r="E41" s="118">
        <f>SUM(E39:E40)</f>
        <v>82488</v>
      </c>
      <c r="F41" s="118">
        <f>SUM(D41,E41)</f>
        <v>169138</v>
      </c>
      <c r="G41" s="150">
        <f>ROUND(F41/F49*100,2)</f>
        <v>9.18</v>
      </c>
    </row>
    <row r="42" spans="1:7" ht="14.25" customHeight="1">
      <c r="A42" s="1329">
        <v>4</v>
      </c>
      <c r="B42" s="1330"/>
      <c r="C42" s="141" t="s">
        <v>315</v>
      </c>
      <c r="D42" s="463"/>
      <c r="E42" s="463"/>
      <c r="F42" s="463"/>
      <c r="G42" s="585"/>
    </row>
    <row r="43" spans="1:7" ht="14.25" customHeight="1">
      <c r="A43" s="1244"/>
      <c r="B43" s="1331"/>
      <c r="C43" s="627" t="s">
        <v>251</v>
      </c>
      <c r="D43" s="462">
        <v>306720</v>
      </c>
      <c r="E43" s="462">
        <v>72624</v>
      </c>
      <c r="F43" s="463">
        <f>SUM(D43,E43)</f>
        <v>379344</v>
      </c>
      <c r="G43" s="585">
        <f>ROUND(F43/F47*100,2)</f>
        <v>29.39</v>
      </c>
    </row>
    <row r="44" spans="1:7" ht="14.25" customHeight="1">
      <c r="A44" s="1244"/>
      <c r="B44" s="1331"/>
      <c r="C44" s="627" t="s">
        <v>250</v>
      </c>
      <c r="D44" s="462">
        <v>350365</v>
      </c>
      <c r="E44" s="462">
        <v>78884</v>
      </c>
      <c r="F44" s="463">
        <f>SUM(D44,E44)</f>
        <v>429249</v>
      </c>
      <c r="G44" s="585">
        <f>ROUND(F44/F48*100,2)</f>
        <v>77.760000000000005</v>
      </c>
    </row>
    <row r="45" spans="1:7" s="5" customFormat="1" ht="14.25" customHeight="1">
      <c r="A45" s="1332"/>
      <c r="B45" s="1261"/>
      <c r="C45" s="141" t="s">
        <v>307</v>
      </c>
      <c r="D45" s="118">
        <f>SUM(D43:D44)</f>
        <v>657085</v>
      </c>
      <c r="E45" s="118">
        <f>SUM(E43:E44)</f>
        <v>151508</v>
      </c>
      <c r="F45" s="118">
        <f>SUM(D45,E45)</f>
        <v>808593</v>
      </c>
      <c r="G45" s="150">
        <f>ROUND(F45/F49*100,2)</f>
        <v>43.88</v>
      </c>
    </row>
    <row r="46" spans="1:7" ht="14.25" customHeight="1">
      <c r="A46" s="629"/>
      <c r="B46" s="201" t="s">
        <v>316</v>
      </c>
      <c r="C46" s="627"/>
      <c r="D46" s="81"/>
      <c r="E46" s="463"/>
      <c r="F46" s="463"/>
      <c r="G46" s="585"/>
    </row>
    <row r="47" spans="1:7" ht="14.25" customHeight="1">
      <c r="A47" s="1244"/>
      <c r="B47" s="1331"/>
      <c r="C47" s="627" t="s">
        <v>251</v>
      </c>
      <c r="D47" s="463">
        <f t="shared" ref="D47:G48" si="1">SUM(D31,D35,D39,D43)</f>
        <v>1121300</v>
      </c>
      <c r="E47" s="463">
        <f t="shared" si="1"/>
        <v>169302</v>
      </c>
      <c r="F47" s="81">
        <f>SUM(D47,E47)</f>
        <v>1290602</v>
      </c>
      <c r="G47" s="585">
        <f t="shared" si="1"/>
        <v>100</v>
      </c>
    </row>
    <row r="48" spans="1:7" ht="14.25" customHeight="1">
      <c r="A48" s="1244"/>
      <c r="B48" s="1331"/>
      <c r="C48" s="627" t="s">
        <v>250</v>
      </c>
      <c r="D48" s="463">
        <f t="shared" si="1"/>
        <v>432790</v>
      </c>
      <c r="E48" s="463">
        <f t="shared" si="1"/>
        <v>119215</v>
      </c>
      <c r="F48" s="463">
        <f>SUM(D48,E48)</f>
        <v>552005</v>
      </c>
      <c r="G48" s="585">
        <f t="shared" si="1"/>
        <v>100</v>
      </c>
    </row>
    <row r="49" spans="1:7" s="5" customFormat="1" ht="14.25" customHeight="1">
      <c r="A49" s="1248"/>
      <c r="B49" s="1339"/>
      <c r="C49" s="873" t="s">
        <v>307</v>
      </c>
      <c r="D49" s="119">
        <f>SUM(D47:D48)</f>
        <v>1554090</v>
      </c>
      <c r="E49" s="119">
        <f>SUM(E47:E48)</f>
        <v>288517</v>
      </c>
      <c r="F49" s="119">
        <f>SUM(D49,E49)</f>
        <v>1842607</v>
      </c>
      <c r="G49" s="339">
        <f>SUM(G33,G37,G41,G45)</f>
        <v>100</v>
      </c>
    </row>
    <row r="50" spans="1:7">
      <c r="D50" s="471"/>
      <c r="E50" s="1328" t="s">
        <v>194</v>
      </c>
      <c r="F50" s="1328"/>
      <c r="G50" s="1328"/>
    </row>
    <row r="56" spans="1:7">
      <c r="A56" s="471"/>
      <c r="B56" s="471"/>
      <c r="C56" s="471"/>
      <c r="D56" s="471"/>
      <c r="E56" s="471"/>
      <c r="F56" s="471"/>
      <c r="G56" s="471"/>
    </row>
  </sheetData>
  <mergeCells count="44">
    <mergeCell ref="A7:C7"/>
    <mergeCell ref="A15:B15"/>
    <mergeCell ref="A49:B49"/>
    <mergeCell ref="A47:B47"/>
    <mergeCell ref="A48:B48"/>
    <mergeCell ref="A42:B42"/>
    <mergeCell ref="A43:B43"/>
    <mergeCell ref="A44:B44"/>
    <mergeCell ref="A45:B45"/>
    <mergeCell ref="A23:B23"/>
    <mergeCell ref="A24:B24"/>
    <mergeCell ref="A25:C27"/>
    <mergeCell ref="A1:G1"/>
    <mergeCell ref="A22:B22"/>
    <mergeCell ref="A19:B19"/>
    <mergeCell ref="A20:B20"/>
    <mergeCell ref="A9:B9"/>
    <mergeCell ref="A4:C6"/>
    <mergeCell ref="D4:F5"/>
    <mergeCell ref="A12:B12"/>
    <mergeCell ref="A2:G2"/>
    <mergeCell ref="A16:B16"/>
    <mergeCell ref="A14:B14"/>
    <mergeCell ref="A13:B13"/>
    <mergeCell ref="A10:B10"/>
    <mergeCell ref="A11:B11"/>
    <mergeCell ref="A18:B18"/>
    <mergeCell ref="G4:G6"/>
    <mergeCell ref="G25:G27"/>
    <mergeCell ref="A28:C28"/>
    <mergeCell ref="E50:G50"/>
    <mergeCell ref="A30:B30"/>
    <mergeCell ref="A31:B31"/>
    <mergeCell ref="A32:B32"/>
    <mergeCell ref="A33:B33"/>
    <mergeCell ref="A40:B40"/>
    <mergeCell ref="A41:B41"/>
    <mergeCell ref="A37:B37"/>
    <mergeCell ref="A39:B39"/>
    <mergeCell ref="D25:F26"/>
    <mergeCell ref="A38:B38"/>
    <mergeCell ref="A34:B34"/>
    <mergeCell ref="A35:B35"/>
    <mergeCell ref="A36:B36"/>
  </mergeCells>
  <phoneticPr fontId="0" type="noConversion"/>
  <printOptions horizontalCentered="1"/>
  <pageMargins left="0.1" right="0.1" top="0.84" bottom="0.1" header="0.63" footer="0.1"/>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dimension ref="A6:K38"/>
  <sheetViews>
    <sheetView showGridLines="0" topLeftCell="A16" workbookViewId="0">
      <selection activeCell="L15" sqref="L15"/>
    </sheetView>
  </sheetViews>
  <sheetFormatPr defaultRowHeight="12.75"/>
  <sheetData>
    <row r="6" spans="1:11" ht="35.25">
      <c r="A6" s="1229" t="s">
        <v>288</v>
      </c>
      <c r="B6" s="1229"/>
      <c r="C6" s="1229"/>
      <c r="D6" s="1229"/>
      <c r="E6" s="1229"/>
      <c r="F6" s="1229"/>
      <c r="G6" s="1229"/>
      <c r="H6" s="1229"/>
      <c r="I6" s="1229"/>
    </row>
    <row r="10" spans="1:11" ht="35.25">
      <c r="A10" s="1230">
        <f>District!C5</f>
        <v>2014</v>
      </c>
      <c r="B10" s="1230"/>
      <c r="C10" s="1230"/>
      <c r="D10" s="1230"/>
      <c r="E10" s="1230"/>
      <c r="F10" s="1230"/>
      <c r="G10" s="1230"/>
      <c r="H10" s="1230"/>
      <c r="I10" s="1230"/>
    </row>
    <row r="12" spans="1:11" ht="23.25">
      <c r="I12" s="84"/>
      <c r="J12" s="84"/>
      <c r="K12" s="84"/>
    </row>
    <row r="13" spans="1:11" ht="45">
      <c r="A13" s="1231" t="str">
        <f>District!A1</f>
        <v>Nadia</v>
      </c>
      <c r="B13" s="1231"/>
      <c r="C13" s="1231"/>
      <c r="D13" s="1231"/>
      <c r="E13" s="1231"/>
      <c r="F13" s="1231"/>
      <c r="G13" s="1231"/>
      <c r="H13" s="1231"/>
      <c r="I13" s="1231"/>
      <c r="J13" s="85"/>
      <c r="K13" s="85"/>
    </row>
    <row r="36" spans="1:9" ht="20.25" customHeight="1">
      <c r="A36" s="1226" t="s">
        <v>1186</v>
      </c>
      <c r="B36" s="1226"/>
      <c r="C36" s="1226"/>
      <c r="D36" s="1226"/>
      <c r="E36" s="1226"/>
      <c r="F36" s="1226"/>
      <c r="G36" s="1226"/>
      <c r="H36" s="1226"/>
      <c r="I36" s="1226"/>
    </row>
    <row r="37" spans="1:9" ht="21" customHeight="1">
      <c r="A37" s="1228" t="s">
        <v>1335</v>
      </c>
      <c r="B37" s="1228"/>
      <c r="C37" s="1228"/>
      <c r="D37" s="1228"/>
      <c r="E37" s="1228"/>
      <c r="F37" s="1228"/>
      <c r="G37" s="1228"/>
      <c r="H37" s="1228"/>
      <c r="I37" s="1228"/>
    </row>
    <row r="38" spans="1:9" ht="23.25">
      <c r="A38" s="1227" t="s">
        <v>1187</v>
      </c>
      <c r="B38" s="1227"/>
      <c r="C38" s="1227"/>
      <c r="D38" s="1227"/>
      <c r="E38" s="1227"/>
      <c r="F38" s="1227"/>
      <c r="G38" s="1227"/>
      <c r="H38" s="1227"/>
      <c r="I38" s="1227"/>
    </row>
  </sheetData>
  <mergeCells count="6">
    <mergeCell ref="A38:I38"/>
    <mergeCell ref="A37:I37"/>
    <mergeCell ref="A6:I6"/>
    <mergeCell ref="A10:I10"/>
    <mergeCell ref="A13:I13"/>
    <mergeCell ref="A36:I36"/>
  </mergeCells>
  <phoneticPr fontId="0" type="noConversion"/>
  <printOptions horizontalCentered="1"/>
  <pageMargins left="0.5" right="0.5" top="1" bottom="1" header="0.5" footer="0.5"/>
  <pageSetup paperSize="9" orientation="portrait" horizontalDpi="4294967295" r:id="rId1"/>
  <headerFooter alignWithMargins="0"/>
  <legacyDrawing r:id="rId2"/>
  <oleObjects>
    <oleObject progId="CorelDRAW.Graphic.9" shapeId="14337" r:id="rId3"/>
  </oleObjects>
</worksheet>
</file>

<file path=xl/worksheets/sheet20.xml><?xml version="1.0" encoding="utf-8"?>
<worksheet xmlns="http://schemas.openxmlformats.org/spreadsheetml/2006/main" xmlns:r="http://schemas.openxmlformats.org/officeDocument/2006/relationships">
  <sheetPr codeName="Sheet18"/>
  <dimension ref="A1:H42"/>
  <sheetViews>
    <sheetView workbookViewId="0">
      <selection activeCell="I31" sqref="I31"/>
    </sheetView>
  </sheetViews>
  <sheetFormatPr defaultRowHeight="12.75"/>
  <cols>
    <col min="1" max="1" width="21.28515625" style="405" customWidth="1"/>
    <col min="2" max="7" width="10.7109375" style="405" customWidth="1"/>
    <col min="8" max="16384" width="9.140625" style="405"/>
  </cols>
  <sheetData>
    <row r="1" spans="1:8">
      <c r="A1" s="1250" t="s">
        <v>429</v>
      </c>
      <c r="B1" s="1250"/>
      <c r="C1" s="1250"/>
      <c r="D1" s="1250"/>
      <c r="E1" s="1250"/>
      <c r="F1" s="1250"/>
      <c r="G1" s="1250"/>
    </row>
    <row r="2" spans="1:8" ht="33" customHeight="1">
      <c r="A2" s="1350" t="str">
        <f>CONCATENATE("Scheduled Caste and Scheduled Tribe Population by sex
 in the district of ",District!$A$1,", 2011")</f>
        <v>Scheduled Caste and Scheduled Tribe Population by sex
 in the district of Nadia, 2011</v>
      </c>
      <c r="B2" s="1350"/>
      <c r="C2" s="1350"/>
      <c r="D2" s="1350"/>
      <c r="E2" s="1350"/>
      <c r="F2" s="1350"/>
      <c r="G2" s="1350"/>
      <c r="H2" s="15"/>
    </row>
    <row r="3" spans="1:8" ht="12.75" customHeight="1">
      <c r="B3" s="619"/>
      <c r="C3" s="619"/>
      <c r="D3" s="619"/>
      <c r="E3" s="619"/>
      <c r="F3" s="619"/>
      <c r="G3" s="451" t="s">
        <v>223</v>
      </c>
    </row>
    <row r="4" spans="1:8" ht="15" customHeight="1">
      <c r="A4" s="1262" t="s">
        <v>901</v>
      </c>
      <c r="B4" s="1251" t="s">
        <v>185</v>
      </c>
      <c r="C4" s="1251"/>
      <c r="D4" s="1252"/>
      <c r="E4" s="1253" t="s">
        <v>186</v>
      </c>
      <c r="F4" s="1251"/>
      <c r="G4" s="1252"/>
    </row>
    <row r="5" spans="1:8" ht="14.25" customHeight="1">
      <c r="A5" s="1263"/>
      <c r="B5" s="204" t="s">
        <v>246</v>
      </c>
      <c r="C5" s="204" t="s">
        <v>249</v>
      </c>
      <c r="D5" s="46" t="s">
        <v>210</v>
      </c>
      <c r="E5" s="204" t="s">
        <v>246</v>
      </c>
      <c r="F5" s="204" t="s">
        <v>249</v>
      </c>
      <c r="G5" s="46" t="s">
        <v>210</v>
      </c>
    </row>
    <row r="6" spans="1:8" ht="15" customHeight="1">
      <c r="A6" s="417" t="s">
        <v>163</v>
      </c>
      <c r="B6" s="417" t="s">
        <v>164</v>
      </c>
      <c r="C6" s="417" t="s">
        <v>165</v>
      </c>
      <c r="D6" s="419" t="s">
        <v>166</v>
      </c>
      <c r="E6" s="417" t="s">
        <v>167</v>
      </c>
      <c r="F6" s="417" t="s">
        <v>168</v>
      </c>
      <c r="G6" s="419" t="s">
        <v>169</v>
      </c>
    </row>
    <row r="7" spans="1:8" ht="18" customHeight="1">
      <c r="A7" s="824" t="s">
        <v>549</v>
      </c>
      <c r="B7" s="137">
        <f t="shared" ref="B7:G7" si="0">SUM(B8:B11)</f>
        <v>91541</v>
      </c>
      <c r="C7" s="137">
        <f t="shared" si="0"/>
        <v>86022</v>
      </c>
      <c r="D7" s="823">
        <f t="shared" si="0"/>
        <v>177563</v>
      </c>
      <c r="E7" s="137">
        <f t="shared" si="0"/>
        <v>7628</v>
      </c>
      <c r="F7" s="185">
        <f t="shared" si="0"/>
        <v>7455</v>
      </c>
      <c r="G7" s="874">
        <f t="shared" si="0"/>
        <v>15083</v>
      </c>
    </row>
    <row r="8" spans="1:8" ht="18" customHeight="1">
      <c r="A8" s="540" t="s">
        <v>1118</v>
      </c>
      <c r="B8" s="462">
        <v>16479</v>
      </c>
      <c r="C8" s="462">
        <v>15575</v>
      </c>
      <c r="D8" s="421">
        <f>SUM(B8,C8)</f>
        <v>32054</v>
      </c>
      <c r="E8" s="462">
        <v>2964</v>
      </c>
      <c r="F8" s="461">
        <v>2903</v>
      </c>
      <c r="G8" s="463">
        <f>SUM(E8,F8)</f>
        <v>5867</v>
      </c>
    </row>
    <row r="9" spans="1:8" ht="18" customHeight="1">
      <c r="A9" s="540" t="s">
        <v>1119</v>
      </c>
      <c r="B9" s="462">
        <v>18048</v>
      </c>
      <c r="C9" s="462">
        <v>17082</v>
      </c>
      <c r="D9" s="421">
        <f>SUM(B9,C9)</f>
        <v>35130</v>
      </c>
      <c r="E9" s="462">
        <v>1347</v>
      </c>
      <c r="F9" s="461">
        <v>1296</v>
      </c>
      <c r="G9" s="463">
        <f>SUM(E9,F9)</f>
        <v>2643</v>
      </c>
    </row>
    <row r="10" spans="1:8" ht="18" customHeight="1">
      <c r="A10" s="540" t="s">
        <v>1121</v>
      </c>
      <c r="B10" s="462">
        <v>44036</v>
      </c>
      <c r="C10" s="462">
        <v>41258</v>
      </c>
      <c r="D10" s="421">
        <f>SUM(B10,C10)</f>
        <v>85294</v>
      </c>
      <c r="E10" s="462">
        <v>2258</v>
      </c>
      <c r="F10" s="461">
        <v>2223</v>
      </c>
      <c r="G10" s="463">
        <f>SUM(E10,F10)</f>
        <v>4481</v>
      </c>
    </row>
    <row r="11" spans="1:8" ht="18" customHeight="1">
      <c r="A11" s="540" t="s">
        <v>1120</v>
      </c>
      <c r="B11" s="462">
        <v>12978</v>
      </c>
      <c r="C11" s="462">
        <v>12107</v>
      </c>
      <c r="D11" s="421">
        <f>SUM(B11,C11)</f>
        <v>25085</v>
      </c>
      <c r="E11" s="462">
        <v>1059</v>
      </c>
      <c r="F11" s="461">
        <v>1033</v>
      </c>
      <c r="G11" s="463">
        <f>SUM(E11,F11)</f>
        <v>2092</v>
      </c>
    </row>
    <row r="12" spans="1:8" ht="18" customHeight="1">
      <c r="A12" s="824" t="s">
        <v>1264</v>
      </c>
      <c r="B12" s="137">
        <f t="shared" ref="B12:G12" si="1">SUM(B13:B21)</f>
        <v>235687</v>
      </c>
      <c r="C12" s="137">
        <f t="shared" si="1"/>
        <v>221583</v>
      </c>
      <c r="D12" s="79">
        <f t="shared" si="1"/>
        <v>457270</v>
      </c>
      <c r="E12" s="137">
        <f t="shared" si="1"/>
        <v>22432</v>
      </c>
      <c r="F12" s="185">
        <f t="shared" si="1"/>
        <v>21912</v>
      </c>
      <c r="G12" s="137">
        <f t="shared" si="1"/>
        <v>44344</v>
      </c>
    </row>
    <row r="13" spans="1:8" ht="18" customHeight="1">
      <c r="A13" s="540" t="s">
        <v>1122</v>
      </c>
      <c r="B13" s="462">
        <v>26272</v>
      </c>
      <c r="C13" s="462">
        <v>24707</v>
      </c>
      <c r="D13" s="421">
        <f t="shared" ref="D13:D21" si="2">SUM(B13,C13)</f>
        <v>50979</v>
      </c>
      <c r="E13" s="462">
        <v>855</v>
      </c>
      <c r="F13" s="461">
        <v>787</v>
      </c>
      <c r="G13" s="463">
        <f t="shared" ref="G13:G21" si="3">SUM(E13,F13)</f>
        <v>1642</v>
      </c>
    </row>
    <row r="14" spans="1:8" ht="18" customHeight="1">
      <c r="A14" s="540" t="s">
        <v>1123</v>
      </c>
      <c r="B14" s="462">
        <v>46494</v>
      </c>
      <c r="C14" s="462">
        <v>43458</v>
      </c>
      <c r="D14" s="421">
        <f t="shared" si="2"/>
        <v>89952</v>
      </c>
      <c r="E14" s="462">
        <v>5014</v>
      </c>
      <c r="F14" s="461">
        <v>4893</v>
      </c>
      <c r="G14" s="463">
        <f t="shared" si="3"/>
        <v>9907</v>
      </c>
    </row>
    <row r="15" spans="1:8" ht="18" customHeight="1">
      <c r="A15" s="540" t="s">
        <v>1124</v>
      </c>
      <c r="B15" s="462">
        <v>25222</v>
      </c>
      <c r="C15" s="462">
        <v>24030</v>
      </c>
      <c r="D15" s="421">
        <f t="shared" si="2"/>
        <v>49252</v>
      </c>
      <c r="E15" s="462">
        <v>1069</v>
      </c>
      <c r="F15" s="461">
        <v>958</v>
      </c>
      <c r="G15" s="463">
        <f t="shared" si="3"/>
        <v>2027</v>
      </c>
    </row>
    <row r="16" spans="1:8" ht="18" customHeight="1">
      <c r="A16" s="540" t="s">
        <v>1125</v>
      </c>
      <c r="B16" s="462">
        <v>34491</v>
      </c>
      <c r="C16" s="462">
        <v>32327</v>
      </c>
      <c r="D16" s="421">
        <f t="shared" si="2"/>
        <v>66818</v>
      </c>
      <c r="E16" s="462">
        <v>4778</v>
      </c>
      <c r="F16" s="461">
        <v>4714</v>
      </c>
      <c r="G16" s="463">
        <f t="shared" si="3"/>
        <v>9492</v>
      </c>
    </row>
    <row r="17" spans="1:7" ht="18" customHeight="1">
      <c r="A17" s="540" t="s">
        <v>1126</v>
      </c>
      <c r="B17" s="462">
        <v>58471</v>
      </c>
      <c r="C17" s="462">
        <v>54733</v>
      </c>
      <c r="D17" s="421">
        <f t="shared" si="2"/>
        <v>113204</v>
      </c>
      <c r="E17" s="462">
        <v>8048</v>
      </c>
      <c r="F17" s="461">
        <v>7971</v>
      </c>
      <c r="G17" s="463">
        <f t="shared" si="3"/>
        <v>16019</v>
      </c>
    </row>
    <row r="18" spans="1:7" ht="18" customHeight="1">
      <c r="A18" s="540" t="s">
        <v>1127</v>
      </c>
      <c r="B18" s="462">
        <v>13880</v>
      </c>
      <c r="C18" s="462">
        <v>13194</v>
      </c>
      <c r="D18" s="421">
        <f t="shared" si="2"/>
        <v>27074</v>
      </c>
      <c r="E18" s="462">
        <v>454</v>
      </c>
      <c r="F18" s="461">
        <v>477</v>
      </c>
      <c r="G18" s="463">
        <f t="shared" si="3"/>
        <v>931</v>
      </c>
    </row>
    <row r="19" spans="1:7" ht="18" customHeight="1">
      <c r="A19" s="540" t="s">
        <v>1128</v>
      </c>
      <c r="B19" s="462">
        <v>13139</v>
      </c>
      <c r="C19" s="462">
        <v>12424</v>
      </c>
      <c r="D19" s="421">
        <f t="shared" si="2"/>
        <v>25563</v>
      </c>
      <c r="E19" s="462">
        <v>1190</v>
      </c>
      <c r="F19" s="461">
        <v>1102</v>
      </c>
      <c r="G19" s="463">
        <f t="shared" si="3"/>
        <v>2292</v>
      </c>
    </row>
    <row r="20" spans="1:7" ht="18" customHeight="1">
      <c r="A20" s="540" t="s">
        <v>90</v>
      </c>
      <c r="B20" s="462">
        <v>10106</v>
      </c>
      <c r="C20" s="462">
        <v>9506</v>
      </c>
      <c r="D20" s="421">
        <f t="shared" si="2"/>
        <v>19612</v>
      </c>
      <c r="E20" s="462">
        <v>842</v>
      </c>
      <c r="F20" s="461">
        <v>800</v>
      </c>
      <c r="G20" s="463">
        <f t="shared" si="3"/>
        <v>1642</v>
      </c>
    </row>
    <row r="21" spans="1:7" ht="18" customHeight="1">
      <c r="A21" s="540" t="s">
        <v>1130</v>
      </c>
      <c r="B21" s="462">
        <v>7612</v>
      </c>
      <c r="C21" s="462">
        <v>7204</v>
      </c>
      <c r="D21" s="421">
        <f t="shared" si="2"/>
        <v>14816</v>
      </c>
      <c r="E21" s="462">
        <v>182</v>
      </c>
      <c r="F21" s="461">
        <v>210</v>
      </c>
      <c r="G21" s="463">
        <f t="shared" si="3"/>
        <v>392</v>
      </c>
    </row>
    <row r="22" spans="1:7" ht="18" customHeight="1">
      <c r="A22" s="824" t="s">
        <v>805</v>
      </c>
      <c r="B22" s="137">
        <f t="shared" ref="B22:G22" si="4">SUM(B23:B31)</f>
        <v>296220</v>
      </c>
      <c r="C22" s="137">
        <f t="shared" si="4"/>
        <v>277357</v>
      </c>
      <c r="D22" s="79">
        <f t="shared" si="4"/>
        <v>573577</v>
      </c>
      <c r="E22" s="137">
        <f t="shared" si="4"/>
        <v>20982</v>
      </c>
      <c r="F22" s="185">
        <f t="shared" si="4"/>
        <v>20506</v>
      </c>
      <c r="G22" s="137">
        <f t="shared" si="4"/>
        <v>41488</v>
      </c>
    </row>
    <row r="23" spans="1:7" ht="18" customHeight="1">
      <c r="A23" s="540" t="s">
        <v>1131</v>
      </c>
      <c r="B23" s="462">
        <v>51456</v>
      </c>
      <c r="C23" s="462">
        <v>48083</v>
      </c>
      <c r="D23" s="421">
        <f t="shared" ref="D23:D31" si="5">SUM(B23,C23)</f>
        <v>99539</v>
      </c>
      <c r="E23" s="462">
        <v>4737</v>
      </c>
      <c r="F23" s="461">
        <v>4581</v>
      </c>
      <c r="G23" s="463">
        <f t="shared" ref="G23:G37" si="6">SUM(E23,F23)</f>
        <v>9318</v>
      </c>
    </row>
    <row r="24" spans="1:7" ht="18" customHeight="1">
      <c r="A24" s="540" t="s">
        <v>1133</v>
      </c>
      <c r="B24" s="462">
        <v>17174</v>
      </c>
      <c r="C24" s="462">
        <v>16319</v>
      </c>
      <c r="D24" s="421">
        <f t="shared" si="5"/>
        <v>33493</v>
      </c>
      <c r="E24" s="462">
        <v>1194</v>
      </c>
      <c r="F24" s="461">
        <v>1177</v>
      </c>
      <c r="G24" s="463">
        <f t="shared" si="6"/>
        <v>2371</v>
      </c>
    </row>
    <row r="25" spans="1:7" ht="18" customHeight="1">
      <c r="A25" s="540" t="s">
        <v>1134</v>
      </c>
      <c r="B25" s="462">
        <v>74660</v>
      </c>
      <c r="C25" s="462">
        <v>69430</v>
      </c>
      <c r="D25" s="421">
        <f t="shared" si="5"/>
        <v>144090</v>
      </c>
      <c r="E25" s="462">
        <v>4257</v>
      </c>
      <c r="F25" s="461">
        <v>4116</v>
      </c>
      <c r="G25" s="463">
        <f t="shared" si="6"/>
        <v>8373</v>
      </c>
    </row>
    <row r="26" spans="1:7" ht="18" customHeight="1">
      <c r="A26" s="540" t="s">
        <v>1623</v>
      </c>
      <c r="B26" s="462">
        <v>43840</v>
      </c>
      <c r="C26" s="462">
        <v>41071</v>
      </c>
      <c r="D26" s="421">
        <f t="shared" si="5"/>
        <v>84911</v>
      </c>
      <c r="E26" s="462">
        <v>2247</v>
      </c>
      <c r="F26" s="461">
        <v>2191</v>
      </c>
      <c r="G26" s="463">
        <f t="shared" si="6"/>
        <v>4438</v>
      </c>
    </row>
    <row r="27" spans="1:7" ht="18" customHeight="1">
      <c r="A27" s="540" t="s">
        <v>768</v>
      </c>
      <c r="B27" s="462">
        <v>5023</v>
      </c>
      <c r="C27" s="462">
        <v>4818</v>
      </c>
      <c r="D27" s="421">
        <f t="shared" si="5"/>
        <v>9841</v>
      </c>
      <c r="E27" s="462">
        <v>231</v>
      </c>
      <c r="F27" s="461">
        <v>202</v>
      </c>
      <c r="G27" s="463">
        <f t="shared" si="6"/>
        <v>433</v>
      </c>
    </row>
    <row r="28" spans="1:7" ht="18" customHeight="1">
      <c r="A28" s="540" t="s">
        <v>1625</v>
      </c>
      <c r="B28" s="462">
        <v>5572</v>
      </c>
      <c r="C28" s="462">
        <v>5330</v>
      </c>
      <c r="D28" s="421">
        <f t="shared" si="5"/>
        <v>10902</v>
      </c>
      <c r="E28" s="462">
        <v>93</v>
      </c>
      <c r="F28" s="461">
        <v>106</v>
      </c>
      <c r="G28" s="463">
        <f t="shared" si="6"/>
        <v>199</v>
      </c>
    </row>
    <row r="29" spans="1:7" ht="18" customHeight="1">
      <c r="A29" s="540" t="s">
        <v>1626</v>
      </c>
      <c r="B29" s="174">
        <v>1406</v>
      </c>
      <c r="C29" s="174">
        <v>1318</v>
      </c>
      <c r="D29" s="421">
        <f t="shared" si="5"/>
        <v>2724</v>
      </c>
      <c r="E29" s="174">
        <v>15</v>
      </c>
      <c r="F29" s="209">
        <v>11</v>
      </c>
      <c r="G29" s="463">
        <f t="shared" si="6"/>
        <v>26</v>
      </c>
    </row>
    <row r="30" spans="1:7" ht="18" customHeight="1">
      <c r="A30" s="540" t="s">
        <v>714</v>
      </c>
      <c r="B30" s="462">
        <v>90267</v>
      </c>
      <c r="C30" s="462">
        <v>84450</v>
      </c>
      <c r="D30" s="421">
        <f>SUM(B30,C30)</f>
        <v>174717</v>
      </c>
      <c r="E30" s="462">
        <v>8130</v>
      </c>
      <c r="F30" s="461">
        <v>8055</v>
      </c>
      <c r="G30" s="463">
        <f>SUM(E30,F30)</f>
        <v>16185</v>
      </c>
    </row>
    <row r="31" spans="1:7" ht="18" customHeight="1">
      <c r="A31" s="540" t="s">
        <v>1238</v>
      </c>
      <c r="B31" s="462">
        <v>6822</v>
      </c>
      <c r="C31" s="462">
        <v>6538</v>
      </c>
      <c r="D31" s="421">
        <f t="shared" si="5"/>
        <v>13360</v>
      </c>
      <c r="E31" s="462">
        <v>78</v>
      </c>
      <c r="F31" s="461">
        <v>67</v>
      </c>
      <c r="G31" s="463">
        <f t="shared" si="6"/>
        <v>145</v>
      </c>
    </row>
    <row r="32" spans="1:7" ht="18" customHeight="1">
      <c r="A32" s="824" t="s">
        <v>550</v>
      </c>
      <c r="B32" s="137">
        <f>SUM(B33:B37)</f>
        <v>174810</v>
      </c>
      <c r="C32" s="137">
        <f>SUM(C33:C37)</f>
        <v>163697</v>
      </c>
      <c r="D32" s="79">
        <f>SUM(D33:D37)</f>
        <v>338507</v>
      </c>
      <c r="E32" s="137">
        <f>SUM(E33:E37)</f>
        <v>20100</v>
      </c>
      <c r="F32" s="185">
        <f>SUM(F33:F37)</f>
        <v>19685</v>
      </c>
      <c r="G32" s="118">
        <f t="shared" si="6"/>
        <v>39785</v>
      </c>
    </row>
    <row r="33" spans="1:7" ht="18" customHeight="1">
      <c r="A33" s="540" t="s">
        <v>769</v>
      </c>
      <c r="B33" s="462">
        <v>96640</v>
      </c>
      <c r="C33" s="462">
        <v>89293</v>
      </c>
      <c r="D33" s="421">
        <f>SUM(B33,C33)</f>
        <v>185933</v>
      </c>
      <c r="E33" s="462">
        <v>10909</v>
      </c>
      <c r="F33" s="461">
        <v>10700</v>
      </c>
      <c r="G33" s="463">
        <f t="shared" si="6"/>
        <v>21609</v>
      </c>
    </row>
    <row r="34" spans="1:7" ht="18" customHeight="1">
      <c r="A34" s="540" t="s">
        <v>770</v>
      </c>
      <c r="B34" s="462">
        <v>11509</v>
      </c>
      <c r="C34" s="462">
        <v>11159</v>
      </c>
      <c r="D34" s="421">
        <f>SUM(B34,C34)</f>
        <v>22668</v>
      </c>
      <c r="E34" s="462">
        <v>1305</v>
      </c>
      <c r="F34" s="461">
        <v>1297</v>
      </c>
      <c r="G34" s="463">
        <f t="shared" si="6"/>
        <v>2602</v>
      </c>
    </row>
    <row r="35" spans="1:7" ht="18" customHeight="1">
      <c r="A35" s="540" t="s">
        <v>771</v>
      </c>
      <c r="B35" s="462">
        <v>23116</v>
      </c>
      <c r="C35" s="462">
        <v>22160</v>
      </c>
      <c r="D35" s="421">
        <f>SUM(B35,C35)</f>
        <v>45276</v>
      </c>
      <c r="E35" s="462">
        <v>1599</v>
      </c>
      <c r="F35" s="461">
        <v>1614</v>
      </c>
      <c r="G35" s="463">
        <f t="shared" si="6"/>
        <v>3213</v>
      </c>
    </row>
    <row r="36" spans="1:7" ht="18" customHeight="1">
      <c r="A36" s="540" t="s">
        <v>1629</v>
      </c>
      <c r="B36" s="462">
        <v>5451</v>
      </c>
      <c r="C36" s="462">
        <v>5424</v>
      </c>
      <c r="D36" s="421">
        <f>SUM(B36,C36)</f>
        <v>10875</v>
      </c>
      <c r="E36" s="462">
        <v>569</v>
      </c>
      <c r="F36" s="461">
        <v>574</v>
      </c>
      <c r="G36" s="463">
        <f t="shared" si="6"/>
        <v>1143</v>
      </c>
    </row>
    <row r="37" spans="1:7" ht="18" customHeight="1">
      <c r="A37" s="540" t="s">
        <v>772</v>
      </c>
      <c r="B37" s="462">
        <v>38094</v>
      </c>
      <c r="C37" s="462">
        <v>35661</v>
      </c>
      <c r="D37" s="421">
        <f>SUM(B37,C37)</f>
        <v>73755</v>
      </c>
      <c r="E37" s="462">
        <v>5718</v>
      </c>
      <c r="F37" s="461">
        <v>5500</v>
      </c>
      <c r="G37" s="463">
        <f t="shared" si="6"/>
        <v>11218</v>
      </c>
    </row>
    <row r="38" spans="1:7" ht="15" customHeight="1">
      <c r="A38" s="715" t="s">
        <v>1240</v>
      </c>
      <c r="B38" s="193"/>
      <c r="C38" s="193"/>
      <c r="D38" s="112"/>
      <c r="E38" s="193"/>
      <c r="F38" s="194"/>
      <c r="G38" s="193"/>
    </row>
    <row r="39" spans="1:7" ht="15" customHeight="1">
      <c r="A39" s="523" t="s">
        <v>317</v>
      </c>
      <c r="B39" s="118">
        <f t="shared" ref="B39:G39" si="7">SUM(B32,B22,B12,B7)</f>
        <v>798258</v>
      </c>
      <c r="C39" s="118">
        <f t="shared" si="7"/>
        <v>748659</v>
      </c>
      <c r="D39" s="44">
        <f t="shared" si="7"/>
        <v>1546917</v>
      </c>
      <c r="E39" s="118">
        <f t="shared" si="7"/>
        <v>71142</v>
      </c>
      <c r="F39" s="20">
        <f t="shared" si="7"/>
        <v>69558</v>
      </c>
      <c r="G39" s="118">
        <f t="shared" si="7"/>
        <v>140700</v>
      </c>
    </row>
    <row r="40" spans="1:7" ht="15" customHeight="1">
      <c r="A40" s="523" t="s">
        <v>318</v>
      </c>
      <c r="B40" s="137">
        <v>590538</v>
      </c>
      <c r="C40" s="137">
        <v>550803</v>
      </c>
      <c r="D40" s="79">
        <f>SUM(B40,C40)</f>
        <v>1141341</v>
      </c>
      <c r="E40" s="137">
        <v>60954</v>
      </c>
      <c r="F40" s="185">
        <v>59346</v>
      </c>
      <c r="G40" s="137">
        <f>SUM(E40,F40)</f>
        <v>120300</v>
      </c>
    </row>
    <row r="41" spans="1:7" ht="15" customHeight="1">
      <c r="A41" s="707" t="s">
        <v>319</v>
      </c>
      <c r="B41" s="168">
        <v>207720</v>
      </c>
      <c r="C41" s="168">
        <v>197856</v>
      </c>
      <c r="D41" s="875">
        <f>SUM(B41,C41)</f>
        <v>405576</v>
      </c>
      <c r="E41" s="168">
        <v>10188</v>
      </c>
      <c r="F41" s="342">
        <v>10212</v>
      </c>
      <c r="G41" s="168">
        <f>G39-G40</f>
        <v>20400</v>
      </c>
    </row>
    <row r="42" spans="1:7">
      <c r="E42" s="1349" t="s">
        <v>194</v>
      </c>
      <c r="F42" s="1349"/>
      <c r="G42" s="1349"/>
    </row>
  </sheetData>
  <mergeCells count="6">
    <mergeCell ref="A1:G1"/>
    <mergeCell ref="E42:G42"/>
    <mergeCell ref="A2:G2"/>
    <mergeCell ref="A4:A5"/>
    <mergeCell ref="B4:D4"/>
    <mergeCell ref="E4:G4"/>
  </mergeCells>
  <phoneticPr fontId="0" type="noConversion"/>
  <printOptions horizontalCentered="1"/>
  <pageMargins left="0.1" right="0.1" top="0.63" bottom="0.1" header="0.57999999999999996" footer="0.2"/>
  <pageSetup paperSize="9" orientation="portrait" blackAndWhite="1" r:id="rId1"/>
  <headerFooter alignWithMargins="0"/>
</worksheet>
</file>

<file path=xl/worksheets/sheet21.xml><?xml version="1.0" encoding="utf-8"?>
<worksheet xmlns="http://schemas.openxmlformats.org/spreadsheetml/2006/main" xmlns:r="http://schemas.openxmlformats.org/officeDocument/2006/relationships">
  <dimension ref="C1:G16"/>
  <sheetViews>
    <sheetView workbookViewId="0">
      <selection activeCell="I14" sqref="I14"/>
    </sheetView>
  </sheetViews>
  <sheetFormatPr defaultRowHeight="12.75"/>
  <cols>
    <col min="1" max="1" width="5.7109375" style="405" customWidth="1"/>
    <col min="2" max="2" width="9.140625" style="405"/>
    <col min="3" max="3" width="25.85546875" style="405" customWidth="1"/>
    <col min="4" max="7" width="20.42578125" style="405" customWidth="1"/>
    <col min="8" max="16384" width="9.140625" style="405"/>
  </cols>
  <sheetData>
    <row r="1" spans="3:7" ht="18" customHeight="1">
      <c r="C1" s="1250" t="s">
        <v>432</v>
      </c>
      <c r="D1" s="1250"/>
      <c r="E1" s="1250"/>
      <c r="F1" s="1250"/>
      <c r="G1" s="1250"/>
    </row>
    <row r="2" spans="3:7" s="412" customFormat="1" ht="24.75" customHeight="1">
      <c r="C2" s="1350" t="s">
        <v>896</v>
      </c>
      <c r="D2" s="1350"/>
      <c r="E2" s="1350"/>
      <c r="F2" s="1350"/>
      <c r="G2" s="1350"/>
    </row>
    <row r="3" spans="3:7" ht="11.25" customHeight="1">
      <c r="C3" s="511"/>
      <c r="D3" s="511"/>
      <c r="E3" s="511"/>
      <c r="F3" s="511"/>
      <c r="G3" s="876" t="s">
        <v>864</v>
      </c>
    </row>
    <row r="4" spans="3:7" ht="21" customHeight="1">
      <c r="C4" s="1333" t="s">
        <v>897</v>
      </c>
      <c r="D4" s="1253">
        <v>1991</v>
      </c>
      <c r="E4" s="1251"/>
      <c r="F4" s="1253">
        <v>2001</v>
      </c>
      <c r="G4" s="1252"/>
    </row>
    <row r="5" spans="3:7" ht="30" customHeight="1">
      <c r="C5" s="1351"/>
      <c r="D5" s="219" t="s">
        <v>119</v>
      </c>
      <c r="E5" s="747" t="s">
        <v>898</v>
      </c>
      <c r="F5" s="219" t="s">
        <v>119</v>
      </c>
      <c r="G5" s="496" t="s">
        <v>898</v>
      </c>
    </row>
    <row r="6" spans="3:7" ht="22.5" customHeight="1">
      <c r="C6" s="299" t="s">
        <v>163</v>
      </c>
      <c r="D6" s="225" t="s">
        <v>164</v>
      </c>
      <c r="E6" s="226" t="s">
        <v>165</v>
      </c>
      <c r="F6" s="225" t="s">
        <v>166</v>
      </c>
      <c r="G6" s="224" t="s">
        <v>167</v>
      </c>
    </row>
    <row r="7" spans="3:7" ht="30" customHeight="1">
      <c r="C7" s="108" t="s">
        <v>873</v>
      </c>
      <c r="D7" s="877">
        <v>2863891</v>
      </c>
      <c r="E7" s="878">
        <f t="shared" ref="E7:E13" si="0">D7/$D$15*100</f>
        <v>74.346284634057753</v>
      </c>
      <c r="F7" s="877">
        <v>3396095</v>
      </c>
      <c r="G7" s="879">
        <f>F7/$F$15*100</f>
        <v>73.750761972165293</v>
      </c>
    </row>
    <row r="8" spans="3:7" ht="30" customHeight="1">
      <c r="C8" s="108" t="s">
        <v>874</v>
      </c>
      <c r="D8" s="877">
        <v>959998</v>
      </c>
      <c r="E8" s="878">
        <f t="shared" si="0"/>
        <v>24.921438894191915</v>
      </c>
      <c r="F8" s="877">
        <v>1170282</v>
      </c>
      <c r="G8" s="879">
        <v>25.42</v>
      </c>
    </row>
    <row r="9" spans="3:7" ht="30" customHeight="1">
      <c r="C9" s="108" t="s">
        <v>875</v>
      </c>
      <c r="D9" s="877">
        <v>26674</v>
      </c>
      <c r="E9" s="878">
        <f t="shared" si="0"/>
        <v>0.6924540062205079</v>
      </c>
      <c r="F9" s="877">
        <v>29563</v>
      </c>
      <c r="G9" s="879">
        <f>F9/$F$15*100</f>
        <v>0.64200023149621044</v>
      </c>
    </row>
    <row r="10" spans="3:7" ht="30" customHeight="1">
      <c r="C10" s="108" t="s">
        <v>876</v>
      </c>
      <c r="D10" s="877">
        <v>334</v>
      </c>
      <c r="E10" s="878">
        <f t="shared" si="0"/>
        <v>8.6706020123584644E-3</v>
      </c>
      <c r="F10" s="877">
        <v>699</v>
      </c>
      <c r="G10" s="879">
        <f>F10/$F$15*100</f>
        <v>1.5179723364200218E-2</v>
      </c>
    </row>
    <row r="11" spans="3:7" ht="30" customHeight="1">
      <c r="C11" s="108" t="s">
        <v>877</v>
      </c>
      <c r="D11" s="877">
        <v>279</v>
      </c>
      <c r="E11" s="878">
        <f t="shared" si="0"/>
        <v>7.2428082678084168E-3</v>
      </c>
      <c r="F11" s="877">
        <v>635</v>
      </c>
      <c r="G11" s="879">
        <f>F11/$F$15*100</f>
        <v>1.378987744816472E-2</v>
      </c>
    </row>
    <row r="12" spans="3:7" ht="30" customHeight="1">
      <c r="C12" s="108" t="s">
        <v>878</v>
      </c>
      <c r="D12" s="877">
        <v>118</v>
      </c>
      <c r="E12" s="878">
        <f t="shared" si="0"/>
        <v>3.0632665792164632E-3</v>
      </c>
      <c r="F12" s="877">
        <v>180</v>
      </c>
      <c r="G12" s="879">
        <f>F12/$F$15*100</f>
        <v>3.9089416388498419E-3</v>
      </c>
    </row>
    <row r="13" spans="3:7" ht="30" customHeight="1">
      <c r="C13" s="108" t="s">
        <v>320</v>
      </c>
      <c r="D13" s="877">
        <v>803</v>
      </c>
      <c r="E13" s="878">
        <f t="shared" si="0"/>
        <v>2.0845788670430677E-2</v>
      </c>
      <c r="F13" s="877">
        <v>5773</v>
      </c>
      <c r="G13" s="879">
        <f>F13/$F$15*100</f>
        <v>0.12536844489488963</v>
      </c>
    </row>
    <row r="14" spans="3:7" ht="30" customHeight="1">
      <c r="C14" s="127" t="s">
        <v>322</v>
      </c>
      <c r="D14" s="880" t="s">
        <v>754</v>
      </c>
      <c r="E14" s="878" t="s">
        <v>754</v>
      </c>
      <c r="F14" s="877">
        <v>1600</v>
      </c>
      <c r="G14" s="879">
        <v>0.03</v>
      </c>
    </row>
    <row r="15" spans="3:7" ht="30" customHeight="1">
      <c r="C15" s="490" t="s">
        <v>1398</v>
      </c>
      <c r="D15" s="424">
        <f>SUM(D7:D14)</f>
        <v>3852097</v>
      </c>
      <c r="E15" s="666">
        <f>SUM(E7:E14)</f>
        <v>99.999999999999972</v>
      </c>
      <c r="F15" s="305">
        <v>4604827</v>
      </c>
      <c r="G15" s="687">
        <f>SUM(G7:G14)</f>
        <v>100.00100919100761</v>
      </c>
    </row>
    <row r="16" spans="3:7" ht="15.95" customHeight="1">
      <c r="C16" s="570" t="s">
        <v>234</v>
      </c>
      <c r="D16" s="429"/>
      <c r="E16" s="1328" t="s">
        <v>362</v>
      </c>
      <c r="F16" s="1328"/>
      <c r="G16" s="1328"/>
    </row>
  </sheetData>
  <mergeCells count="6">
    <mergeCell ref="E16:G16"/>
    <mergeCell ref="C4:C5"/>
    <mergeCell ref="F4:G4"/>
    <mergeCell ref="C1:G1"/>
    <mergeCell ref="C2:G2"/>
    <mergeCell ref="D4:E4"/>
  </mergeCells>
  <phoneticPr fontId="0" type="noConversion"/>
  <pageMargins left="0.75" right="0.75" top="1" bottom="1" header="0.5" footer="0.5"/>
  <pageSetup paperSize="9" orientation="landscape" blackAndWhite="1" r:id="rId1"/>
  <headerFooter alignWithMargins="0"/>
</worksheet>
</file>

<file path=xl/worksheets/sheet22.xml><?xml version="1.0" encoding="utf-8"?>
<worksheet xmlns="http://schemas.openxmlformats.org/spreadsheetml/2006/main" xmlns:r="http://schemas.openxmlformats.org/officeDocument/2006/relationships">
  <dimension ref="B1:AE39"/>
  <sheetViews>
    <sheetView topLeftCell="G1" workbookViewId="0">
      <selection activeCell="I31" sqref="I31"/>
    </sheetView>
  </sheetViews>
  <sheetFormatPr defaultRowHeight="12.75"/>
  <cols>
    <col min="1" max="1" width="6" style="410" customWidth="1"/>
    <col min="2" max="2" width="18.85546875" style="410" customWidth="1"/>
    <col min="3" max="8" width="9.85546875" style="410" customWidth="1"/>
    <col min="9" max="14" width="9.42578125" style="410" customWidth="1"/>
    <col min="15" max="15" width="6" style="410" customWidth="1"/>
    <col min="16" max="16" width="18.5703125" style="410" customWidth="1"/>
    <col min="17" max="28" width="7.28515625" style="410" customWidth="1"/>
    <col min="29" max="31" width="9.7109375" style="410" customWidth="1"/>
    <col min="32" max="16384" width="9.140625" style="410"/>
  </cols>
  <sheetData>
    <row r="1" spans="2:31" ht="15" customHeight="1">
      <c r="B1" s="1261" t="s">
        <v>430</v>
      </c>
      <c r="C1" s="1261"/>
      <c r="D1" s="1261"/>
      <c r="E1" s="1261"/>
      <c r="F1" s="1261"/>
      <c r="G1" s="1261"/>
      <c r="H1" s="1261"/>
      <c r="I1" s="1261"/>
      <c r="J1" s="1261"/>
      <c r="K1" s="1261"/>
      <c r="L1" s="1261"/>
      <c r="M1" s="1261"/>
      <c r="N1" s="1261"/>
    </row>
    <row r="2" spans="2:31" s="610" customFormat="1" ht="15.75" customHeight="1">
      <c r="B2" s="1355" t="s">
        <v>899</v>
      </c>
      <c r="C2" s="1355"/>
      <c r="D2" s="1355"/>
      <c r="E2" s="1355"/>
      <c r="F2" s="1355"/>
      <c r="G2" s="1355"/>
      <c r="H2" s="1355"/>
      <c r="I2" s="1355"/>
      <c r="J2" s="1355"/>
      <c r="K2" s="1355"/>
      <c r="L2" s="1355"/>
      <c r="M2" s="1355"/>
      <c r="N2" s="1355"/>
      <c r="P2" s="1261" t="s">
        <v>1246</v>
      </c>
      <c r="Q2" s="1261"/>
      <c r="R2" s="1261"/>
      <c r="S2" s="1261"/>
      <c r="T2" s="1261"/>
      <c r="U2" s="1261"/>
      <c r="V2" s="1261"/>
      <c r="W2" s="1261"/>
      <c r="X2" s="1261"/>
      <c r="Y2" s="1261"/>
      <c r="Z2" s="1261"/>
      <c r="AA2" s="1261"/>
      <c r="AB2" s="1261"/>
      <c r="AC2" s="1261"/>
      <c r="AD2" s="1261"/>
      <c r="AE2" s="1261"/>
    </row>
    <row r="3" spans="2:31" ht="12.75" customHeight="1">
      <c r="B3" s="533"/>
      <c r="C3" s="406"/>
      <c r="D3" s="406"/>
      <c r="E3" s="406"/>
      <c r="F3" s="406"/>
      <c r="G3" s="406"/>
      <c r="H3" s="406"/>
      <c r="I3" s="406"/>
      <c r="J3" s="406"/>
      <c r="K3" s="406"/>
      <c r="L3" s="406"/>
      <c r="M3" s="406"/>
      <c r="N3" s="212" t="s">
        <v>223</v>
      </c>
      <c r="P3" s="521"/>
      <c r="Q3" s="533"/>
      <c r="R3" s="533"/>
      <c r="S3" s="533"/>
      <c r="T3" s="610"/>
      <c r="U3" s="610"/>
      <c r="V3" s="610"/>
      <c r="W3" s="610"/>
      <c r="X3" s="610"/>
      <c r="Y3" s="610"/>
      <c r="Z3" s="610"/>
      <c r="AA3" s="610"/>
      <c r="AB3" s="610"/>
      <c r="AC3" s="610"/>
      <c r="AD3" s="610"/>
      <c r="AE3" s="766" t="s">
        <v>223</v>
      </c>
    </row>
    <row r="4" spans="2:31" s="199" customFormat="1" ht="12.75" customHeight="1">
      <c r="B4" s="1333" t="s">
        <v>1474</v>
      </c>
      <c r="C4" s="1352" t="s">
        <v>873</v>
      </c>
      <c r="D4" s="1353"/>
      <c r="E4" s="1354"/>
      <c r="F4" s="1353" t="s">
        <v>874</v>
      </c>
      <c r="G4" s="1353"/>
      <c r="H4" s="1353"/>
      <c r="I4" s="1352" t="s">
        <v>875</v>
      </c>
      <c r="J4" s="1353"/>
      <c r="K4" s="1354"/>
      <c r="L4" s="1352" t="s">
        <v>876</v>
      </c>
      <c r="M4" s="1353"/>
      <c r="N4" s="1354"/>
      <c r="P4" s="1333" t="s">
        <v>1474</v>
      </c>
      <c r="Q4" s="1352" t="s">
        <v>877</v>
      </c>
      <c r="R4" s="1353"/>
      <c r="S4" s="1354"/>
      <c r="T4" s="1352" t="s">
        <v>878</v>
      </c>
      <c r="U4" s="1353"/>
      <c r="V4" s="1354"/>
      <c r="W4" s="1353" t="s">
        <v>320</v>
      </c>
      <c r="X4" s="1353"/>
      <c r="Y4" s="1353"/>
      <c r="Z4" s="1352" t="s">
        <v>322</v>
      </c>
      <c r="AA4" s="1353"/>
      <c r="AB4" s="1354"/>
      <c r="AC4" s="1353" t="s">
        <v>1398</v>
      </c>
      <c r="AD4" s="1353"/>
      <c r="AE4" s="1354"/>
    </row>
    <row r="5" spans="2:31" s="199" customFormat="1" ht="18" customHeight="1">
      <c r="B5" s="1336"/>
      <c r="C5" s="881" t="s">
        <v>246</v>
      </c>
      <c r="D5" s="882" t="s">
        <v>249</v>
      </c>
      <c r="E5" s="883" t="s">
        <v>210</v>
      </c>
      <c r="F5" s="882" t="s">
        <v>246</v>
      </c>
      <c r="G5" s="882" t="s">
        <v>249</v>
      </c>
      <c r="H5" s="882" t="s">
        <v>210</v>
      </c>
      <c r="I5" s="881" t="s">
        <v>246</v>
      </c>
      <c r="J5" s="882" t="s">
        <v>249</v>
      </c>
      <c r="K5" s="883" t="s">
        <v>210</v>
      </c>
      <c r="L5" s="881" t="s">
        <v>246</v>
      </c>
      <c r="M5" s="882" t="s">
        <v>249</v>
      </c>
      <c r="N5" s="883" t="s">
        <v>210</v>
      </c>
      <c r="P5" s="1336"/>
      <c r="Q5" s="881" t="s">
        <v>246</v>
      </c>
      <c r="R5" s="882" t="s">
        <v>249</v>
      </c>
      <c r="S5" s="883" t="s">
        <v>210</v>
      </c>
      <c r="T5" s="881" t="s">
        <v>246</v>
      </c>
      <c r="U5" s="882" t="s">
        <v>249</v>
      </c>
      <c r="V5" s="883" t="s">
        <v>210</v>
      </c>
      <c r="W5" s="882" t="s">
        <v>246</v>
      </c>
      <c r="X5" s="882" t="s">
        <v>249</v>
      </c>
      <c r="Y5" s="882" t="s">
        <v>210</v>
      </c>
      <c r="Z5" s="881" t="s">
        <v>246</v>
      </c>
      <c r="AA5" s="882" t="s">
        <v>249</v>
      </c>
      <c r="AB5" s="883" t="s">
        <v>210</v>
      </c>
      <c r="AC5" s="882" t="s">
        <v>246</v>
      </c>
      <c r="AD5" s="882" t="s">
        <v>249</v>
      </c>
      <c r="AE5" s="883" t="s">
        <v>210</v>
      </c>
    </row>
    <row r="6" spans="2:31" s="199" customFormat="1" ht="12.75" customHeight="1">
      <c r="B6" s="301" t="s">
        <v>163</v>
      </c>
      <c r="C6" s="301" t="s">
        <v>164</v>
      </c>
      <c r="D6" s="302" t="s">
        <v>165</v>
      </c>
      <c r="E6" s="303" t="s">
        <v>166</v>
      </c>
      <c r="F6" s="302" t="s">
        <v>167</v>
      </c>
      <c r="G6" s="302" t="s">
        <v>168</v>
      </c>
      <c r="H6" s="302" t="s">
        <v>169</v>
      </c>
      <c r="I6" s="301" t="s">
        <v>211</v>
      </c>
      <c r="J6" s="302" t="s">
        <v>212</v>
      </c>
      <c r="K6" s="303" t="s">
        <v>213</v>
      </c>
      <c r="L6" s="301" t="s">
        <v>214</v>
      </c>
      <c r="M6" s="302" t="s">
        <v>253</v>
      </c>
      <c r="N6" s="303" t="s">
        <v>254</v>
      </c>
      <c r="O6" s="200"/>
      <c r="P6" s="301" t="s">
        <v>163</v>
      </c>
      <c r="Q6" s="301" t="s">
        <v>255</v>
      </c>
      <c r="R6" s="302" t="s">
        <v>256</v>
      </c>
      <c r="S6" s="303" t="s">
        <v>257</v>
      </c>
      <c r="T6" s="301" t="s">
        <v>262</v>
      </c>
      <c r="U6" s="302" t="s">
        <v>264</v>
      </c>
      <c r="V6" s="303" t="s">
        <v>263</v>
      </c>
      <c r="W6" s="302" t="s">
        <v>516</v>
      </c>
      <c r="X6" s="302" t="s">
        <v>517</v>
      </c>
      <c r="Y6" s="302" t="s">
        <v>518</v>
      </c>
      <c r="Z6" s="301" t="s">
        <v>1141</v>
      </c>
      <c r="AA6" s="302" t="s">
        <v>1142</v>
      </c>
      <c r="AB6" s="303" t="s">
        <v>1143</v>
      </c>
      <c r="AC6" s="302" t="s">
        <v>1144</v>
      </c>
      <c r="AD6" s="302" t="s">
        <v>1145</v>
      </c>
      <c r="AE6" s="303" t="s">
        <v>1146</v>
      </c>
    </row>
    <row r="7" spans="2:31" ht="13.5" customHeight="1">
      <c r="B7" s="884" t="s">
        <v>548</v>
      </c>
      <c r="C7" s="372">
        <f>SUM(C8:C11)</f>
        <v>214054</v>
      </c>
      <c r="D7" s="885">
        <f>SUM(D8:D11)</f>
        <v>202039</v>
      </c>
      <c r="E7" s="374">
        <f>IF(SUM(C7,D7)=0,"-",SUM(C7,D7))</f>
        <v>416093</v>
      </c>
      <c r="F7" s="885">
        <f>SUM(F8:F11)</f>
        <v>149461</v>
      </c>
      <c r="G7" s="885">
        <f>SUM(G8:G11)</f>
        <v>139941</v>
      </c>
      <c r="H7" s="885">
        <f>SUM(F7,G7)</f>
        <v>289402</v>
      </c>
      <c r="I7" s="372">
        <f>SUM(I8:I11)</f>
        <v>2212</v>
      </c>
      <c r="J7" s="885">
        <f>SUM(J8:J11)</f>
        <v>2162</v>
      </c>
      <c r="K7" s="374">
        <f>SUM(I7,J7)</f>
        <v>4374</v>
      </c>
      <c r="L7" s="372">
        <f>SUM(L8:L11)</f>
        <v>22</v>
      </c>
      <c r="M7" s="885">
        <f>SUM(M8:M11)</f>
        <v>26</v>
      </c>
      <c r="N7" s="374">
        <f>SUM(L7,M7)</f>
        <v>48</v>
      </c>
      <c r="O7" s="448"/>
      <c r="P7" s="884" t="s">
        <v>548</v>
      </c>
      <c r="Q7" s="372">
        <f>SUM(Q8:Q11)</f>
        <v>25</v>
      </c>
      <c r="R7" s="885">
        <f>SUM(R8:R11)</f>
        <v>27</v>
      </c>
      <c r="S7" s="374">
        <f>SUM(Q7,R7)</f>
        <v>52</v>
      </c>
      <c r="T7" s="372">
        <f>SUM(T8:T11)</f>
        <v>40</v>
      </c>
      <c r="U7" s="885">
        <f>SUM(U8:U11)</f>
        <v>33</v>
      </c>
      <c r="V7" s="374">
        <f>SUM(T7,U7)</f>
        <v>73</v>
      </c>
      <c r="W7" s="885">
        <f>SUM(W8:W11)</f>
        <v>29</v>
      </c>
      <c r="X7" s="885">
        <f>SUM(X8:X11)</f>
        <v>23</v>
      </c>
      <c r="Y7" s="46">
        <f>IF(SUM(W7,X7)=0,"-",SUM(W7,X7))</f>
        <v>52</v>
      </c>
      <c r="Z7" s="372">
        <f>SUM(Z8:Z11)</f>
        <v>109</v>
      </c>
      <c r="AA7" s="885">
        <f>SUM(AA8:AA11)</f>
        <v>90</v>
      </c>
      <c r="AB7" s="374">
        <f>SUM(Z7,AA7)</f>
        <v>199</v>
      </c>
      <c r="AC7" s="885">
        <f>SUM(AC8:AC11)</f>
        <v>365952</v>
      </c>
      <c r="AD7" s="885">
        <f>SUM(AD8:AD11)</f>
        <v>344341</v>
      </c>
      <c r="AE7" s="374">
        <f t="shared" ref="AE7:AE38" si="0">SUM(AC7,AD7)</f>
        <v>710293</v>
      </c>
    </row>
    <row r="8" spans="2:31" ht="13.5" customHeight="1">
      <c r="B8" s="886" t="s">
        <v>1118</v>
      </c>
      <c r="C8" s="887">
        <v>60263</v>
      </c>
      <c r="D8" s="487">
        <v>56172</v>
      </c>
      <c r="E8" s="46">
        <f>IF(SUM(C8,D8)=0,"-",SUM(C8,D8))</f>
        <v>116435</v>
      </c>
      <c r="F8" s="487">
        <v>25806</v>
      </c>
      <c r="G8" s="487">
        <v>24086</v>
      </c>
      <c r="H8" s="46">
        <f>IF(SUM(F8,G8)=0,"-",SUM(F8,G8))</f>
        <v>49892</v>
      </c>
      <c r="I8" s="887">
        <v>156</v>
      </c>
      <c r="J8" s="487">
        <v>153</v>
      </c>
      <c r="K8" s="46">
        <f>IF(SUM(I8,J8)=0,"-",SUM(I8,J8))</f>
        <v>309</v>
      </c>
      <c r="L8" s="887">
        <v>3</v>
      </c>
      <c r="M8" s="487">
        <v>3</v>
      </c>
      <c r="N8" s="46">
        <f>IF(SUM(L8,M8)=0,"-",SUM(L8,M8))</f>
        <v>6</v>
      </c>
      <c r="O8" s="448"/>
      <c r="P8" s="886" t="s">
        <v>1118</v>
      </c>
      <c r="Q8" s="888" t="s">
        <v>643</v>
      </c>
      <c r="R8" s="487">
        <v>2</v>
      </c>
      <c r="S8" s="46">
        <f>IF(SUM(Q8,R8)=0,"-",SUM(Q8,R8))</f>
        <v>2</v>
      </c>
      <c r="T8" s="887">
        <v>16</v>
      </c>
      <c r="U8" s="487">
        <v>11</v>
      </c>
      <c r="V8" s="46">
        <f>IF(SUM(T8,U8)=0,"-",SUM(T8,U8))</f>
        <v>27</v>
      </c>
      <c r="W8" s="889" t="s">
        <v>643</v>
      </c>
      <c r="X8" s="889" t="s">
        <v>643</v>
      </c>
      <c r="Y8" s="46" t="str">
        <f>IF(SUM(W8,X8)=0,"-",SUM(W8,X8))</f>
        <v>-</v>
      </c>
      <c r="Z8" s="887">
        <v>30</v>
      </c>
      <c r="AA8" s="487">
        <v>24</v>
      </c>
      <c r="AB8" s="46">
        <f>IF(SUM(Z8,AA8)=0,"-",SUM(Z8,AA8))</f>
        <v>54</v>
      </c>
      <c r="AC8" s="45">
        <f t="shared" ref="AC8:AD11" si="1">SUM(C8,F8,I8,L8,Q8,T8,W8,Z8)</f>
        <v>86274</v>
      </c>
      <c r="AD8" s="45">
        <f t="shared" si="1"/>
        <v>80451</v>
      </c>
      <c r="AE8" s="46">
        <f t="shared" si="0"/>
        <v>166725</v>
      </c>
    </row>
    <row r="9" spans="2:31" ht="13.5" customHeight="1">
      <c r="B9" s="886" t="s">
        <v>1119</v>
      </c>
      <c r="C9" s="887">
        <v>40902</v>
      </c>
      <c r="D9" s="487">
        <v>38399</v>
      </c>
      <c r="E9" s="46">
        <f>IF(SUM(C9,D9)=0,"-",SUM(C9,D9))</f>
        <v>79301</v>
      </c>
      <c r="F9" s="487">
        <v>58191</v>
      </c>
      <c r="G9" s="487">
        <v>54274</v>
      </c>
      <c r="H9" s="46">
        <f>IF(SUM(F9,G9)=0,"-",SUM(F9,G9))</f>
        <v>112465</v>
      </c>
      <c r="I9" s="887">
        <v>41</v>
      </c>
      <c r="J9" s="487">
        <v>32</v>
      </c>
      <c r="K9" s="46">
        <f>IF(SUM(I9,J9)=0,"-",SUM(I9,J9))</f>
        <v>73</v>
      </c>
      <c r="L9" s="887">
        <v>12</v>
      </c>
      <c r="M9" s="487">
        <v>12</v>
      </c>
      <c r="N9" s="46">
        <f>IF(SUM(L9,M9)=0,"-",SUM(L9,M9))</f>
        <v>24</v>
      </c>
      <c r="O9" s="448"/>
      <c r="P9" s="886" t="s">
        <v>1119</v>
      </c>
      <c r="Q9" s="887">
        <v>16</v>
      </c>
      <c r="R9" s="487">
        <v>19</v>
      </c>
      <c r="S9" s="46">
        <f>IF(SUM(Q9,R9)=0,"-",SUM(Q9,R9))</f>
        <v>35</v>
      </c>
      <c r="T9" s="888" t="s">
        <v>643</v>
      </c>
      <c r="U9" s="487">
        <v>1</v>
      </c>
      <c r="V9" s="46">
        <f>IF(SUM(T9,U9)=0,"-",SUM(T9,U9))</f>
        <v>1</v>
      </c>
      <c r="W9" s="889" t="s">
        <v>643</v>
      </c>
      <c r="X9" s="487">
        <v>1</v>
      </c>
      <c r="Y9" s="46">
        <f>IF(SUM(W9,X9)=0,"-",SUM(W9,X9))</f>
        <v>1</v>
      </c>
      <c r="Z9" s="887">
        <v>26</v>
      </c>
      <c r="AA9" s="487">
        <v>22</v>
      </c>
      <c r="AB9" s="46">
        <f>IF(SUM(Z9,AA9)=0,"-",SUM(Z9,AA9))</f>
        <v>48</v>
      </c>
      <c r="AC9" s="45">
        <f t="shared" si="1"/>
        <v>99188</v>
      </c>
      <c r="AD9" s="45">
        <f t="shared" si="1"/>
        <v>92760</v>
      </c>
      <c r="AE9" s="46">
        <f t="shared" si="0"/>
        <v>191948</v>
      </c>
    </row>
    <row r="10" spans="2:31" ht="13.5" customHeight="1">
      <c r="B10" s="886" t="s">
        <v>1121</v>
      </c>
      <c r="C10" s="887">
        <v>77791</v>
      </c>
      <c r="D10" s="487">
        <v>73729</v>
      </c>
      <c r="E10" s="46">
        <f>IF(SUM(C10,D10)=0,"-",SUM(C10,D10))</f>
        <v>151520</v>
      </c>
      <c r="F10" s="487">
        <v>31909</v>
      </c>
      <c r="G10" s="487">
        <v>29993</v>
      </c>
      <c r="H10" s="46">
        <f>IF(SUM(F10,G10)=0,"-",SUM(F10,G10))</f>
        <v>61902</v>
      </c>
      <c r="I10" s="887">
        <v>1986</v>
      </c>
      <c r="J10" s="487">
        <v>1957</v>
      </c>
      <c r="K10" s="46">
        <f>IF(SUM(I10,J10)=0,"-",SUM(I10,J10))</f>
        <v>3943</v>
      </c>
      <c r="L10" s="887">
        <v>2</v>
      </c>
      <c r="M10" s="487">
        <v>5</v>
      </c>
      <c r="N10" s="46">
        <f>IF(SUM(L10,M10)=0,"-",SUM(L10,M10))</f>
        <v>7</v>
      </c>
      <c r="O10" s="448"/>
      <c r="P10" s="886" t="s">
        <v>1121</v>
      </c>
      <c r="Q10" s="887">
        <v>5</v>
      </c>
      <c r="R10" s="487">
        <v>3</v>
      </c>
      <c r="S10" s="46">
        <f>IF(SUM(Q10,R10)=0,"-",SUM(Q10,R10))</f>
        <v>8</v>
      </c>
      <c r="T10" s="887">
        <v>5</v>
      </c>
      <c r="U10" s="487">
        <v>2</v>
      </c>
      <c r="V10" s="46">
        <f>IF(SUM(T10,U10)=0,"-",SUM(T10,U10))</f>
        <v>7</v>
      </c>
      <c r="W10" s="487">
        <v>29</v>
      </c>
      <c r="X10" s="487">
        <v>22</v>
      </c>
      <c r="Y10" s="46">
        <f>IF(SUM(W10,X10)=0,"-",SUM(W10,X10))</f>
        <v>51</v>
      </c>
      <c r="Z10" s="887">
        <v>27</v>
      </c>
      <c r="AA10" s="487">
        <v>24</v>
      </c>
      <c r="AB10" s="46">
        <f>IF(SUM(Z10,AA10)=0,"-",SUM(Z10,AA10))</f>
        <v>51</v>
      </c>
      <c r="AC10" s="45">
        <f t="shared" si="1"/>
        <v>111754</v>
      </c>
      <c r="AD10" s="45">
        <f t="shared" si="1"/>
        <v>105735</v>
      </c>
      <c r="AE10" s="46">
        <f t="shared" si="0"/>
        <v>217489</v>
      </c>
    </row>
    <row r="11" spans="2:31" ht="13.5" customHeight="1">
      <c r="B11" s="886" t="s">
        <v>1120</v>
      </c>
      <c r="C11" s="887">
        <v>35098</v>
      </c>
      <c r="D11" s="487">
        <v>33739</v>
      </c>
      <c r="E11" s="46">
        <f>IF(SUM(C11,D11)=0,"-",SUM(C11,D11))</f>
        <v>68837</v>
      </c>
      <c r="F11" s="487">
        <v>33555</v>
      </c>
      <c r="G11" s="487">
        <v>31588</v>
      </c>
      <c r="H11" s="46">
        <f>IF(SUM(F11,G11)=0,"-",SUM(F11,G11))</f>
        <v>65143</v>
      </c>
      <c r="I11" s="887">
        <v>29</v>
      </c>
      <c r="J11" s="487">
        <v>20</v>
      </c>
      <c r="K11" s="46">
        <f>IF(SUM(I11,J11)=0,"-",SUM(I11,J11))</f>
        <v>49</v>
      </c>
      <c r="L11" s="887">
        <v>5</v>
      </c>
      <c r="M11" s="487">
        <v>6</v>
      </c>
      <c r="N11" s="46">
        <f>IF(SUM(L11,M11)=0,"-",SUM(L11,M11))</f>
        <v>11</v>
      </c>
      <c r="O11" s="448"/>
      <c r="P11" s="886" t="s">
        <v>1120</v>
      </c>
      <c r="Q11" s="887">
        <v>4</v>
      </c>
      <c r="R11" s="487">
        <v>3</v>
      </c>
      <c r="S11" s="46">
        <f>IF(SUM(Q11,R11)=0,"-",SUM(Q11,R11))</f>
        <v>7</v>
      </c>
      <c r="T11" s="887">
        <v>19</v>
      </c>
      <c r="U11" s="487">
        <v>19</v>
      </c>
      <c r="V11" s="46">
        <f>IF(SUM(T11,U11)=0,"-",SUM(T11,U11))</f>
        <v>38</v>
      </c>
      <c r="W11" s="889" t="s">
        <v>643</v>
      </c>
      <c r="X11" s="889" t="s">
        <v>643</v>
      </c>
      <c r="Y11" s="46" t="str">
        <f>IF(SUM(W11,X11)=0,"-",SUM(W11,X11))</f>
        <v>-</v>
      </c>
      <c r="Z11" s="887">
        <v>26</v>
      </c>
      <c r="AA11" s="487">
        <v>20</v>
      </c>
      <c r="AB11" s="46">
        <f>IF(SUM(Z11,AA11)=0,"-",SUM(Z11,AA11))</f>
        <v>46</v>
      </c>
      <c r="AC11" s="45">
        <f t="shared" si="1"/>
        <v>68736</v>
      </c>
      <c r="AD11" s="45">
        <f t="shared" si="1"/>
        <v>65395</v>
      </c>
      <c r="AE11" s="46">
        <f t="shared" si="0"/>
        <v>134131</v>
      </c>
    </row>
    <row r="12" spans="2:31" ht="13.5" customHeight="1">
      <c r="B12" s="890" t="s">
        <v>1264</v>
      </c>
      <c r="C12" s="372">
        <f>SUM(C13:C21)</f>
        <v>593843</v>
      </c>
      <c r="D12" s="885">
        <f>SUM(D13:D21)</f>
        <v>562848</v>
      </c>
      <c r="E12" s="374">
        <f>SUM(C12,D12)</f>
        <v>1156691</v>
      </c>
      <c r="F12" s="885">
        <f>SUM(F13:F21)</f>
        <v>329662</v>
      </c>
      <c r="G12" s="885">
        <f>SUM(G13:G21)</f>
        <v>308487</v>
      </c>
      <c r="H12" s="885">
        <f>SUM(F12,G12)</f>
        <v>638149</v>
      </c>
      <c r="I12" s="372">
        <f>SUM(I13:I21)</f>
        <v>7626</v>
      </c>
      <c r="J12" s="885">
        <f>SUM(J13:J21)</f>
        <v>7889</v>
      </c>
      <c r="K12" s="374">
        <f>SUM(I12,J12)</f>
        <v>15515</v>
      </c>
      <c r="L12" s="372">
        <f>SUM(L13:L21)</f>
        <v>179</v>
      </c>
      <c r="M12" s="885">
        <f>SUM(M13:M21)</f>
        <v>102</v>
      </c>
      <c r="N12" s="374">
        <f>SUM(L12,M12)</f>
        <v>281</v>
      </c>
      <c r="O12" s="448"/>
      <c r="P12" s="890" t="s">
        <v>1264</v>
      </c>
      <c r="Q12" s="372">
        <f>SUM(Q13:Q21)</f>
        <v>123</v>
      </c>
      <c r="R12" s="885">
        <f>SUM(R13:R21)</f>
        <v>109</v>
      </c>
      <c r="S12" s="374">
        <f>SUM(Q12,R12)</f>
        <v>232</v>
      </c>
      <c r="T12" s="372">
        <f>SUM(T13:T21)</f>
        <v>37</v>
      </c>
      <c r="U12" s="885">
        <f>SUM(U13:U21)</f>
        <v>30</v>
      </c>
      <c r="V12" s="374">
        <f>SUM(T12,U12)</f>
        <v>67</v>
      </c>
      <c r="W12" s="885">
        <f>SUM(W13:W21)</f>
        <v>161</v>
      </c>
      <c r="X12" s="885">
        <f>SUM(X13:X21)</f>
        <v>156</v>
      </c>
      <c r="Y12" s="885">
        <f>SUM(W12,X12)</f>
        <v>317</v>
      </c>
      <c r="Z12" s="372">
        <f>SUM(Z13:Z21)</f>
        <v>420</v>
      </c>
      <c r="AA12" s="885">
        <f>SUM(AA13:AA21)</f>
        <v>400</v>
      </c>
      <c r="AB12" s="374">
        <f>SUM(Z12,AA12)</f>
        <v>820</v>
      </c>
      <c r="AC12" s="885">
        <f>SUM(AC13:AC21)</f>
        <v>932051</v>
      </c>
      <c r="AD12" s="885">
        <f>SUM(AD13:AD21)</f>
        <v>880021</v>
      </c>
      <c r="AE12" s="374">
        <f t="shared" si="0"/>
        <v>1812072</v>
      </c>
    </row>
    <row r="13" spans="2:31" ht="13.5" customHeight="1">
      <c r="B13" s="886" t="s">
        <v>1122</v>
      </c>
      <c r="C13" s="887">
        <v>65874</v>
      </c>
      <c r="D13" s="487">
        <v>62873</v>
      </c>
      <c r="E13" s="46">
        <f t="shared" ref="E13:E21" si="2">IF(SUM(C13,D13)=0,"-",SUM(C13,D13))</f>
        <v>128747</v>
      </c>
      <c r="F13" s="487">
        <v>83809</v>
      </c>
      <c r="G13" s="487">
        <v>77896</v>
      </c>
      <c r="H13" s="46">
        <f t="shared" ref="H13:H21" si="3">IF(SUM(F13,G13)=0,"-",SUM(F13,G13))</f>
        <v>161705</v>
      </c>
      <c r="I13" s="887">
        <v>36</v>
      </c>
      <c r="J13" s="487">
        <v>35</v>
      </c>
      <c r="K13" s="46">
        <f t="shared" ref="K13:K21" si="4">IF(SUM(I13,J13)=0,"-",SUM(I13,J13))</f>
        <v>71</v>
      </c>
      <c r="L13" s="887">
        <v>19</v>
      </c>
      <c r="M13" s="487">
        <v>14</v>
      </c>
      <c r="N13" s="46">
        <f t="shared" ref="N13:N21" si="5">IF(SUM(L13,M13)=0,"-",SUM(L13,M13))</f>
        <v>33</v>
      </c>
      <c r="O13" s="448"/>
      <c r="P13" s="886" t="s">
        <v>1122</v>
      </c>
      <c r="Q13" s="887">
        <v>7</v>
      </c>
      <c r="R13" s="487">
        <v>7</v>
      </c>
      <c r="S13" s="46">
        <f t="shared" ref="S13:S21" si="6">IF(SUM(Q13,R13)=0,"-",SUM(Q13,R13))</f>
        <v>14</v>
      </c>
      <c r="T13" s="887">
        <v>4</v>
      </c>
      <c r="U13" s="487">
        <v>1</v>
      </c>
      <c r="V13" s="46">
        <f t="shared" ref="V13:V21" si="7">IF(SUM(T13,U13)=0,"-",SUM(T13,U13))</f>
        <v>5</v>
      </c>
      <c r="W13" s="487">
        <v>2</v>
      </c>
      <c r="X13" s="487">
        <v>2</v>
      </c>
      <c r="Y13" s="46">
        <f t="shared" ref="Y13:Y21" si="8">IF(SUM(W13,X13)=0,"-",SUM(W13,X13))</f>
        <v>4</v>
      </c>
      <c r="Z13" s="887">
        <v>186</v>
      </c>
      <c r="AA13" s="487">
        <v>192</v>
      </c>
      <c r="AB13" s="46">
        <f t="shared" ref="AB13:AB21" si="9">IF(SUM(Z13,AA13)=0,"-",SUM(Z13,AA13))</f>
        <v>378</v>
      </c>
      <c r="AC13" s="45">
        <f t="shared" ref="AC13:AC21" si="10">SUM(C13,F13,I13,L13,Q13,T13,W13,Z13)</f>
        <v>149937</v>
      </c>
      <c r="AD13" s="45">
        <f t="shared" ref="AD13:AD21" si="11">SUM(D13,G13,J13,M13,R13,U13,X13,AA13)</f>
        <v>141020</v>
      </c>
      <c r="AE13" s="46">
        <f t="shared" si="0"/>
        <v>290957</v>
      </c>
    </row>
    <row r="14" spans="2:31" ht="13.5" customHeight="1">
      <c r="B14" s="886" t="s">
        <v>1123</v>
      </c>
      <c r="C14" s="887">
        <v>84642</v>
      </c>
      <c r="D14" s="487">
        <v>80194</v>
      </c>
      <c r="E14" s="46">
        <f t="shared" si="2"/>
        <v>164836</v>
      </c>
      <c r="F14" s="487">
        <v>87545</v>
      </c>
      <c r="G14" s="487">
        <v>82114</v>
      </c>
      <c r="H14" s="46">
        <f t="shared" si="3"/>
        <v>169659</v>
      </c>
      <c r="I14" s="887">
        <v>52</v>
      </c>
      <c r="J14" s="487">
        <v>45</v>
      </c>
      <c r="K14" s="46">
        <f t="shared" si="4"/>
        <v>97</v>
      </c>
      <c r="L14" s="887">
        <v>2</v>
      </c>
      <c r="M14" s="487">
        <v>4</v>
      </c>
      <c r="N14" s="46">
        <f t="shared" si="5"/>
        <v>6</v>
      </c>
      <c r="O14" s="448"/>
      <c r="P14" s="886" t="s">
        <v>1123</v>
      </c>
      <c r="Q14" s="887">
        <v>4</v>
      </c>
      <c r="R14" s="487">
        <v>7</v>
      </c>
      <c r="S14" s="46">
        <f t="shared" si="6"/>
        <v>11</v>
      </c>
      <c r="T14" s="887">
        <v>24</v>
      </c>
      <c r="U14" s="487">
        <v>18</v>
      </c>
      <c r="V14" s="46">
        <f t="shared" si="7"/>
        <v>42</v>
      </c>
      <c r="W14" s="487">
        <v>115</v>
      </c>
      <c r="X14" s="487">
        <v>112</v>
      </c>
      <c r="Y14" s="46">
        <f t="shared" si="8"/>
        <v>227</v>
      </c>
      <c r="Z14" s="887">
        <v>64</v>
      </c>
      <c r="AA14" s="487">
        <v>47</v>
      </c>
      <c r="AB14" s="46">
        <f t="shared" si="9"/>
        <v>111</v>
      </c>
      <c r="AC14" s="45">
        <f t="shared" si="10"/>
        <v>172448</v>
      </c>
      <c r="AD14" s="45">
        <f t="shared" si="11"/>
        <v>162541</v>
      </c>
      <c r="AE14" s="46">
        <f t="shared" si="0"/>
        <v>334989</v>
      </c>
    </row>
    <row r="15" spans="2:31" ht="13.5" customHeight="1">
      <c r="B15" s="886" t="s">
        <v>1124</v>
      </c>
      <c r="C15" s="887">
        <v>55049</v>
      </c>
      <c r="D15" s="487">
        <v>51364</v>
      </c>
      <c r="E15" s="46">
        <f t="shared" si="2"/>
        <v>106413</v>
      </c>
      <c r="F15" s="487">
        <v>80759</v>
      </c>
      <c r="G15" s="487">
        <v>75968</v>
      </c>
      <c r="H15" s="46">
        <f t="shared" si="3"/>
        <v>156727</v>
      </c>
      <c r="I15" s="887">
        <v>4519</v>
      </c>
      <c r="J15" s="487">
        <v>4433</v>
      </c>
      <c r="K15" s="46">
        <f t="shared" si="4"/>
        <v>8952</v>
      </c>
      <c r="L15" s="887">
        <v>70</v>
      </c>
      <c r="M15" s="487">
        <v>18</v>
      </c>
      <c r="N15" s="46">
        <f t="shared" si="5"/>
        <v>88</v>
      </c>
      <c r="O15" s="201"/>
      <c r="P15" s="886" t="s">
        <v>1124</v>
      </c>
      <c r="Q15" s="887">
        <v>10</v>
      </c>
      <c r="R15" s="487">
        <v>13</v>
      </c>
      <c r="S15" s="46">
        <f t="shared" si="6"/>
        <v>23</v>
      </c>
      <c r="T15" s="887">
        <v>2</v>
      </c>
      <c r="U15" s="487">
        <v>4</v>
      </c>
      <c r="V15" s="46">
        <f t="shared" si="7"/>
        <v>6</v>
      </c>
      <c r="W15" s="889" t="s">
        <v>643</v>
      </c>
      <c r="X15" s="889" t="s">
        <v>643</v>
      </c>
      <c r="Y15" s="46" t="str">
        <f t="shared" si="8"/>
        <v>-</v>
      </c>
      <c r="Z15" s="887">
        <v>40</v>
      </c>
      <c r="AA15" s="487">
        <v>40</v>
      </c>
      <c r="AB15" s="46">
        <f t="shared" si="9"/>
        <v>80</v>
      </c>
      <c r="AC15" s="45">
        <f t="shared" si="10"/>
        <v>140449</v>
      </c>
      <c r="AD15" s="45">
        <f t="shared" si="11"/>
        <v>131840</v>
      </c>
      <c r="AE15" s="46">
        <f t="shared" si="0"/>
        <v>272289</v>
      </c>
    </row>
    <row r="16" spans="2:31" ht="13.5" customHeight="1">
      <c r="B16" s="886" t="s">
        <v>1125</v>
      </c>
      <c r="C16" s="887">
        <v>64669</v>
      </c>
      <c r="D16" s="487">
        <v>60973</v>
      </c>
      <c r="E16" s="46">
        <f t="shared" si="2"/>
        <v>125642</v>
      </c>
      <c r="F16" s="487">
        <v>3840</v>
      </c>
      <c r="G16" s="487">
        <v>3642</v>
      </c>
      <c r="H16" s="46">
        <f t="shared" si="3"/>
        <v>7482</v>
      </c>
      <c r="I16" s="887">
        <v>87</v>
      </c>
      <c r="J16" s="487">
        <v>91</v>
      </c>
      <c r="K16" s="46">
        <f t="shared" si="4"/>
        <v>178</v>
      </c>
      <c r="L16" s="887">
        <v>15</v>
      </c>
      <c r="M16" s="487">
        <v>12</v>
      </c>
      <c r="N16" s="46">
        <f t="shared" si="5"/>
        <v>27</v>
      </c>
      <c r="O16" s="448"/>
      <c r="P16" s="886" t="s">
        <v>1125</v>
      </c>
      <c r="Q16" s="887">
        <v>4</v>
      </c>
      <c r="R16" s="487">
        <v>4</v>
      </c>
      <c r="S16" s="46">
        <f t="shared" si="6"/>
        <v>8</v>
      </c>
      <c r="T16" s="887">
        <v>1</v>
      </c>
      <c r="U16" s="889" t="s">
        <v>643</v>
      </c>
      <c r="V16" s="46">
        <f t="shared" si="7"/>
        <v>1</v>
      </c>
      <c r="W16" s="487">
        <v>1</v>
      </c>
      <c r="X16" s="889" t="s">
        <v>643</v>
      </c>
      <c r="Y16" s="46">
        <f t="shared" si="8"/>
        <v>1</v>
      </c>
      <c r="Z16" s="887">
        <v>13</v>
      </c>
      <c r="AA16" s="487">
        <v>7</v>
      </c>
      <c r="AB16" s="46">
        <f t="shared" si="9"/>
        <v>20</v>
      </c>
      <c r="AC16" s="45">
        <f t="shared" si="10"/>
        <v>68630</v>
      </c>
      <c r="AD16" s="45">
        <f t="shared" si="11"/>
        <v>64729</v>
      </c>
      <c r="AE16" s="46">
        <f t="shared" si="0"/>
        <v>133359</v>
      </c>
    </row>
    <row r="17" spans="2:31" ht="13.5" customHeight="1">
      <c r="B17" s="886" t="s">
        <v>1126</v>
      </c>
      <c r="C17" s="887">
        <v>123381</v>
      </c>
      <c r="D17" s="487">
        <v>115519</v>
      </c>
      <c r="E17" s="46">
        <f t="shared" si="2"/>
        <v>238900</v>
      </c>
      <c r="F17" s="487">
        <v>20609</v>
      </c>
      <c r="G17" s="487">
        <v>19203</v>
      </c>
      <c r="H17" s="46">
        <f t="shared" si="3"/>
        <v>39812</v>
      </c>
      <c r="I17" s="887">
        <v>747</v>
      </c>
      <c r="J17" s="487">
        <v>714</v>
      </c>
      <c r="K17" s="46">
        <f t="shared" si="4"/>
        <v>1461</v>
      </c>
      <c r="L17" s="887">
        <v>17</v>
      </c>
      <c r="M17" s="487">
        <v>16</v>
      </c>
      <c r="N17" s="46">
        <f t="shared" si="5"/>
        <v>33</v>
      </c>
      <c r="O17" s="448"/>
      <c r="P17" s="886" t="s">
        <v>1126</v>
      </c>
      <c r="Q17" s="887">
        <v>50</v>
      </c>
      <c r="R17" s="487">
        <v>36</v>
      </c>
      <c r="S17" s="46">
        <f t="shared" si="6"/>
        <v>86</v>
      </c>
      <c r="T17" s="888" t="s">
        <v>643</v>
      </c>
      <c r="U17" s="487">
        <v>2</v>
      </c>
      <c r="V17" s="46">
        <f t="shared" si="7"/>
        <v>2</v>
      </c>
      <c r="W17" s="487">
        <v>4</v>
      </c>
      <c r="X17" s="487">
        <v>8</v>
      </c>
      <c r="Y17" s="46">
        <f t="shared" si="8"/>
        <v>12</v>
      </c>
      <c r="Z17" s="887">
        <v>37</v>
      </c>
      <c r="AA17" s="487">
        <v>43</v>
      </c>
      <c r="AB17" s="46">
        <f t="shared" si="9"/>
        <v>80</v>
      </c>
      <c r="AC17" s="45">
        <f t="shared" si="10"/>
        <v>144845</v>
      </c>
      <c r="AD17" s="45">
        <f t="shared" si="11"/>
        <v>135541</v>
      </c>
      <c r="AE17" s="46">
        <f t="shared" si="0"/>
        <v>280386</v>
      </c>
    </row>
    <row r="18" spans="2:31" ht="13.5" customHeight="1">
      <c r="B18" s="886" t="s">
        <v>1127</v>
      </c>
      <c r="C18" s="887">
        <v>63988</v>
      </c>
      <c r="D18" s="487">
        <v>62102</v>
      </c>
      <c r="E18" s="46">
        <f t="shared" si="2"/>
        <v>126090</v>
      </c>
      <c r="F18" s="487">
        <v>4369</v>
      </c>
      <c r="G18" s="487">
        <v>3839</v>
      </c>
      <c r="H18" s="46">
        <f t="shared" si="3"/>
        <v>8208</v>
      </c>
      <c r="I18" s="887">
        <v>2174</v>
      </c>
      <c r="J18" s="487">
        <v>2559</v>
      </c>
      <c r="K18" s="46">
        <f t="shared" si="4"/>
        <v>4733</v>
      </c>
      <c r="L18" s="887">
        <v>27</v>
      </c>
      <c r="M18" s="487">
        <v>19</v>
      </c>
      <c r="N18" s="46">
        <f t="shared" si="5"/>
        <v>46</v>
      </c>
      <c r="O18" s="448"/>
      <c r="P18" s="886" t="s">
        <v>1127</v>
      </c>
      <c r="Q18" s="887">
        <v>10</v>
      </c>
      <c r="R18" s="487">
        <v>9</v>
      </c>
      <c r="S18" s="46">
        <f t="shared" si="6"/>
        <v>19</v>
      </c>
      <c r="T18" s="887">
        <v>1</v>
      </c>
      <c r="U18" s="889" t="s">
        <v>643</v>
      </c>
      <c r="V18" s="46">
        <f t="shared" si="7"/>
        <v>1</v>
      </c>
      <c r="W18" s="487">
        <v>1</v>
      </c>
      <c r="X18" s="889" t="s">
        <v>643</v>
      </c>
      <c r="Y18" s="46">
        <f t="shared" si="8"/>
        <v>1</v>
      </c>
      <c r="Z18" s="887">
        <v>6</v>
      </c>
      <c r="AA18" s="487">
        <v>6</v>
      </c>
      <c r="AB18" s="46">
        <f t="shared" si="9"/>
        <v>12</v>
      </c>
      <c r="AC18" s="45">
        <f t="shared" si="10"/>
        <v>70576</v>
      </c>
      <c r="AD18" s="45">
        <f t="shared" si="11"/>
        <v>68534</v>
      </c>
      <c r="AE18" s="46">
        <f t="shared" si="0"/>
        <v>139110</v>
      </c>
    </row>
    <row r="19" spans="2:31" ht="13.5" customHeight="1">
      <c r="B19" s="886" t="s">
        <v>1128</v>
      </c>
      <c r="C19" s="887">
        <v>37589</v>
      </c>
      <c r="D19" s="487">
        <v>35351</v>
      </c>
      <c r="E19" s="46">
        <f t="shared" si="2"/>
        <v>72940</v>
      </c>
      <c r="F19" s="487">
        <v>26420</v>
      </c>
      <c r="G19" s="487">
        <v>24574</v>
      </c>
      <c r="H19" s="46">
        <f t="shared" si="3"/>
        <v>50994</v>
      </c>
      <c r="I19" s="887">
        <v>7</v>
      </c>
      <c r="J19" s="487">
        <v>3</v>
      </c>
      <c r="K19" s="46">
        <f t="shared" si="4"/>
        <v>10</v>
      </c>
      <c r="L19" s="887">
        <v>20</v>
      </c>
      <c r="M19" s="487">
        <v>15</v>
      </c>
      <c r="N19" s="46">
        <f t="shared" si="5"/>
        <v>35</v>
      </c>
      <c r="O19" s="448"/>
      <c r="P19" s="886" t="s">
        <v>1128</v>
      </c>
      <c r="Q19" s="887">
        <v>26</v>
      </c>
      <c r="R19" s="487">
        <v>23</v>
      </c>
      <c r="S19" s="46">
        <f t="shared" si="6"/>
        <v>49</v>
      </c>
      <c r="T19" s="887">
        <v>4</v>
      </c>
      <c r="U19" s="487">
        <v>5</v>
      </c>
      <c r="V19" s="46">
        <f t="shared" si="7"/>
        <v>9</v>
      </c>
      <c r="W19" s="487">
        <v>38</v>
      </c>
      <c r="X19" s="487">
        <v>34</v>
      </c>
      <c r="Y19" s="46">
        <f t="shared" si="8"/>
        <v>72</v>
      </c>
      <c r="Z19" s="887">
        <v>24</v>
      </c>
      <c r="AA19" s="487">
        <v>26</v>
      </c>
      <c r="AB19" s="46">
        <f t="shared" si="9"/>
        <v>50</v>
      </c>
      <c r="AC19" s="45">
        <f t="shared" si="10"/>
        <v>64128</v>
      </c>
      <c r="AD19" s="45">
        <f t="shared" si="11"/>
        <v>60031</v>
      </c>
      <c r="AE19" s="46">
        <f t="shared" si="0"/>
        <v>124159</v>
      </c>
    </row>
    <row r="20" spans="2:31" ht="13.5" customHeight="1">
      <c r="B20" s="886" t="s">
        <v>1129</v>
      </c>
      <c r="C20" s="887">
        <v>40883</v>
      </c>
      <c r="D20" s="487">
        <v>38176</v>
      </c>
      <c r="E20" s="46">
        <f t="shared" si="2"/>
        <v>79059</v>
      </c>
      <c r="F20" s="487">
        <v>21808</v>
      </c>
      <c r="G20" s="487">
        <v>20828</v>
      </c>
      <c r="H20" s="46">
        <f t="shared" si="3"/>
        <v>42636</v>
      </c>
      <c r="I20" s="887">
        <v>1</v>
      </c>
      <c r="J20" s="487">
        <v>7</v>
      </c>
      <c r="K20" s="46">
        <f t="shared" si="4"/>
        <v>8</v>
      </c>
      <c r="L20" s="887">
        <v>7</v>
      </c>
      <c r="M20" s="487">
        <v>4</v>
      </c>
      <c r="N20" s="46">
        <f t="shared" si="5"/>
        <v>11</v>
      </c>
      <c r="O20" s="448"/>
      <c r="P20" s="886" t="s">
        <v>1129</v>
      </c>
      <c r="Q20" s="887">
        <v>11</v>
      </c>
      <c r="R20" s="487">
        <v>9</v>
      </c>
      <c r="S20" s="46">
        <f t="shared" si="6"/>
        <v>20</v>
      </c>
      <c r="T20" s="887">
        <v>1</v>
      </c>
      <c r="U20" s="889" t="s">
        <v>643</v>
      </c>
      <c r="V20" s="46">
        <f t="shared" si="7"/>
        <v>1</v>
      </c>
      <c r="W20" s="889" t="s">
        <v>643</v>
      </c>
      <c r="X20" s="889" t="s">
        <v>643</v>
      </c>
      <c r="Y20" s="46" t="str">
        <f t="shared" si="8"/>
        <v>-</v>
      </c>
      <c r="Z20" s="887">
        <v>40</v>
      </c>
      <c r="AA20" s="487">
        <v>32</v>
      </c>
      <c r="AB20" s="46">
        <f t="shared" si="9"/>
        <v>72</v>
      </c>
      <c r="AC20" s="45">
        <f t="shared" si="10"/>
        <v>62751</v>
      </c>
      <c r="AD20" s="45">
        <f t="shared" si="11"/>
        <v>59056</v>
      </c>
      <c r="AE20" s="46">
        <f t="shared" si="0"/>
        <v>121807</v>
      </c>
    </row>
    <row r="21" spans="2:31" ht="13.5" customHeight="1">
      <c r="B21" s="886" t="s">
        <v>1130</v>
      </c>
      <c r="C21" s="887">
        <v>57768</v>
      </c>
      <c r="D21" s="487">
        <v>56296</v>
      </c>
      <c r="E21" s="46">
        <f t="shared" si="2"/>
        <v>114064</v>
      </c>
      <c r="F21" s="487">
        <v>503</v>
      </c>
      <c r="G21" s="487">
        <v>423</v>
      </c>
      <c r="H21" s="46">
        <f t="shared" si="3"/>
        <v>926</v>
      </c>
      <c r="I21" s="887">
        <v>3</v>
      </c>
      <c r="J21" s="487">
        <v>2</v>
      </c>
      <c r="K21" s="46">
        <f t="shared" si="4"/>
        <v>5</v>
      </c>
      <c r="L21" s="887">
        <v>2</v>
      </c>
      <c r="M21" s="889" t="s">
        <v>643</v>
      </c>
      <c r="N21" s="46">
        <f t="shared" si="5"/>
        <v>2</v>
      </c>
      <c r="O21" s="448"/>
      <c r="P21" s="886" t="s">
        <v>1130</v>
      </c>
      <c r="Q21" s="887">
        <v>1</v>
      </c>
      <c r="R21" s="487">
        <v>1</v>
      </c>
      <c r="S21" s="46">
        <f t="shared" si="6"/>
        <v>2</v>
      </c>
      <c r="T21" s="888" t="s">
        <v>643</v>
      </c>
      <c r="U21" s="889" t="s">
        <v>643</v>
      </c>
      <c r="V21" s="46" t="str">
        <f t="shared" si="7"/>
        <v>-</v>
      </c>
      <c r="W21" s="889" t="s">
        <v>643</v>
      </c>
      <c r="X21" s="889" t="s">
        <v>643</v>
      </c>
      <c r="Y21" s="46" t="str">
        <f t="shared" si="8"/>
        <v>-</v>
      </c>
      <c r="Z21" s="887">
        <v>10</v>
      </c>
      <c r="AA21" s="487">
        <v>7</v>
      </c>
      <c r="AB21" s="46">
        <f t="shared" si="9"/>
        <v>17</v>
      </c>
      <c r="AC21" s="45">
        <f t="shared" si="10"/>
        <v>58287</v>
      </c>
      <c r="AD21" s="45">
        <f t="shared" si="11"/>
        <v>56729</v>
      </c>
      <c r="AE21" s="46">
        <f t="shared" si="0"/>
        <v>115016</v>
      </c>
    </row>
    <row r="22" spans="2:31" ht="13.5" customHeight="1">
      <c r="B22" s="884" t="s">
        <v>805</v>
      </c>
      <c r="C22" s="372">
        <f>SUM(C23:C31)</f>
        <v>587684</v>
      </c>
      <c r="D22" s="885">
        <f>SUM(D23:D31)</f>
        <v>559346</v>
      </c>
      <c r="E22" s="374">
        <f>SUM(C22,D22)</f>
        <v>1147030</v>
      </c>
      <c r="F22" s="885">
        <f>SUM(F23:F31)</f>
        <v>67710</v>
      </c>
      <c r="G22" s="885">
        <f>SUM(G23:G31)</f>
        <v>64458</v>
      </c>
      <c r="H22" s="885">
        <f>SUM(F22,G22)</f>
        <v>132168</v>
      </c>
      <c r="I22" s="372">
        <f>SUM(I23:I31)</f>
        <v>3414</v>
      </c>
      <c r="J22" s="885">
        <f>SUM(J23:J31)</f>
        <v>4090</v>
      </c>
      <c r="K22" s="374">
        <f>SUM(I22,J22)</f>
        <v>7504</v>
      </c>
      <c r="L22" s="372">
        <f>SUM(L23:L31)</f>
        <v>84</v>
      </c>
      <c r="M22" s="885">
        <f>SUM(M23:M31)</f>
        <v>65</v>
      </c>
      <c r="N22" s="374">
        <f>SUM(L22,M22)</f>
        <v>149</v>
      </c>
      <c r="O22" s="448"/>
      <c r="P22" s="884" t="s">
        <v>805</v>
      </c>
      <c r="Q22" s="372">
        <f>SUM(Q23:Q31)</f>
        <v>34</v>
      </c>
      <c r="R22" s="885">
        <f>SUM(R23:R31)</f>
        <v>28</v>
      </c>
      <c r="S22" s="374">
        <f>SUM(Q22,R22)</f>
        <v>62</v>
      </c>
      <c r="T22" s="372">
        <f>SUM(T23:T31)</f>
        <v>11</v>
      </c>
      <c r="U22" s="885">
        <f>SUM(U23:U31)</f>
        <v>13</v>
      </c>
      <c r="V22" s="374">
        <f>SUM(T22,U22)</f>
        <v>24</v>
      </c>
      <c r="W22" s="885">
        <f>SUM(W23:W31)</f>
        <v>15</v>
      </c>
      <c r="X22" s="885">
        <f>SUM(X23:X31)</f>
        <v>18</v>
      </c>
      <c r="Y22" s="885">
        <f>SUM(W22,X22)</f>
        <v>33</v>
      </c>
      <c r="Z22" s="372">
        <f>SUM(Z23:Z31)</f>
        <v>175</v>
      </c>
      <c r="AA22" s="885">
        <f>SUM(AA23:AA31)</f>
        <v>176</v>
      </c>
      <c r="AB22" s="374">
        <f>SUM(Z22,AA22)</f>
        <v>351</v>
      </c>
      <c r="AC22" s="885">
        <f>SUM(AC23:AC31)</f>
        <v>659127</v>
      </c>
      <c r="AD22" s="885">
        <f>SUM(AD23:AD31)</f>
        <v>628194</v>
      </c>
      <c r="AE22" s="374">
        <f t="shared" si="0"/>
        <v>1287321</v>
      </c>
    </row>
    <row r="23" spans="2:31" ht="13.5" customHeight="1">
      <c r="B23" s="886" t="s">
        <v>1131</v>
      </c>
      <c r="C23" s="887">
        <v>99302</v>
      </c>
      <c r="D23" s="487">
        <v>93760</v>
      </c>
      <c r="E23" s="46">
        <f t="shared" ref="E23:E31" si="12">IF(SUM(C23,D23)=0,"-",SUM(C23,D23))</f>
        <v>193062</v>
      </c>
      <c r="F23" s="487">
        <v>12080</v>
      </c>
      <c r="G23" s="487">
        <v>11514</v>
      </c>
      <c r="H23" s="46">
        <f t="shared" ref="H23:H31" si="13">IF(SUM(F23,G23)=0,"-",SUM(F23,G23))</f>
        <v>23594</v>
      </c>
      <c r="I23" s="887">
        <v>279</v>
      </c>
      <c r="J23" s="487">
        <v>277</v>
      </c>
      <c r="K23" s="46">
        <f t="shared" ref="K23:K30" si="14">IF(SUM(I23,J23)=0,"-",SUM(I23,J23))</f>
        <v>556</v>
      </c>
      <c r="L23" s="887">
        <v>23</v>
      </c>
      <c r="M23" s="487">
        <v>13</v>
      </c>
      <c r="N23" s="46">
        <f t="shared" ref="N23:N30" si="15">IF(SUM(L23,M23)=0,"-",SUM(L23,M23))</f>
        <v>36</v>
      </c>
      <c r="O23" s="448"/>
      <c r="P23" s="886" t="s">
        <v>1131</v>
      </c>
      <c r="Q23" s="887">
        <v>3</v>
      </c>
      <c r="R23" s="487">
        <v>1</v>
      </c>
      <c r="S23" s="46">
        <f t="shared" ref="S23:S31" si="16">IF(SUM(Q23,R23)=0,"-",SUM(Q23,R23))</f>
        <v>4</v>
      </c>
      <c r="T23" s="888" t="s">
        <v>643</v>
      </c>
      <c r="U23" s="889" t="s">
        <v>643</v>
      </c>
      <c r="V23" s="46" t="str">
        <f t="shared" ref="V23:V31" si="17">IF(SUM(T23,U23)=0,"-",SUM(T23,U23))</f>
        <v>-</v>
      </c>
      <c r="W23" s="889" t="s">
        <v>643</v>
      </c>
      <c r="X23" s="889" t="s">
        <v>643</v>
      </c>
      <c r="Y23" s="46" t="str">
        <f t="shared" ref="Y23:Y31" si="18">IF(SUM(W23,X23)=0,"-",SUM(W23,X23))</f>
        <v>-</v>
      </c>
      <c r="Z23" s="887">
        <v>36</v>
      </c>
      <c r="AA23" s="487">
        <v>30</v>
      </c>
      <c r="AB23" s="46">
        <f t="shared" ref="AB23:AB31" si="19">IF(SUM(Z23,AA23)=0,"-",SUM(Z23,AA23))</f>
        <v>66</v>
      </c>
      <c r="AC23" s="45">
        <f t="shared" ref="AC23:AC31" si="20">SUM(C23,F23,I23,L23,Q23,T23,W23,Z23)</f>
        <v>111723</v>
      </c>
      <c r="AD23" s="45">
        <f t="shared" ref="AD23:AD31" si="21">SUM(D23,G23,J23,M23,R23,U23,X23,AA23)</f>
        <v>105595</v>
      </c>
      <c r="AE23" s="46">
        <f t="shared" si="0"/>
        <v>217318</v>
      </c>
    </row>
    <row r="24" spans="2:31" ht="13.5" customHeight="1">
      <c r="B24" s="886" t="s">
        <v>1133</v>
      </c>
      <c r="C24" s="887">
        <v>56533</v>
      </c>
      <c r="D24" s="487">
        <v>55072</v>
      </c>
      <c r="E24" s="46">
        <f t="shared" si="12"/>
        <v>111605</v>
      </c>
      <c r="F24" s="487">
        <v>13508</v>
      </c>
      <c r="G24" s="487">
        <v>13031</v>
      </c>
      <c r="H24" s="46">
        <f t="shared" si="13"/>
        <v>26539</v>
      </c>
      <c r="I24" s="887">
        <v>5</v>
      </c>
      <c r="J24" s="487">
        <v>6</v>
      </c>
      <c r="K24" s="46">
        <f t="shared" si="14"/>
        <v>11</v>
      </c>
      <c r="L24" s="887">
        <v>10</v>
      </c>
      <c r="M24" s="487">
        <v>2</v>
      </c>
      <c r="N24" s="46">
        <f t="shared" si="15"/>
        <v>12</v>
      </c>
      <c r="O24" s="448"/>
      <c r="P24" s="886" t="s">
        <v>1133</v>
      </c>
      <c r="Q24" s="887">
        <v>6</v>
      </c>
      <c r="R24" s="487">
        <v>7</v>
      </c>
      <c r="S24" s="46">
        <f t="shared" si="16"/>
        <v>13</v>
      </c>
      <c r="T24" s="887">
        <v>3</v>
      </c>
      <c r="U24" s="487">
        <v>2</v>
      </c>
      <c r="V24" s="46">
        <f t="shared" si="17"/>
        <v>5</v>
      </c>
      <c r="W24" s="487">
        <v>2</v>
      </c>
      <c r="X24" s="487">
        <v>2</v>
      </c>
      <c r="Y24" s="46">
        <f t="shared" si="18"/>
        <v>4</v>
      </c>
      <c r="Z24" s="887">
        <v>22</v>
      </c>
      <c r="AA24" s="487">
        <v>24</v>
      </c>
      <c r="AB24" s="46">
        <f t="shared" si="19"/>
        <v>46</v>
      </c>
      <c r="AC24" s="45">
        <f t="shared" si="20"/>
        <v>70089</v>
      </c>
      <c r="AD24" s="45">
        <f t="shared" si="21"/>
        <v>68146</v>
      </c>
      <c r="AE24" s="46">
        <f t="shared" si="0"/>
        <v>138235</v>
      </c>
    </row>
    <row r="25" spans="2:31" ht="13.5" customHeight="1">
      <c r="B25" s="886" t="s">
        <v>1134</v>
      </c>
      <c r="C25" s="887">
        <v>118802</v>
      </c>
      <c r="D25" s="487">
        <v>112664</v>
      </c>
      <c r="E25" s="46">
        <f t="shared" si="12"/>
        <v>231466</v>
      </c>
      <c r="F25" s="487">
        <v>15048</v>
      </c>
      <c r="G25" s="487">
        <v>14288</v>
      </c>
      <c r="H25" s="46">
        <f t="shared" si="13"/>
        <v>29336</v>
      </c>
      <c r="I25" s="887">
        <v>33</v>
      </c>
      <c r="J25" s="487">
        <v>37</v>
      </c>
      <c r="K25" s="46">
        <f t="shared" si="14"/>
        <v>70</v>
      </c>
      <c r="L25" s="887">
        <v>2</v>
      </c>
      <c r="M25" s="487">
        <v>3</v>
      </c>
      <c r="N25" s="46">
        <f t="shared" si="15"/>
        <v>5</v>
      </c>
      <c r="O25" s="448"/>
      <c r="P25" s="886" t="s">
        <v>1134</v>
      </c>
      <c r="Q25" s="887">
        <v>5</v>
      </c>
      <c r="R25" s="487">
        <v>5</v>
      </c>
      <c r="S25" s="46">
        <f t="shared" si="16"/>
        <v>10</v>
      </c>
      <c r="T25" s="887">
        <v>3</v>
      </c>
      <c r="U25" s="487">
        <v>7</v>
      </c>
      <c r="V25" s="46">
        <f t="shared" si="17"/>
        <v>10</v>
      </c>
      <c r="W25" s="889" t="s">
        <v>643</v>
      </c>
      <c r="X25" s="487">
        <v>3</v>
      </c>
      <c r="Y25" s="46">
        <f t="shared" si="18"/>
        <v>3</v>
      </c>
      <c r="Z25" s="887">
        <v>34</v>
      </c>
      <c r="AA25" s="487">
        <v>35</v>
      </c>
      <c r="AB25" s="46">
        <f t="shared" si="19"/>
        <v>69</v>
      </c>
      <c r="AC25" s="45">
        <f t="shared" si="20"/>
        <v>133927</v>
      </c>
      <c r="AD25" s="45">
        <f t="shared" si="21"/>
        <v>127042</v>
      </c>
      <c r="AE25" s="46">
        <f t="shared" si="0"/>
        <v>260969</v>
      </c>
    </row>
    <row r="26" spans="2:31" s="199" customFormat="1" ht="13.5" customHeight="1">
      <c r="B26" s="886" t="s">
        <v>1623</v>
      </c>
      <c r="C26" s="887">
        <v>100026</v>
      </c>
      <c r="D26" s="487">
        <v>95090</v>
      </c>
      <c r="E26" s="46">
        <f t="shared" si="12"/>
        <v>195116</v>
      </c>
      <c r="F26" s="487">
        <v>5327</v>
      </c>
      <c r="G26" s="487">
        <v>5156</v>
      </c>
      <c r="H26" s="46">
        <f t="shared" si="13"/>
        <v>10483</v>
      </c>
      <c r="I26" s="887">
        <v>768</v>
      </c>
      <c r="J26" s="487">
        <v>954</v>
      </c>
      <c r="K26" s="46">
        <f t="shared" si="14"/>
        <v>1722</v>
      </c>
      <c r="L26" s="887">
        <v>7</v>
      </c>
      <c r="M26" s="487">
        <v>8</v>
      </c>
      <c r="N26" s="46">
        <f t="shared" si="15"/>
        <v>15</v>
      </c>
      <c r="P26" s="886" t="s">
        <v>1623</v>
      </c>
      <c r="Q26" s="888" t="s">
        <v>643</v>
      </c>
      <c r="R26" s="487">
        <v>1</v>
      </c>
      <c r="S26" s="46">
        <f t="shared" si="16"/>
        <v>1</v>
      </c>
      <c r="T26" s="887">
        <v>2</v>
      </c>
      <c r="U26" s="487">
        <v>1</v>
      </c>
      <c r="V26" s="46">
        <f t="shared" si="17"/>
        <v>3</v>
      </c>
      <c r="W26" s="487">
        <v>1</v>
      </c>
      <c r="X26" s="889" t="s">
        <v>643</v>
      </c>
      <c r="Y26" s="46">
        <f t="shared" si="18"/>
        <v>1</v>
      </c>
      <c r="Z26" s="887">
        <v>27</v>
      </c>
      <c r="AA26" s="487">
        <v>26</v>
      </c>
      <c r="AB26" s="46">
        <f t="shared" si="19"/>
        <v>53</v>
      </c>
      <c r="AC26" s="45">
        <f t="shared" si="20"/>
        <v>106158</v>
      </c>
      <c r="AD26" s="45">
        <f t="shared" si="21"/>
        <v>101236</v>
      </c>
      <c r="AE26" s="46">
        <f t="shared" si="0"/>
        <v>207394</v>
      </c>
    </row>
    <row r="27" spans="2:31" ht="13.5" customHeight="1">
      <c r="B27" s="886" t="s">
        <v>768</v>
      </c>
      <c r="C27" s="887">
        <v>34049</v>
      </c>
      <c r="D27" s="487">
        <v>32920</v>
      </c>
      <c r="E27" s="46">
        <f t="shared" si="12"/>
        <v>66969</v>
      </c>
      <c r="F27" s="487">
        <v>922</v>
      </c>
      <c r="G27" s="487">
        <v>696</v>
      </c>
      <c r="H27" s="46">
        <f t="shared" si="13"/>
        <v>1618</v>
      </c>
      <c r="I27" s="887">
        <v>59</v>
      </c>
      <c r="J27" s="487">
        <v>61</v>
      </c>
      <c r="K27" s="46">
        <f t="shared" si="14"/>
        <v>120</v>
      </c>
      <c r="L27" s="887">
        <v>8</v>
      </c>
      <c r="M27" s="487">
        <v>11</v>
      </c>
      <c r="N27" s="46">
        <f t="shared" si="15"/>
        <v>19</v>
      </c>
      <c r="P27" s="886" t="s">
        <v>768</v>
      </c>
      <c r="Q27" s="887">
        <v>9</v>
      </c>
      <c r="R27" s="487">
        <v>7</v>
      </c>
      <c r="S27" s="46">
        <f t="shared" si="16"/>
        <v>16</v>
      </c>
      <c r="T27" s="887">
        <v>1</v>
      </c>
      <c r="U27" s="889" t="s">
        <v>643</v>
      </c>
      <c r="V27" s="46">
        <f t="shared" si="17"/>
        <v>1</v>
      </c>
      <c r="W27" s="889" t="s">
        <v>643</v>
      </c>
      <c r="X27" s="889" t="s">
        <v>643</v>
      </c>
      <c r="Y27" s="46" t="str">
        <f t="shared" si="18"/>
        <v>-</v>
      </c>
      <c r="Z27" s="887">
        <v>4</v>
      </c>
      <c r="AA27" s="487">
        <v>2</v>
      </c>
      <c r="AB27" s="46">
        <f t="shared" si="19"/>
        <v>6</v>
      </c>
      <c r="AC27" s="45">
        <f t="shared" si="20"/>
        <v>35052</v>
      </c>
      <c r="AD27" s="45">
        <f t="shared" si="21"/>
        <v>33697</v>
      </c>
      <c r="AE27" s="46">
        <f t="shared" si="0"/>
        <v>68749</v>
      </c>
    </row>
    <row r="28" spans="2:31" ht="13.5" customHeight="1">
      <c r="B28" s="886" t="s">
        <v>1625</v>
      </c>
      <c r="C28" s="887">
        <v>13469</v>
      </c>
      <c r="D28" s="487">
        <v>12737</v>
      </c>
      <c r="E28" s="46">
        <f t="shared" si="12"/>
        <v>26206</v>
      </c>
      <c r="F28" s="487">
        <v>195</v>
      </c>
      <c r="G28" s="487">
        <v>190</v>
      </c>
      <c r="H28" s="46">
        <f t="shared" si="13"/>
        <v>385</v>
      </c>
      <c r="I28" s="888" t="s">
        <v>643</v>
      </c>
      <c r="J28" s="487">
        <v>1</v>
      </c>
      <c r="K28" s="46">
        <f t="shared" si="14"/>
        <v>1</v>
      </c>
      <c r="L28" s="887">
        <v>3</v>
      </c>
      <c r="M28" s="487">
        <v>1</v>
      </c>
      <c r="N28" s="46">
        <f t="shared" si="15"/>
        <v>4</v>
      </c>
      <c r="P28" s="886" t="s">
        <v>1625</v>
      </c>
      <c r="Q28" s="888" t="s">
        <v>643</v>
      </c>
      <c r="R28" s="889" t="s">
        <v>643</v>
      </c>
      <c r="S28" s="46" t="str">
        <f t="shared" si="16"/>
        <v>-</v>
      </c>
      <c r="T28" s="888" t="s">
        <v>643</v>
      </c>
      <c r="U28" s="889" t="s">
        <v>643</v>
      </c>
      <c r="V28" s="46" t="str">
        <f t="shared" si="17"/>
        <v>-</v>
      </c>
      <c r="W28" s="487">
        <v>1</v>
      </c>
      <c r="X28" s="889" t="s">
        <v>643</v>
      </c>
      <c r="Y28" s="46">
        <f t="shared" si="18"/>
        <v>1</v>
      </c>
      <c r="Z28" s="888" t="s">
        <v>643</v>
      </c>
      <c r="AA28" s="889" t="s">
        <v>643</v>
      </c>
      <c r="AB28" s="46" t="str">
        <f t="shared" si="19"/>
        <v>-</v>
      </c>
      <c r="AC28" s="45">
        <f t="shared" si="20"/>
        <v>13668</v>
      </c>
      <c r="AD28" s="45">
        <f t="shared" si="21"/>
        <v>12929</v>
      </c>
      <c r="AE28" s="46">
        <f t="shared" si="0"/>
        <v>26597</v>
      </c>
    </row>
    <row r="29" spans="2:31" ht="13.5" customHeight="1">
      <c r="B29" s="886" t="s">
        <v>1626</v>
      </c>
      <c r="C29" s="887">
        <v>10220</v>
      </c>
      <c r="D29" s="487">
        <v>9748</v>
      </c>
      <c r="E29" s="46">
        <f t="shared" si="12"/>
        <v>19968</v>
      </c>
      <c r="F29" s="487">
        <v>27</v>
      </c>
      <c r="G29" s="487">
        <v>20</v>
      </c>
      <c r="H29" s="46">
        <f t="shared" si="13"/>
        <v>47</v>
      </c>
      <c r="I29" s="887">
        <v>6</v>
      </c>
      <c r="J29" s="487">
        <v>6</v>
      </c>
      <c r="K29" s="46">
        <f t="shared" si="14"/>
        <v>12</v>
      </c>
      <c r="L29" s="888" t="s">
        <v>643</v>
      </c>
      <c r="M29" s="889" t="s">
        <v>643</v>
      </c>
      <c r="N29" s="46" t="str">
        <f t="shared" si="15"/>
        <v>-</v>
      </c>
      <c r="P29" s="886" t="s">
        <v>1626</v>
      </c>
      <c r="Q29" s="888" t="s">
        <v>643</v>
      </c>
      <c r="R29" s="889" t="s">
        <v>643</v>
      </c>
      <c r="S29" s="46" t="str">
        <f t="shared" si="16"/>
        <v>-</v>
      </c>
      <c r="T29" s="888" t="s">
        <v>643</v>
      </c>
      <c r="U29" s="889" t="s">
        <v>643</v>
      </c>
      <c r="V29" s="46" t="str">
        <f t="shared" si="17"/>
        <v>-</v>
      </c>
      <c r="W29" s="889" t="s">
        <v>643</v>
      </c>
      <c r="X29" s="889" t="s">
        <v>643</v>
      </c>
      <c r="Y29" s="46" t="str">
        <f t="shared" si="18"/>
        <v>-</v>
      </c>
      <c r="Z29" s="887">
        <v>13</v>
      </c>
      <c r="AA29" s="487">
        <v>11</v>
      </c>
      <c r="AB29" s="46">
        <f t="shared" si="19"/>
        <v>24</v>
      </c>
      <c r="AC29" s="45">
        <f t="shared" si="20"/>
        <v>10266</v>
      </c>
      <c r="AD29" s="45">
        <f t="shared" si="21"/>
        <v>9785</v>
      </c>
      <c r="AE29" s="46">
        <f t="shared" si="0"/>
        <v>20051</v>
      </c>
    </row>
    <row r="30" spans="2:31" ht="13.5" customHeight="1">
      <c r="B30" s="886" t="s">
        <v>714</v>
      </c>
      <c r="C30" s="887">
        <v>146253</v>
      </c>
      <c r="D30" s="487">
        <v>138639</v>
      </c>
      <c r="E30" s="46">
        <f t="shared" si="12"/>
        <v>284892</v>
      </c>
      <c r="F30" s="487">
        <v>20600</v>
      </c>
      <c r="G30" s="487">
        <v>19557</v>
      </c>
      <c r="H30" s="46">
        <f t="shared" si="13"/>
        <v>40157</v>
      </c>
      <c r="I30" s="887">
        <v>2264</v>
      </c>
      <c r="J30" s="487">
        <v>2748</v>
      </c>
      <c r="K30" s="46">
        <f t="shared" si="14"/>
        <v>5012</v>
      </c>
      <c r="L30" s="887">
        <v>29</v>
      </c>
      <c r="M30" s="487">
        <v>26</v>
      </c>
      <c r="N30" s="46">
        <f t="shared" si="15"/>
        <v>55</v>
      </c>
      <c r="P30" s="886" t="s">
        <v>714</v>
      </c>
      <c r="Q30" s="887">
        <v>11</v>
      </c>
      <c r="R30" s="487">
        <v>5</v>
      </c>
      <c r="S30" s="46">
        <f t="shared" si="16"/>
        <v>16</v>
      </c>
      <c r="T30" s="887">
        <v>2</v>
      </c>
      <c r="U30" s="487">
        <v>3</v>
      </c>
      <c r="V30" s="46">
        <f t="shared" si="17"/>
        <v>5</v>
      </c>
      <c r="W30" s="487">
        <v>11</v>
      </c>
      <c r="X30" s="487">
        <v>13</v>
      </c>
      <c r="Y30" s="46">
        <f t="shared" si="18"/>
        <v>24</v>
      </c>
      <c r="Z30" s="887">
        <v>37</v>
      </c>
      <c r="AA30" s="487">
        <v>45</v>
      </c>
      <c r="AB30" s="46">
        <f t="shared" si="19"/>
        <v>82</v>
      </c>
      <c r="AC30" s="45">
        <f t="shared" si="20"/>
        <v>169207</v>
      </c>
      <c r="AD30" s="45">
        <f t="shared" si="21"/>
        <v>161036</v>
      </c>
      <c r="AE30" s="46">
        <f t="shared" si="0"/>
        <v>330243</v>
      </c>
    </row>
    <row r="31" spans="2:31" ht="13.5" customHeight="1">
      <c r="B31" s="886" t="s">
        <v>1275</v>
      </c>
      <c r="C31" s="887">
        <v>9030</v>
      </c>
      <c r="D31" s="487">
        <v>8716</v>
      </c>
      <c r="E31" s="46">
        <f t="shared" si="12"/>
        <v>17746</v>
      </c>
      <c r="F31" s="487">
        <v>3</v>
      </c>
      <c r="G31" s="487">
        <v>6</v>
      </c>
      <c r="H31" s="46">
        <f t="shared" si="13"/>
        <v>9</v>
      </c>
      <c r="I31" s="888" t="s">
        <v>643</v>
      </c>
      <c r="J31" s="889" t="s">
        <v>643</v>
      </c>
      <c r="K31" s="46" t="str">
        <f>IF(SUM(I31,J31)=0,"-",SUM(I31,J31))</f>
        <v>-</v>
      </c>
      <c r="L31" s="887">
        <v>2</v>
      </c>
      <c r="M31" s="487">
        <v>1</v>
      </c>
      <c r="N31" s="46">
        <f>IF(SUM(L31,M31)=0,"-",SUM(L31,M31))</f>
        <v>3</v>
      </c>
      <c r="P31" s="886" t="s">
        <v>1275</v>
      </c>
      <c r="Q31" s="888" t="s">
        <v>643</v>
      </c>
      <c r="R31" s="487">
        <v>2</v>
      </c>
      <c r="S31" s="46">
        <f t="shared" si="16"/>
        <v>2</v>
      </c>
      <c r="T31" s="888" t="s">
        <v>643</v>
      </c>
      <c r="U31" s="889" t="s">
        <v>643</v>
      </c>
      <c r="V31" s="46" t="str">
        <f t="shared" si="17"/>
        <v>-</v>
      </c>
      <c r="W31" s="889" t="s">
        <v>643</v>
      </c>
      <c r="X31" s="889" t="s">
        <v>643</v>
      </c>
      <c r="Y31" s="46" t="str">
        <f t="shared" si="18"/>
        <v>-</v>
      </c>
      <c r="Z31" s="887">
        <v>2</v>
      </c>
      <c r="AA31" s="487">
        <v>3</v>
      </c>
      <c r="AB31" s="46">
        <f t="shared" si="19"/>
        <v>5</v>
      </c>
      <c r="AC31" s="45">
        <f t="shared" si="20"/>
        <v>9037</v>
      </c>
      <c r="AD31" s="45">
        <f t="shared" si="21"/>
        <v>8728</v>
      </c>
      <c r="AE31" s="46">
        <f t="shared" si="0"/>
        <v>17765</v>
      </c>
    </row>
    <row r="32" spans="2:31" ht="13.5" customHeight="1">
      <c r="B32" s="884" t="s">
        <v>1265</v>
      </c>
      <c r="C32" s="391">
        <f>SUM(C33:C37)</f>
        <v>348456</v>
      </c>
      <c r="D32" s="20">
        <f>SUM(D33:D37)</f>
        <v>327825</v>
      </c>
      <c r="E32" s="374">
        <f>SUM(C32,D32)</f>
        <v>676281</v>
      </c>
      <c r="F32" s="20">
        <f>SUM(F33:F37)</f>
        <v>57011</v>
      </c>
      <c r="G32" s="20">
        <f>SUM(G33:G37)</f>
        <v>53552</v>
      </c>
      <c r="H32" s="885">
        <f>SUM(F32,G32)</f>
        <v>110563</v>
      </c>
      <c r="I32" s="391">
        <f>SUM(I33:I37)</f>
        <v>1086</v>
      </c>
      <c r="J32" s="20">
        <f>SUM(J33:J37)</f>
        <v>1084</v>
      </c>
      <c r="K32" s="374">
        <f>SUM(I32,J32)</f>
        <v>2170</v>
      </c>
      <c r="L32" s="391">
        <f>SUM(L33:L37)</f>
        <v>139</v>
      </c>
      <c r="M32" s="20">
        <f>SUM(M33:M37)</f>
        <v>82</v>
      </c>
      <c r="N32" s="374">
        <f>SUM(L32,M32)</f>
        <v>221</v>
      </c>
      <c r="P32" s="884" t="s">
        <v>1265</v>
      </c>
      <c r="Q32" s="391">
        <f>SUM(Q33:Q37)</f>
        <v>149</v>
      </c>
      <c r="R32" s="20">
        <f>SUM(R33:R37)</f>
        <v>140</v>
      </c>
      <c r="S32" s="374">
        <f>SUM(Q32,R32)</f>
        <v>289</v>
      </c>
      <c r="T32" s="391">
        <f>SUM(T33:T37)</f>
        <v>9</v>
      </c>
      <c r="U32" s="20">
        <f>SUM(U33:U37)</f>
        <v>7</v>
      </c>
      <c r="V32" s="374">
        <f>SUM(T32,U32)</f>
        <v>16</v>
      </c>
      <c r="W32" s="20">
        <f>SUM(W33:W37)</f>
        <v>2742</v>
      </c>
      <c r="X32" s="20">
        <f>SUM(X33:X37)</f>
        <v>2629</v>
      </c>
      <c r="Y32" s="885">
        <f>SUM(W32,X32)</f>
        <v>5371</v>
      </c>
      <c r="Z32" s="391">
        <f>SUM(Z33:Z37)</f>
        <v>131</v>
      </c>
      <c r="AA32" s="20">
        <f>SUM(AA33:AA37)</f>
        <v>99</v>
      </c>
      <c r="AB32" s="374">
        <f>SUM(Z32,AA32)</f>
        <v>230</v>
      </c>
      <c r="AC32" s="20">
        <f>SUM(AC33:AC37)</f>
        <v>409723</v>
      </c>
      <c r="AD32" s="20">
        <f>SUM(AD33:AD37)</f>
        <v>385418</v>
      </c>
      <c r="AE32" s="374">
        <f t="shared" si="0"/>
        <v>795141</v>
      </c>
    </row>
    <row r="33" spans="2:31" ht="13.5" customHeight="1">
      <c r="B33" s="886" t="s">
        <v>769</v>
      </c>
      <c r="C33" s="887">
        <v>157906</v>
      </c>
      <c r="D33" s="487">
        <v>148122</v>
      </c>
      <c r="E33" s="46">
        <f>IF(SUM(C33,D33)=0,"-",SUM(C33,D33))</f>
        <v>306028</v>
      </c>
      <c r="F33" s="487">
        <v>26742</v>
      </c>
      <c r="G33" s="487">
        <v>25048</v>
      </c>
      <c r="H33" s="46">
        <f>IF(SUM(F33,G33)=0,"-",SUM(F33,G33))</f>
        <v>51790</v>
      </c>
      <c r="I33" s="887">
        <v>744</v>
      </c>
      <c r="J33" s="487">
        <v>778</v>
      </c>
      <c r="K33" s="46">
        <f>IF(SUM(I33,J33)=0,"-",SUM(I33,J33))</f>
        <v>1522</v>
      </c>
      <c r="L33" s="887">
        <v>27</v>
      </c>
      <c r="M33" s="487">
        <v>22</v>
      </c>
      <c r="N33" s="46">
        <f>IF(SUM(L33,M33)=0,"-",SUM(L33,M33))</f>
        <v>49</v>
      </c>
      <c r="P33" s="886" t="s">
        <v>769</v>
      </c>
      <c r="Q33" s="887">
        <v>26</v>
      </c>
      <c r="R33" s="487">
        <v>18</v>
      </c>
      <c r="S33" s="46">
        <f>IF(SUM(Q33,R33)=0,"-",SUM(Q33,R33))</f>
        <v>44</v>
      </c>
      <c r="T33" s="887">
        <v>1</v>
      </c>
      <c r="U33" s="487">
        <v>1</v>
      </c>
      <c r="V33" s="46">
        <f>IF(SUM(T33,U33)=0,"-",SUM(T33,U33))</f>
        <v>2</v>
      </c>
      <c r="W33" s="487">
        <v>1784</v>
      </c>
      <c r="X33" s="487">
        <v>1681</v>
      </c>
      <c r="Y33" s="46">
        <f>IF(SUM(W33,X33)=0,"-",SUM(W33,X33))</f>
        <v>3465</v>
      </c>
      <c r="Z33" s="887">
        <v>44</v>
      </c>
      <c r="AA33" s="487">
        <v>39</v>
      </c>
      <c r="AB33" s="46">
        <f>IF(SUM(Z33,AA33)=0,"-",SUM(Z33,AA33))</f>
        <v>83</v>
      </c>
      <c r="AC33" s="45">
        <f t="shared" ref="AC33:AD38" si="22">SUM(C33,F33,I33,L33,Q33,T33,W33,Z33)</f>
        <v>187274</v>
      </c>
      <c r="AD33" s="45">
        <f t="shared" si="22"/>
        <v>175709</v>
      </c>
      <c r="AE33" s="46">
        <f t="shared" si="0"/>
        <v>362983</v>
      </c>
    </row>
    <row r="34" spans="2:31" ht="13.5" customHeight="1">
      <c r="B34" s="886" t="s">
        <v>770</v>
      </c>
      <c r="C34" s="887">
        <v>43683</v>
      </c>
      <c r="D34" s="487">
        <v>42290</v>
      </c>
      <c r="E34" s="46">
        <f>IF(SUM(C34,D34)=0,"-",SUM(C34,D34))</f>
        <v>85973</v>
      </c>
      <c r="F34" s="487">
        <v>389</v>
      </c>
      <c r="G34" s="487">
        <v>291</v>
      </c>
      <c r="H34" s="46">
        <f>IF(SUM(F34,G34)=0,"-",SUM(F34,G34))</f>
        <v>680</v>
      </c>
      <c r="I34" s="887">
        <v>6</v>
      </c>
      <c r="J34" s="487">
        <v>9</v>
      </c>
      <c r="K34" s="46">
        <f>IF(SUM(I34,J34)=0,"-",SUM(I34,J34))</f>
        <v>15</v>
      </c>
      <c r="L34" s="887">
        <v>10</v>
      </c>
      <c r="M34" s="487">
        <v>8</v>
      </c>
      <c r="N34" s="46">
        <f>IF(SUM(L34,M34)=0,"-",SUM(L34,M34))</f>
        <v>18</v>
      </c>
      <c r="O34" s="202"/>
      <c r="P34" s="886" t="s">
        <v>770</v>
      </c>
      <c r="Q34" s="887">
        <v>83</v>
      </c>
      <c r="R34" s="487">
        <v>83</v>
      </c>
      <c r="S34" s="46">
        <f>IF(SUM(Q34,R34)=0,"-",SUM(Q34,R34))</f>
        <v>166</v>
      </c>
      <c r="T34" s="887">
        <v>4</v>
      </c>
      <c r="U34" s="487">
        <v>3</v>
      </c>
      <c r="V34" s="46">
        <f>IF(SUM(T34,U34)=0,"-",SUM(T34,U34))</f>
        <v>7</v>
      </c>
      <c r="W34" s="487">
        <v>64</v>
      </c>
      <c r="X34" s="487">
        <v>76</v>
      </c>
      <c r="Y34" s="46">
        <f>IF(SUM(W34,X34)=0,"-",SUM(W34,X34))</f>
        <v>140</v>
      </c>
      <c r="Z34" s="888" t="s">
        <v>643</v>
      </c>
      <c r="AA34" s="889" t="s">
        <v>643</v>
      </c>
      <c r="AB34" s="46" t="str">
        <f>IF(SUM(Z34,AA34)=0,"-",SUM(Z34,AA34))</f>
        <v>-</v>
      </c>
      <c r="AC34" s="45">
        <f t="shared" si="22"/>
        <v>44239</v>
      </c>
      <c r="AD34" s="45">
        <f t="shared" si="22"/>
        <v>42760</v>
      </c>
      <c r="AE34" s="46">
        <f t="shared" si="0"/>
        <v>86999</v>
      </c>
    </row>
    <row r="35" spans="2:31" ht="13.5" customHeight="1">
      <c r="B35" s="886" t="s">
        <v>771</v>
      </c>
      <c r="C35" s="887">
        <v>40597</v>
      </c>
      <c r="D35" s="487">
        <v>38901</v>
      </c>
      <c r="E35" s="46">
        <f>IF(SUM(C35,D35)=0,"-",SUM(C35,D35))</f>
        <v>79498</v>
      </c>
      <c r="F35" s="487">
        <v>352</v>
      </c>
      <c r="G35" s="487">
        <v>273</v>
      </c>
      <c r="H35" s="46">
        <f>IF(SUM(F35,G35)=0,"-",SUM(F35,G35))</f>
        <v>625</v>
      </c>
      <c r="I35" s="887">
        <v>107</v>
      </c>
      <c r="J35" s="487">
        <v>95</v>
      </c>
      <c r="K35" s="46">
        <f>IF(SUM(I35,J35)=0,"-",SUM(I35,J35))</f>
        <v>202</v>
      </c>
      <c r="L35" s="887">
        <v>31</v>
      </c>
      <c r="M35" s="487">
        <v>32</v>
      </c>
      <c r="N35" s="46">
        <f>IF(SUM(L35,M35)=0,"-",SUM(L35,M35))</f>
        <v>63</v>
      </c>
      <c r="P35" s="886" t="s">
        <v>771</v>
      </c>
      <c r="Q35" s="887">
        <v>24</v>
      </c>
      <c r="R35" s="487">
        <v>27</v>
      </c>
      <c r="S35" s="46">
        <f>IF(SUM(Q35,R35)=0,"-",SUM(Q35,R35))</f>
        <v>51</v>
      </c>
      <c r="T35" s="888" t="s">
        <v>643</v>
      </c>
      <c r="U35" s="487">
        <v>1</v>
      </c>
      <c r="V35" s="46">
        <f>IF(SUM(T35,U35)=0,"-",SUM(T35,U35))</f>
        <v>1</v>
      </c>
      <c r="W35" s="487">
        <v>808</v>
      </c>
      <c r="X35" s="487">
        <v>812</v>
      </c>
      <c r="Y35" s="46">
        <f>IF(SUM(W35,X35)=0,"-",SUM(W35,X35))</f>
        <v>1620</v>
      </c>
      <c r="Z35" s="887">
        <v>47</v>
      </c>
      <c r="AA35" s="487">
        <v>28</v>
      </c>
      <c r="AB35" s="46">
        <f>IF(SUM(Z35,AA35)=0,"-",SUM(Z35,AA35))</f>
        <v>75</v>
      </c>
      <c r="AC35" s="45">
        <f t="shared" si="22"/>
        <v>41966</v>
      </c>
      <c r="AD35" s="45">
        <f t="shared" si="22"/>
        <v>40169</v>
      </c>
      <c r="AE35" s="46">
        <f t="shared" si="0"/>
        <v>82135</v>
      </c>
    </row>
    <row r="36" spans="2:31" ht="13.5" customHeight="1">
      <c r="B36" s="886" t="s">
        <v>1629</v>
      </c>
      <c r="C36" s="887">
        <v>27329</v>
      </c>
      <c r="D36" s="487">
        <v>26074</v>
      </c>
      <c r="E36" s="46">
        <f>IF(SUM(C36,D36)=0,"-",SUM(C36,D36))</f>
        <v>53403</v>
      </c>
      <c r="F36" s="487">
        <v>848</v>
      </c>
      <c r="G36" s="487">
        <v>735</v>
      </c>
      <c r="H36" s="46">
        <f>IF(SUM(F36,G36)=0,"-",SUM(F36,G36))</f>
        <v>1583</v>
      </c>
      <c r="I36" s="887">
        <v>15</v>
      </c>
      <c r="J36" s="487">
        <v>16</v>
      </c>
      <c r="K36" s="46">
        <f>IF(SUM(I36,J36)=0,"-",SUM(I36,J36))</f>
        <v>31</v>
      </c>
      <c r="L36" s="887">
        <v>1</v>
      </c>
      <c r="M36" s="487">
        <v>2</v>
      </c>
      <c r="N36" s="46">
        <f>IF(SUM(L36,M36)=0,"-",SUM(L36,M36))</f>
        <v>3</v>
      </c>
      <c r="P36" s="886" t="s">
        <v>1629</v>
      </c>
      <c r="Q36" s="887">
        <v>2</v>
      </c>
      <c r="R36" s="487">
        <v>1</v>
      </c>
      <c r="S36" s="46">
        <f>IF(SUM(Q36,R36)=0,"-",SUM(Q36,R36))</f>
        <v>3</v>
      </c>
      <c r="T36" s="888" t="s">
        <v>643</v>
      </c>
      <c r="U36" s="889" t="s">
        <v>643</v>
      </c>
      <c r="V36" s="46" t="str">
        <f>IF(SUM(T36,U36)=0,"-",SUM(T36,U36))</f>
        <v>-</v>
      </c>
      <c r="W36" s="487">
        <v>1</v>
      </c>
      <c r="X36" s="487">
        <v>5</v>
      </c>
      <c r="Y36" s="46">
        <f>IF(SUM(W36,X36)=0,"-",SUM(W36,X36))</f>
        <v>6</v>
      </c>
      <c r="Z36" s="887">
        <v>11</v>
      </c>
      <c r="AA36" s="487">
        <v>8</v>
      </c>
      <c r="AB36" s="46">
        <f>IF(SUM(Z36,AA36)=0,"-",SUM(Z36,AA36))</f>
        <v>19</v>
      </c>
      <c r="AC36" s="45">
        <f t="shared" si="22"/>
        <v>28207</v>
      </c>
      <c r="AD36" s="45">
        <f t="shared" si="22"/>
        <v>26841</v>
      </c>
      <c r="AE36" s="46">
        <f t="shared" si="0"/>
        <v>55048</v>
      </c>
    </row>
    <row r="37" spans="2:31" ht="13.5" customHeight="1">
      <c r="B37" s="886" t="s">
        <v>772</v>
      </c>
      <c r="C37" s="887">
        <v>78941</v>
      </c>
      <c r="D37" s="487">
        <v>72438</v>
      </c>
      <c r="E37" s="46">
        <f>IF(SUM(C37,D37)=0,"-",SUM(C37,D37))</f>
        <v>151379</v>
      </c>
      <c r="F37" s="487">
        <v>28680</v>
      </c>
      <c r="G37" s="487">
        <v>27205</v>
      </c>
      <c r="H37" s="46">
        <f>IF(SUM(F37,G37)=0,"-",SUM(F37,G37))</f>
        <v>55885</v>
      </c>
      <c r="I37" s="887">
        <v>214</v>
      </c>
      <c r="J37" s="487">
        <v>186</v>
      </c>
      <c r="K37" s="46">
        <f>IF(SUM(I37,J37)=0,"-",SUM(I37,J37))</f>
        <v>400</v>
      </c>
      <c r="L37" s="887">
        <v>70</v>
      </c>
      <c r="M37" s="487">
        <v>18</v>
      </c>
      <c r="N37" s="46">
        <f>IF(SUM(L37,M37)=0,"-",SUM(L37,M37))</f>
        <v>88</v>
      </c>
      <c r="P37" s="886" t="s">
        <v>772</v>
      </c>
      <c r="Q37" s="887">
        <v>14</v>
      </c>
      <c r="R37" s="487">
        <v>11</v>
      </c>
      <c r="S37" s="46">
        <f>IF(SUM(Q37,R37)=0,"-",SUM(Q37,R37))</f>
        <v>25</v>
      </c>
      <c r="T37" s="887">
        <v>4</v>
      </c>
      <c r="U37" s="487">
        <v>2</v>
      </c>
      <c r="V37" s="46">
        <f>IF(SUM(T37,U37)=0,"-",SUM(T37,U37))</f>
        <v>6</v>
      </c>
      <c r="W37" s="487">
        <v>85</v>
      </c>
      <c r="X37" s="487">
        <v>55</v>
      </c>
      <c r="Y37" s="46">
        <f>IF(SUM(W37,X37)=0,"-",SUM(W37,X37))</f>
        <v>140</v>
      </c>
      <c r="Z37" s="887">
        <v>29</v>
      </c>
      <c r="AA37" s="487">
        <v>24</v>
      </c>
      <c r="AB37" s="46">
        <f>IF(SUM(Z37,AA37)=0,"-",SUM(Z37,AA37))</f>
        <v>53</v>
      </c>
      <c r="AC37" s="45">
        <f t="shared" si="22"/>
        <v>108037</v>
      </c>
      <c r="AD37" s="45">
        <f t="shared" si="22"/>
        <v>99939</v>
      </c>
      <c r="AE37" s="46">
        <f t="shared" si="0"/>
        <v>207976</v>
      </c>
    </row>
    <row r="38" spans="2:31" s="161" customFormat="1" ht="13.5" customHeight="1">
      <c r="B38" s="891" t="s">
        <v>1184</v>
      </c>
      <c r="C38" s="892">
        <f>SUM(C7,C12,C22,C32)</f>
        <v>1744037</v>
      </c>
      <c r="D38" s="423">
        <f>SUM(D7,D12,D22,D32)</f>
        <v>1652058</v>
      </c>
      <c r="E38" s="306">
        <f>SUM(C38,D38)</f>
        <v>3396095</v>
      </c>
      <c r="F38" s="423">
        <f>SUM(F7,F12,F22,F32)</f>
        <v>603844</v>
      </c>
      <c r="G38" s="423">
        <f>SUM(G7,G12,G22,G32)</f>
        <v>566438</v>
      </c>
      <c r="H38" s="477">
        <f>SUM(F38,G38)</f>
        <v>1170282</v>
      </c>
      <c r="I38" s="892">
        <f>SUM(I7,I12,I22,I32)</f>
        <v>14338</v>
      </c>
      <c r="J38" s="423">
        <f>SUM(J7,J12,J22,J32)</f>
        <v>15225</v>
      </c>
      <c r="K38" s="306">
        <f>SUM(I38,J38)</f>
        <v>29563</v>
      </c>
      <c r="L38" s="892">
        <f>SUM(L7,L12,L22,L32)</f>
        <v>424</v>
      </c>
      <c r="M38" s="423">
        <f>SUM(M7,M12,M22,M32)</f>
        <v>275</v>
      </c>
      <c r="N38" s="306">
        <f>SUM(L38,M38)</f>
        <v>699</v>
      </c>
      <c r="P38" s="891" t="s">
        <v>1184</v>
      </c>
      <c r="Q38" s="892">
        <f>SUM(Q7,Q12,Q22,Q32)</f>
        <v>331</v>
      </c>
      <c r="R38" s="423">
        <f>SUM(R7,R12,R22,R32)</f>
        <v>304</v>
      </c>
      <c r="S38" s="306">
        <f>SUM(Q38,R38)</f>
        <v>635</v>
      </c>
      <c r="T38" s="892">
        <f>SUM(T7,T12,T22,T32)</f>
        <v>97</v>
      </c>
      <c r="U38" s="423">
        <f>SUM(U7,U12,U22,U32)</f>
        <v>83</v>
      </c>
      <c r="V38" s="306">
        <f>SUM(T38,U38)</f>
        <v>180</v>
      </c>
      <c r="W38" s="423">
        <f>SUM(W7,W12,W22,W32)</f>
        <v>2947</v>
      </c>
      <c r="X38" s="423">
        <f>SUM(X7,X12,X22,X32)</f>
        <v>2826</v>
      </c>
      <c r="Y38" s="477">
        <f>SUM(W38,X38)</f>
        <v>5773</v>
      </c>
      <c r="Z38" s="892">
        <f>SUM(Z7,Z12,Z22,Z32)</f>
        <v>835</v>
      </c>
      <c r="AA38" s="423">
        <f>SUM(AA7,AA12,AA22,AA32)</f>
        <v>765</v>
      </c>
      <c r="AB38" s="306">
        <f>SUM(Z38,AA38)</f>
        <v>1600</v>
      </c>
      <c r="AC38" s="477">
        <f t="shared" si="22"/>
        <v>2366853</v>
      </c>
      <c r="AD38" s="477">
        <f t="shared" si="22"/>
        <v>2237974</v>
      </c>
      <c r="AE38" s="306">
        <f t="shared" si="0"/>
        <v>4604827</v>
      </c>
    </row>
    <row r="39" spans="2:31">
      <c r="N39" s="285" t="s">
        <v>1458</v>
      </c>
      <c r="O39" s="610"/>
      <c r="P39" s="610"/>
      <c r="Q39" s="610"/>
      <c r="R39" s="610"/>
      <c r="S39" s="610"/>
      <c r="T39" s="610"/>
      <c r="U39" s="610"/>
      <c r="V39" s="610"/>
      <c r="W39" s="610"/>
      <c r="X39" s="610"/>
      <c r="Y39" s="610"/>
      <c r="Z39" s="610"/>
      <c r="AA39" s="610"/>
      <c r="AB39" s="610"/>
      <c r="AC39" s="610"/>
      <c r="AD39" s="610"/>
      <c r="AE39" s="243" t="s">
        <v>363</v>
      </c>
    </row>
  </sheetData>
  <mergeCells count="14">
    <mergeCell ref="L4:N4"/>
    <mergeCell ref="Q4:S4"/>
    <mergeCell ref="P4:P5"/>
    <mergeCell ref="T4:V4"/>
    <mergeCell ref="B1:N1"/>
    <mergeCell ref="B2:N2"/>
    <mergeCell ref="P2:AE2"/>
    <mergeCell ref="B4:B5"/>
    <mergeCell ref="C4:E4"/>
    <mergeCell ref="F4:H4"/>
    <mergeCell ref="I4:K4"/>
    <mergeCell ref="W4:Y4"/>
    <mergeCell ref="Z4:AB4"/>
    <mergeCell ref="AC4:AE4"/>
  </mergeCells>
  <phoneticPr fontId="0" type="noConversion"/>
  <conditionalFormatting sqref="B7:B37 P7:P37">
    <cfRule type="expression" dxfId="15" priority="1" stopIfTrue="1">
      <formula>$E7="SD"</formula>
    </cfRule>
  </conditionalFormatting>
  <pageMargins left="0.2" right="0.2" top="0.4" bottom="0.5" header="0.39" footer="0.5"/>
  <pageSetup paperSize="9" orientation="landscape" blackAndWhite="1" r:id="rId1"/>
  <headerFooter alignWithMargins="0"/>
  <colBreaks count="1" manualBreakCount="1">
    <brk id="14" max="1048575" man="1"/>
  </colBreaks>
</worksheet>
</file>

<file path=xl/worksheets/sheet23.xml><?xml version="1.0" encoding="utf-8"?>
<worksheet xmlns="http://schemas.openxmlformats.org/spreadsheetml/2006/main" xmlns:r="http://schemas.openxmlformats.org/officeDocument/2006/relationships">
  <dimension ref="A1:J16"/>
  <sheetViews>
    <sheetView workbookViewId="0">
      <selection activeCell="I31" sqref="I31"/>
    </sheetView>
  </sheetViews>
  <sheetFormatPr defaultRowHeight="12.75"/>
  <cols>
    <col min="1" max="1" width="21.28515625" style="405" customWidth="1"/>
    <col min="2" max="10" width="13" style="405" customWidth="1"/>
    <col min="11" max="16384" width="9.140625" style="405"/>
  </cols>
  <sheetData>
    <row r="1" spans="1:10" ht="19.5" customHeight="1">
      <c r="A1" s="1250" t="s">
        <v>431</v>
      </c>
      <c r="B1" s="1250"/>
      <c r="C1" s="1250"/>
      <c r="D1" s="1250"/>
      <c r="E1" s="1250"/>
      <c r="F1" s="1250"/>
      <c r="G1" s="1250"/>
      <c r="H1" s="1250"/>
      <c r="I1" s="1250"/>
      <c r="J1" s="1250"/>
    </row>
    <row r="2" spans="1:10" s="412" customFormat="1" ht="21" customHeight="1">
      <c r="A2" s="1297" t="str">
        <f>CONCATENATE("Disabled Persons by type of disability and by sex in the district of ",District!$A$1,", 2011")</f>
        <v>Disabled Persons by type of disability and by sex in the district of Nadia, 2011</v>
      </c>
      <c r="B2" s="1297"/>
      <c r="C2" s="1297"/>
      <c r="D2" s="1297"/>
      <c r="E2" s="1297"/>
      <c r="F2" s="1297"/>
      <c r="G2" s="1297"/>
      <c r="H2" s="1297"/>
      <c r="I2" s="1297"/>
      <c r="J2" s="1297"/>
    </row>
    <row r="3" spans="1:10" ht="15" customHeight="1">
      <c r="A3" s="412"/>
      <c r="B3" s="436"/>
      <c r="C3" s="436"/>
      <c r="D3" s="436"/>
      <c r="E3" s="436"/>
      <c r="F3" s="436"/>
      <c r="G3" s="436"/>
      <c r="H3" s="436"/>
      <c r="I3" s="436"/>
      <c r="J3" s="451" t="s">
        <v>223</v>
      </c>
    </row>
    <row r="4" spans="1:10" ht="18" customHeight="1">
      <c r="A4" s="1262" t="s">
        <v>323</v>
      </c>
      <c r="B4" s="1253" t="s">
        <v>915</v>
      </c>
      <c r="C4" s="1356"/>
      <c r="D4" s="1357"/>
      <c r="E4" s="1253" t="s">
        <v>916</v>
      </c>
      <c r="F4" s="1356"/>
      <c r="G4" s="1357"/>
      <c r="H4" s="1253" t="s">
        <v>307</v>
      </c>
      <c r="I4" s="1356"/>
      <c r="J4" s="1357"/>
    </row>
    <row r="5" spans="1:10" ht="18" customHeight="1">
      <c r="A5" s="1263"/>
      <c r="B5" s="204" t="s">
        <v>246</v>
      </c>
      <c r="C5" s="45" t="s">
        <v>249</v>
      </c>
      <c r="D5" s="204" t="s">
        <v>210</v>
      </c>
      <c r="E5" s="108" t="s">
        <v>246</v>
      </c>
      <c r="F5" s="204" t="s">
        <v>249</v>
      </c>
      <c r="G5" s="46" t="s">
        <v>210</v>
      </c>
      <c r="H5" s="108" t="s">
        <v>246</v>
      </c>
      <c r="I5" s="204" t="s">
        <v>249</v>
      </c>
      <c r="J5" s="46" t="s">
        <v>210</v>
      </c>
    </row>
    <row r="6" spans="1:10" ht="18" customHeight="1">
      <c r="A6" s="514" t="s">
        <v>163</v>
      </c>
      <c r="B6" s="225" t="s">
        <v>164</v>
      </c>
      <c r="C6" s="226" t="s">
        <v>165</v>
      </c>
      <c r="D6" s="225" t="s">
        <v>166</v>
      </c>
      <c r="E6" s="299" t="s">
        <v>167</v>
      </c>
      <c r="F6" s="225" t="s">
        <v>168</v>
      </c>
      <c r="G6" s="224" t="s">
        <v>169</v>
      </c>
      <c r="H6" s="299" t="s">
        <v>211</v>
      </c>
      <c r="I6" s="225" t="s">
        <v>212</v>
      </c>
      <c r="J6" s="224" t="s">
        <v>213</v>
      </c>
    </row>
    <row r="7" spans="1:10" ht="33" customHeight="1">
      <c r="A7" s="81" t="s">
        <v>610</v>
      </c>
      <c r="B7" s="462">
        <v>6839</v>
      </c>
      <c r="C7" s="461">
        <v>5793</v>
      </c>
      <c r="D7" s="463">
        <f t="shared" ref="D7:D14" si="0">SUM(B7,C7)</f>
        <v>12632</v>
      </c>
      <c r="E7" s="653">
        <v>2395</v>
      </c>
      <c r="F7" s="462">
        <v>2103</v>
      </c>
      <c r="G7" s="421">
        <f t="shared" ref="G7:G14" si="1">SUM(E7,F7)</f>
        <v>4498</v>
      </c>
      <c r="H7" s="494">
        <f t="shared" ref="H7:I11" si="2">SUM(B7,E7)</f>
        <v>9234</v>
      </c>
      <c r="I7" s="463">
        <f t="shared" si="2"/>
        <v>7896</v>
      </c>
      <c r="J7" s="421">
        <f t="shared" ref="J7:J14" si="3">SUM(H7,I7)</f>
        <v>17130</v>
      </c>
    </row>
    <row r="8" spans="1:10" ht="33" customHeight="1">
      <c r="A8" s="81" t="s">
        <v>611</v>
      </c>
      <c r="B8" s="462">
        <v>2290</v>
      </c>
      <c r="C8" s="461">
        <v>1930</v>
      </c>
      <c r="D8" s="463">
        <f t="shared" si="0"/>
        <v>4220</v>
      </c>
      <c r="E8" s="653">
        <v>986</v>
      </c>
      <c r="F8" s="462">
        <v>851</v>
      </c>
      <c r="G8" s="421">
        <f t="shared" si="1"/>
        <v>1837</v>
      </c>
      <c r="H8" s="494">
        <f t="shared" si="2"/>
        <v>3276</v>
      </c>
      <c r="I8" s="463">
        <f t="shared" si="2"/>
        <v>2781</v>
      </c>
      <c r="J8" s="421">
        <f t="shared" si="3"/>
        <v>6057</v>
      </c>
    </row>
    <row r="9" spans="1:10" ht="33" customHeight="1">
      <c r="A9" s="81" t="s">
        <v>612</v>
      </c>
      <c r="B9" s="462">
        <v>4040</v>
      </c>
      <c r="C9" s="461">
        <v>3591</v>
      </c>
      <c r="D9" s="463">
        <f t="shared" si="0"/>
        <v>7631</v>
      </c>
      <c r="E9" s="653">
        <v>1558</v>
      </c>
      <c r="F9" s="462">
        <v>1359</v>
      </c>
      <c r="G9" s="421">
        <f t="shared" si="1"/>
        <v>2917</v>
      </c>
      <c r="H9" s="494">
        <f t="shared" si="2"/>
        <v>5598</v>
      </c>
      <c r="I9" s="463">
        <f t="shared" si="2"/>
        <v>4950</v>
      </c>
      <c r="J9" s="421">
        <f t="shared" si="3"/>
        <v>10548</v>
      </c>
    </row>
    <row r="10" spans="1:10" ht="33" customHeight="1">
      <c r="A10" s="81" t="s">
        <v>613</v>
      </c>
      <c r="B10" s="462">
        <v>9928</v>
      </c>
      <c r="C10" s="461">
        <v>5100</v>
      </c>
      <c r="D10" s="463">
        <f t="shared" si="0"/>
        <v>15028</v>
      </c>
      <c r="E10" s="653">
        <v>3531</v>
      </c>
      <c r="F10" s="462">
        <v>2031</v>
      </c>
      <c r="G10" s="421">
        <f t="shared" si="1"/>
        <v>5562</v>
      </c>
      <c r="H10" s="494">
        <f t="shared" si="2"/>
        <v>13459</v>
      </c>
      <c r="I10" s="463">
        <f t="shared" si="2"/>
        <v>7131</v>
      </c>
      <c r="J10" s="421">
        <f t="shared" si="3"/>
        <v>20590</v>
      </c>
    </row>
    <row r="11" spans="1:10" ht="33" customHeight="1">
      <c r="A11" s="404" t="s">
        <v>1003</v>
      </c>
      <c r="B11" s="462">
        <v>1616</v>
      </c>
      <c r="C11" s="461">
        <v>1124</v>
      </c>
      <c r="D11" s="463">
        <f t="shared" si="0"/>
        <v>2740</v>
      </c>
      <c r="E11" s="653">
        <v>766</v>
      </c>
      <c r="F11" s="462">
        <v>544</v>
      </c>
      <c r="G11" s="421">
        <f t="shared" si="1"/>
        <v>1310</v>
      </c>
      <c r="H11" s="494">
        <f t="shared" si="2"/>
        <v>2382</v>
      </c>
      <c r="I11" s="463">
        <f t="shared" si="2"/>
        <v>1668</v>
      </c>
      <c r="J11" s="421">
        <f t="shared" si="3"/>
        <v>4050</v>
      </c>
    </row>
    <row r="12" spans="1:10" ht="33" customHeight="1">
      <c r="A12" s="404" t="s">
        <v>1004</v>
      </c>
      <c r="B12" s="462">
        <v>2704</v>
      </c>
      <c r="C12" s="461">
        <v>2073</v>
      </c>
      <c r="D12" s="463">
        <f t="shared" si="0"/>
        <v>4777</v>
      </c>
      <c r="E12" s="461">
        <v>1117</v>
      </c>
      <c r="F12" s="462">
        <v>879</v>
      </c>
      <c r="G12" s="421">
        <f t="shared" si="1"/>
        <v>1996</v>
      </c>
      <c r="H12" s="494">
        <f t="shared" ref="H12:I14" si="4">SUM(B12,E12)</f>
        <v>3821</v>
      </c>
      <c r="I12" s="494">
        <f t="shared" si="4"/>
        <v>2952</v>
      </c>
      <c r="J12" s="463">
        <f t="shared" si="3"/>
        <v>6773</v>
      </c>
    </row>
    <row r="13" spans="1:10" ht="33" customHeight="1">
      <c r="A13" s="404" t="s">
        <v>1005</v>
      </c>
      <c r="B13" s="462">
        <v>7139</v>
      </c>
      <c r="C13" s="461">
        <v>4864</v>
      </c>
      <c r="D13" s="463">
        <f t="shared" si="0"/>
        <v>12003</v>
      </c>
      <c r="E13" s="461">
        <v>3149</v>
      </c>
      <c r="F13" s="462">
        <v>2379</v>
      </c>
      <c r="G13" s="421">
        <f t="shared" si="1"/>
        <v>5528</v>
      </c>
      <c r="H13" s="494">
        <f t="shared" si="4"/>
        <v>10288</v>
      </c>
      <c r="I13" s="494">
        <f t="shared" si="4"/>
        <v>7243</v>
      </c>
      <c r="J13" s="463">
        <f t="shared" si="3"/>
        <v>17531</v>
      </c>
    </row>
    <row r="14" spans="1:10" ht="33" customHeight="1">
      <c r="A14" s="404" t="s">
        <v>1006</v>
      </c>
      <c r="B14" s="462">
        <v>4637</v>
      </c>
      <c r="C14" s="461">
        <v>3968</v>
      </c>
      <c r="D14" s="463">
        <f t="shared" si="0"/>
        <v>8605</v>
      </c>
      <c r="E14" s="461">
        <v>1321</v>
      </c>
      <c r="F14" s="462">
        <v>1154</v>
      </c>
      <c r="G14" s="421">
        <f t="shared" si="1"/>
        <v>2475</v>
      </c>
      <c r="H14" s="494">
        <f t="shared" si="4"/>
        <v>5958</v>
      </c>
      <c r="I14" s="463">
        <f t="shared" si="4"/>
        <v>5122</v>
      </c>
      <c r="J14" s="489">
        <f t="shared" si="3"/>
        <v>11080</v>
      </c>
    </row>
    <row r="15" spans="1:10" s="6" customFormat="1" ht="33" customHeight="1">
      <c r="A15" s="893" t="s">
        <v>307</v>
      </c>
      <c r="B15" s="305">
        <f>SUM(B7:B14)</f>
        <v>39193</v>
      </c>
      <c r="C15" s="477">
        <f t="shared" ref="C15:J15" si="5">SUM(C7:C14)</f>
        <v>28443</v>
      </c>
      <c r="D15" s="305">
        <f t="shared" si="5"/>
        <v>67636</v>
      </c>
      <c r="E15" s="477">
        <f t="shared" si="5"/>
        <v>14823</v>
      </c>
      <c r="F15" s="305">
        <f t="shared" si="5"/>
        <v>11300</v>
      </c>
      <c r="G15" s="306">
        <f t="shared" si="5"/>
        <v>26123</v>
      </c>
      <c r="H15" s="490">
        <f t="shared" si="5"/>
        <v>54016</v>
      </c>
      <c r="I15" s="305">
        <f t="shared" si="5"/>
        <v>39743</v>
      </c>
      <c r="J15" s="130">
        <f t="shared" si="5"/>
        <v>93759</v>
      </c>
    </row>
    <row r="16" spans="1:10">
      <c r="A16" s="759"/>
      <c r="B16" s="614"/>
      <c r="C16" s="614"/>
      <c r="D16" s="614"/>
      <c r="E16" s="614"/>
      <c r="F16" s="614"/>
      <c r="G16" s="1349" t="s">
        <v>194</v>
      </c>
      <c r="H16" s="1349"/>
      <c r="I16" s="1349"/>
      <c r="J16" s="1349"/>
    </row>
  </sheetData>
  <mergeCells count="7">
    <mergeCell ref="A1:J1"/>
    <mergeCell ref="A2:J2"/>
    <mergeCell ref="G16:J16"/>
    <mergeCell ref="A4:A5"/>
    <mergeCell ref="B4:D4"/>
    <mergeCell ref="E4:G4"/>
    <mergeCell ref="H4:J4"/>
  </mergeCells>
  <phoneticPr fontId="0" type="noConversion"/>
  <printOptions horizontalCentered="1"/>
  <pageMargins left="0.14000000000000001" right="0.13" top="1.02" bottom="0.49" header="0.95" footer="0.5"/>
  <pageSetup paperSize="9" orientation="landscape" blackAndWhite="1" r:id="rId1"/>
  <headerFooter alignWithMargins="0"/>
</worksheet>
</file>

<file path=xl/worksheets/sheet24.xml><?xml version="1.0" encoding="utf-8"?>
<worksheet xmlns="http://schemas.openxmlformats.org/spreadsheetml/2006/main" xmlns:r="http://schemas.openxmlformats.org/officeDocument/2006/relationships">
  <sheetPr codeName="Sheet22"/>
  <dimension ref="B1:U65"/>
  <sheetViews>
    <sheetView topLeftCell="A10" workbookViewId="0">
      <selection activeCell="I31" sqref="I31"/>
    </sheetView>
  </sheetViews>
  <sheetFormatPr defaultRowHeight="12.75"/>
  <cols>
    <col min="1" max="1" width="4.85546875" style="604" customWidth="1"/>
    <col min="2" max="2" width="17.140625" style="604" customWidth="1"/>
    <col min="3" max="6" width="8.7109375" style="604" customWidth="1"/>
    <col min="7" max="7" width="15.7109375" style="604" customWidth="1"/>
    <col min="8" max="8" width="8.7109375" style="604" customWidth="1"/>
    <col min="9" max="9" width="11.7109375" style="604" customWidth="1"/>
    <col min="10" max="10" width="10.7109375" style="604" customWidth="1"/>
    <col min="11" max="13" width="8.7109375" style="604" customWidth="1"/>
    <col min="14" max="16384" width="9.140625" style="604"/>
  </cols>
  <sheetData>
    <row r="1" spans="2:21" ht="14.25" customHeight="1">
      <c r="B1" s="1368" t="s">
        <v>433</v>
      </c>
      <c r="C1" s="1368"/>
      <c r="D1" s="1368"/>
      <c r="E1" s="1368"/>
      <c r="F1" s="1368"/>
      <c r="G1" s="1368"/>
      <c r="H1" s="1368"/>
      <c r="I1" s="1368"/>
      <c r="J1" s="1368"/>
      <c r="K1" s="1368"/>
      <c r="L1" s="1368"/>
      <c r="M1" s="1368"/>
    </row>
    <row r="2" spans="2:21" s="894" customFormat="1" ht="15" customHeight="1">
      <c r="B2" s="1369" t="str">
        <f>CONCATENATE("Medical Facilities available in the district of ",District!$A$1)</f>
        <v>Medical Facilities available in the district of Nadia</v>
      </c>
      <c r="C2" s="1369"/>
      <c r="D2" s="1369"/>
      <c r="E2" s="1369"/>
      <c r="F2" s="1369"/>
      <c r="G2" s="1369"/>
      <c r="H2" s="1369"/>
      <c r="I2" s="1369"/>
      <c r="J2" s="1369"/>
      <c r="K2" s="1369"/>
      <c r="L2" s="1369"/>
      <c r="M2" s="1369"/>
    </row>
    <row r="3" spans="2:21" ht="12" customHeight="1">
      <c r="B3" s="894"/>
      <c r="C3" s="895"/>
      <c r="D3" s="895"/>
      <c r="E3" s="895"/>
      <c r="F3" s="895"/>
      <c r="G3" s="895"/>
      <c r="H3" s="895"/>
      <c r="I3" s="895"/>
      <c r="J3" s="895"/>
      <c r="K3" s="895"/>
      <c r="L3" s="895"/>
      <c r="M3" s="896" t="s">
        <v>223</v>
      </c>
    </row>
    <row r="4" spans="2:21" ht="14.25" customHeight="1">
      <c r="B4" s="1365" t="s">
        <v>107</v>
      </c>
      <c r="C4" s="1371" t="s">
        <v>296</v>
      </c>
      <c r="D4" s="1372"/>
      <c r="E4" s="1372"/>
      <c r="F4" s="1372"/>
      <c r="G4" s="1372"/>
      <c r="H4" s="1372"/>
      <c r="I4" s="1372"/>
      <c r="J4" s="1372"/>
      <c r="K4" s="1373"/>
      <c r="L4" s="1365" t="s">
        <v>903</v>
      </c>
      <c r="M4" s="1365" t="s">
        <v>904</v>
      </c>
    </row>
    <row r="5" spans="2:21" ht="17.25" customHeight="1">
      <c r="B5" s="1359"/>
      <c r="C5" s="1374" t="s">
        <v>295</v>
      </c>
      <c r="D5" s="1375"/>
      <c r="E5" s="1375"/>
      <c r="F5" s="1376"/>
      <c r="G5" s="1300" t="s">
        <v>902</v>
      </c>
      <c r="H5" s="1360" t="s">
        <v>826</v>
      </c>
      <c r="I5" s="1359" t="s">
        <v>929</v>
      </c>
      <c r="J5" s="1359" t="s">
        <v>905</v>
      </c>
      <c r="K5" s="1370" t="s">
        <v>210</v>
      </c>
      <c r="L5" s="1359"/>
      <c r="M5" s="1359"/>
    </row>
    <row r="6" spans="2:21" ht="59.25" customHeight="1">
      <c r="B6" s="1366"/>
      <c r="C6" s="897" t="s">
        <v>520</v>
      </c>
      <c r="D6" s="897" t="s">
        <v>827</v>
      </c>
      <c r="E6" s="897" t="s">
        <v>828</v>
      </c>
      <c r="F6" s="900" t="s">
        <v>829</v>
      </c>
      <c r="G6" s="1263"/>
      <c r="H6" s="1360"/>
      <c r="I6" s="1359"/>
      <c r="J6" s="1359"/>
      <c r="K6" s="1370"/>
      <c r="L6" s="1366"/>
      <c r="M6" s="1366"/>
    </row>
    <row r="7" spans="2:21" ht="14.25" customHeight="1">
      <c r="B7" s="901" t="s">
        <v>163</v>
      </c>
      <c r="C7" s="901" t="s">
        <v>164</v>
      </c>
      <c r="D7" s="901" t="s">
        <v>165</v>
      </c>
      <c r="E7" s="902" t="s">
        <v>166</v>
      </c>
      <c r="F7" s="901" t="s">
        <v>167</v>
      </c>
      <c r="G7" s="901" t="s">
        <v>168</v>
      </c>
      <c r="H7" s="901" t="s">
        <v>169</v>
      </c>
      <c r="I7" s="901" t="s">
        <v>211</v>
      </c>
      <c r="J7" s="901" t="s">
        <v>212</v>
      </c>
      <c r="K7" s="901" t="s">
        <v>213</v>
      </c>
      <c r="L7" s="901" t="s">
        <v>214</v>
      </c>
      <c r="M7" s="901" t="s">
        <v>253</v>
      </c>
    </row>
    <row r="8" spans="2:21" ht="15" customHeight="1">
      <c r="B8" s="174">
        <v>2010</v>
      </c>
      <c r="C8" s="628">
        <v>10</v>
      </c>
      <c r="D8" s="462">
        <v>7</v>
      </c>
      <c r="E8" s="628">
        <v>7</v>
      </c>
      <c r="F8" s="461">
        <v>49</v>
      </c>
      <c r="G8" s="462">
        <v>3</v>
      </c>
      <c r="H8" s="462" t="s">
        <v>1170</v>
      </c>
      <c r="I8" s="462">
        <v>1</v>
      </c>
      <c r="J8" s="462">
        <v>83</v>
      </c>
      <c r="K8" s="461">
        <v>160</v>
      </c>
      <c r="L8" s="462" t="s">
        <v>817</v>
      </c>
      <c r="M8" s="462">
        <v>494</v>
      </c>
    </row>
    <row r="9" spans="2:21" ht="15" customHeight="1">
      <c r="B9" s="174">
        <v>2011</v>
      </c>
      <c r="C9" s="164">
        <v>10</v>
      </c>
      <c r="D9" s="174">
        <v>7</v>
      </c>
      <c r="E9" s="164">
        <v>7</v>
      </c>
      <c r="F9" s="209">
        <v>49</v>
      </c>
      <c r="G9" s="174">
        <v>3</v>
      </c>
      <c r="H9" s="137" t="s">
        <v>1170</v>
      </c>
      <c r="I9" s="174">
        <v>1</v>
      </c>
      <c r="J9" s="174">
        <v>83</v>
      </c>
      <c r="K9" s="461">
        <v>160</v>
      </c>
      <c r="L9" s="174" t="s">
        <v>817</v>
      </c>
      <c r="M9" s="174">
        <v>503</v>
      </c>
    </row>
    <row r="10" spans="2:21" ht="15" customHeight="1">
      <c r="B10" s="174">
        <v>2012</v>
      </c>
      <c r="C10" s="164">
        <v>10</v>
      </c>
      <c r="D10" s="174">
        <v>7</v>
      </c>
      <c r="E10" s="164">
        <v>7</v>
      </c>
      <c r="F10" s="209">
        <v>49</v>
      </c>
      <c r="G10" s="174">
        <v>3</v>
      </c>
      <c r="H10" s="137">
        <v>29</v>
      </c>
      <c r="I10" s="174">
        <v>1</v>
      </c>
      <c r="J10" s="174">
        <v>83</v>
      </c>
      <c r="K10" s="461">
        <v>189</v>
      </c>
      <c r="L10" s="174" t="s">
        <v>818</v>
      </c>
      <c r="M10" s="174">
        <v>505</v>
      </c>
    </row>
    <row r="11" spans="2:21" s="205" customFormat="1" ht="15" customHeight="1">
      <c r="B11" s="174">
        <v>2013</v>
      </c>
      <c r="C11" s="93">
        <v>10</v>
      </c>
      <c r="D11" s="174">
        <v>7</v>
      </c>
      <c r="E11" s="93">
        <v>7</v>
      </c>
      <c r="F11" s="174">
        <v>49</v>
      </c>
      <c r="G11" s="93">
        <v>4</v>
      </c>
      <c r="H11" s="174">
        <v>29</v>
      </c>
      <c r="I11" s="93">
        <v>1</v>
      </c>
      <c r="J11" s="174">
        <v>83</v>
      </c>
      <c r="K11" s="461">
        <v>190</v>
      </c>
      <c r="L11" s="174" t="s">
        <v>721</v>
      </c>
      <c r="M11" s="164">
        <v>458</v>
      </c>
      <c r="N11" s="209"/>
      <c r="O11" s="209"/>
      <c r="P11" s="209"/>
      <c r="Q11" s="209"/>
      <c r="R11" s="209"/>
      <c r="S11" s="209"/>
      <c r="T11" s="209"/>
      <c r="U11" s="209"/>
    </row>
    <row r="12" spans="2:21" s="205" customFormat="1" ht="15" customHeight="1">
      <c r="B12" s="237">
        <v>2014</v>
      </c>
      <c r="C12" s="237">
        <f>SUM(C14,C19,C36,C46)</f>
        <v>10</v>
      </c>
      <c r="D12" s="237">
        <f t="shared" ref="D12:M12" si="0">SUM(D14,D19,D36,D46)</f>
        <v>7</v>
      </c>
      <c r="E12" s="237">
        <f t="shared" si="0"/>
        <v>7</v>
      </c>
      <c r="F12" s="237">
        <f t="shared" si="0"/>
        <v>49</v>
      </c>
      <c r="G12" s="237">
        <f t="shared" si="0"/>
        <v>4</v>
      </c>
      <c r="H12" s="237">
        <f>IF(SUM(H14,H19,H36,H46)=0,"-",(SUM(H14,H19,H36,H46)))</f>
        <v>29</v>
      </c>
      <c r="I12" s="237">
        <f t="shared" si="0"/>
        <v>1</v>
      </c>
      <c r="J12" s="237">
        <f t="shared" si="0"/>
        <v>83</v>
      </c>
      <c r="K12" s="237">
        <f t="shared" si="0"/>
        <v>190</v>
      </c>
      <c r="L12" s="994" t="str">
        <f>SUM(L14,L19,L36,L46) &amp; "*"</f>
        <v>5434*</v>
      </c>
      <c r="M12" s="175">
        <f t="shared" si="0"/>
        <v>479</v>
      </c>
    </row>
    <row r="13" spans="2:21" ht="25.5" customHeight="1">
      <c r="B13" s="899" t="s">
        <v>1</v>
      </c>
      <c r="C13" s="1361" t="str">
        <f xml:space="preserve"> "Year : "  &amp;B12</f>
        <v>Year : 2014</v>
      </c>
      <c r="D13" s="1362"/>
      <c r="E13" s="1362"/>
      <c r="F13" s="1362"/>
      <c r="G13" s="1362"/>
      <c r="H13" s="1362"/>
      <c r="I13" s="1362"/>
      <c r="J13" s="1362"/>
      <c r="K13" s="1362"/>
      <c r="L13" s="1362"/>
      <c r="M13" s="1363"/>
    </row>
    <row r="14" spans="2:21" ht="15.75" customHeight="1">
      <c r="B14" s="903" t="s">
        <v>548</v>
      </c>
      <c r="C14" s="823">
        <f>IF(SUM(C15:C18)=0,"-",SUM(C15:C18))</f>
        <v>1</v>
      </c>
      <c r="D14" s="823">
        <f t="shared" ref="D14:J14" si="1">IF(SUM(D15:D18)=0,"-",SUM(D15:D18))</f>
        <v>1</v>
      </c>
      <c r="E14" s="823">
        <f t="shared" si="1"/>
        <v>2</v>
      </c>
      <c r="F14" s="823">
        <f t="shared" si="1"/>
        <v>7</v>
      </c>
      <c r="G14" s="823" t="str">
        <f t="shared" si="1"/>
        <v>-</v>
      </c>
      <c r="H14" s="823" t="str">
        <f t="shared" si="1"/>
        <v>-</v>
      </c>
      <c r="I14" s="823" t="str">
        <f t="shared" si="1"/>
        <v>-</v>
      </c>
      <c r="J14" s="823">
        <f t="shared" si="1"/>
        <v>6</v>
      </c>
      <c r="K14" s="823">
        <f>SUM(K15:K18)</f>
        <v>17</v>
      </c>
      <c r="L14" s="823">
        <f>IF(SUM(L15:L18)=0,"..",SUM(L15:L18))</f>
        <v>405</v>
      </c>
      <c r="M14" s="823">
        <f>IF(SUM(M15:M18)=0,"-",SUM(M15:M18))</f>
        <v>36</v>
      </c>
    </row>
    <row r="15" spans="2:21" ht="15.75" customHeight="1">
      <c r="B15" s="904" t="s">
        <v>1118</v>
      </c>
      <c r="C15" s="985" t="s">
        <v>643</v>
      </c>
      <c r="D15" s="462">
        <v>1</v>
      </c>
      <c r="E15" s="986" t="s">
        <v>643</v>
      </c>
      <c r="F15" s="462">
        <v>2</v>
      </c>
      <c r="G15" s="986" t="s">
        <v>643</v>
      </c>
      <c r="H15" s="987" t="s">
        <v>643</v>
      </c>
      <c r="I15" s="986" t="s">
        <v>643</v>
      </c>
      <c r="J15" s="462">
        <v>2</v>
      </c>
      <c r="K15" s="653">
        <f>SUM(C15:J15)</f>
        <v>5</v>
      </c>
      <c r="L15" s="174">
        <v>75</v>
      </c>
      <c r="M15" s="462">
        <v>7</v>
      </c>
    </row>
    <row r="16" spans="2:21" ht="15.75" customHeight="1">
      <c r="B16" s="904" t="s">
        <v>1119</v>
      </c>
      <c r="C16" s="985" t="s">
        <v>643</v>
      </c>
      <c r="D16" s="987" t="s">
        <v>643</v>
      </c>
      <c r="E16" s="821">
        <v>1</v>
      </c>
      <c r="F16" s="462">
        <v>1</v>
      </c>
      <c r="G16" s="986" t="s">
        <v>643</v>
      </c>
      <c r="H16" s="987" t="s">
        <v>643</v>
      </c>
      <c r="I16" s="986" t="s">
        <v>643</v>
      </c>
      <c r="J16" s="987" t="s">
        <v>643</v>
      </c>
      <c r="K16" s="653">
        <f>SUM(C16:J16)</f>
        <v>2</v>
      </c>
      <c r="L16" s="174">
        <v>40</v>
      </c>
      <c r="M16" s="462">
        <v>5</v>
      </c>
    </row>
    <row r="17" spans="2:13" ht="15.75" customHeight="1">
      <c r="B17" s="904" t="s">
        <v>1121</v>
      </c>
      <c r="C17" s="821">
        <v>1</v>
      </c>
      <c r="D17" s="987" t="s">
        <v>643</v>
      </c>
      <c r="E17" s="986" t="s">
        <v>643</v>
      </c>
      <c r="F17" s="462">
        <v>2</v>
      </c>
      <c r="G17" s="986" t="s">
        <v>643</v>
      </c>
      <c r="H17" s="987" t="s">
        <v>643</v>
      </c>
      <c r="I17" s="986" t="s">
        <v>643</v>
      </c>
      <c r="J17" s="462">
        <v>1</v>
      </c>
      <c r="K17" s="653">
        <f>SUM(C17:J17)</f>
        <v>4</v>
      </c>
      <c r="L17" s="174">
        <v>225</v>
      </c>
      <c r="M17" s="462">
        <v>15</v>
      </c>
    </row>
    <row r="18" spans="2:13" ht="15.75" customHeight="1">
      <c r="B18" s="904" t="s">
        <v>1120</v>
      </c>
      <c r="C18" s="986" t="s">
        <v>643</v>
      </c>
      <c r="D18" s="987" t="s">
        <v>643</v>
      </c>
      <c r="E18" s="821">
        <v>1</v>
      </c>
      <c r="F18" s="462">
        <v>2</v>
      </c>
      <c r="G18" s="986" t="s">
        <v>643</v>
      </c>
      <c r="H18" s="987" t="s">
        <v>643</v>
      </c>
      <c r="I18" s="986" t="s">
        <v>643</v>
      </c>
      <c r="J18" s="462">
        <v>3</v>
      </c>
      <c r="K18" s="653">
        <f>SUM(C18:J18)</f>
        <v>6</v>
      </c>
      <c r="L18" s="174">
        <v>65</v>
      </c>
      <c r="M18" s="462">
        <v>9</v>
      </c>
    </row>
    <row r="19" spans="2:13" ht="26.25" customHeight="1">
      <c r="B19" s="903" t="s">
        <v>1607</v>
      </c>
      <c r="C19" s="79">
        <f t="shared" ref="C19:J19" si="2">IF(SUM(C20:C28)=0,"-",SUM(C20:C28))</f>
        <v>3</v>
      </c>
      <c r="D19" s="79">
        <f t="shared" si="2"/>
        <v>4</v>
      </c>
      <c r="E19" s="79">
        <f t="shared" si="2"/>
        <v>3</v>
      </c>
      <c r="F19" s="79">
        <f t="shared" si="2"/>
        <v>20</v>
      </c>
      <c r="G19" s="79">
        <f>IF(SUM(G21:G28)=0,"-",SUM(G21:G28))</f>
        <v>2</v>
      </c>
      <c r="H19" s="79">
        <f t="shared" si="2"/>
        <v>16</v>
      </c>
      <c r="I19" s="79">
        <f t="shared" si="2"/>
        <v>1</v>
      </c>
      <c r="J19" s="79">
        <f t="shared" si="2"/>
        <v>31</v>
      </c>
      <c r="K19" s="79">
        <f>SUM(K20:K28)</f>
        <v>80</v>
      </c>
      <c r="L19" s="79">
        <f>IF(SUM(L20:L28)=0,"..",SUM(L20:L28))</f>
        <v>2386</v>
      </c>
      <c r="M19" s="79">
        <f>IF(SUM(M20:M28)=0,"-",SUM(M20:M28))</f>
        <v>113</v>
      </c>
    </row>
    <row r="20" spans="2:13" ht="15.75" customHeight="1">
      <c r="B20" s="904" t="s">
        <v>1122</v>
      </c>
      <c r="C20" s="986" t="s">
        <v>643</v>
      </c>
      <c r="D20" s="462">
        <v>1</v>
      </c>
      <c r="E20" s="986" t="s">
        <v>643</v>
      </c>
      <c r="F20" s="462">
        <v>5</v>
      </c>
      <c r="G20" s="990" t="s">
        <v>643</v>
      </c>
      <c r="H20" s="987" t="s">
        <v>643</v>
      </c>
      <c r="I20" s="991" t="s">
        <v>643</v>
      </c>
      <c r="J20" s="462">
        <v>3</v>
      </c>
      <c r="K20" s="461">
        <f>SUM(C20:J20)</f>
        <v>9</v>
      </c>
      <c r="L20" s="174">
        <v>120</v>
      </c>
      <c r="M20" s="462">
        <v>10</v>
      </c>
    </row>
    <row r="21" spans="2:13" ht="15.75" customHeight="1">
      <c r="B21" s="904" t="s">
        <v>1123</v>
      </c>
      <c r="C21" s="986" t="s">
        <v>643</v>
      </c>
      <c r="D21" s="462">
        <v>1</v>
      </c>
      <c r="E21" s="986" t="s">
        <v>643</v>
      </c>
      <c r="F21" s="462">
        <v>4</v>
      </c>
      <c r="G21" s="990" t="s">
        <v>643</v>
      </c>
      <c r="H21" s="987" t="s">
        <v>643</v>
      </c>
      <c r="I21" s="991" t="s">
        <v>643</v>
      </c>
      <c r="J21" s="987" t="s">
        <v>643</v>
      </c>
      <c r="K21" s="461">
        <f t="shared" ref="K21:K28" si="3">SUM(C21:J21)</f>
        <v>5</v>
      </c>
      <c r="L21" s="174">
        <v>80</v>
      </c>
      <c r="M21" s="462">
        <v>9</v>
      </c>
    </row>
    <row r="22" spans="2:13" ht="15.75" customHeight="1">
      <c r="B22" s="904" t="s">
        <v>1124</v>
      </c>
      <c r="C22" s="986" t="s">
        <v>643</v>
      </c>
      <c r="D22" s="462">
        <v>1</v>
      </c>
      <c r="E22" s="986" t="s">
        <v>643</v>
      </c>
      <c r="F22" s="462">
        <v>2</v>
      </c>
      <c r="G22" s="990" t="s">
        <v>643</v>
      </c>
      <c r="H22" s="987" t="s">
        <v>643</v>
      </c>
      <c r="I22" s="461">
        <v>1</v>
      </c>
      <c r="J22" s="462">
        <v>4</v>
      </c>
      <c r="K22" s="461">
        <f t="shared" si="3"/>
        <v>8</v>
      </c>
      <c r="L22" s="174">
        <v>78</v>
      </c>
      <c r="M22" s="462">
        <v>6</v>
      </c>
    </row>
    <row r="23" spans="2:13" ht="15.75" customHeight="1">
      <c r="B23" s="904" t="s">
        <v>1125</v>
      </c>
      <c r="C23" s="986" t="s">
        <v>643</v>
      </c>
      <c r="D23" s="462">
        <v>1</v>
      </c>
      <c r="E23" s="986" t="s">
        <v>643</v>
      </c>
      <c r="F23" s="462">
        <v>3</v>
      </c>
      <c r="G23" s="990" t="s">
        <v>643</v>
      </c>
      <c r="H23" s="987" t="s">
        <v>643</v>
      </c>
      <c r="I23" s="986" t="s">
        <v>643</v>
      </c>
      <c r="J23" s="987" t="s">
        <v>643</v>
      </c>
      <c r="K23" s="461">
        <f t="shared" si="3"/>
        <v>4</v>
      </c>
      <c r="L23" s="174">
        <v>35</v>
      </c>
      <c r="M23" s="462">
        <v>4</v>
      </c>
    </row>
    <row r="24" spans="2:13" ht="15.75" customHeight="1">
      <c r="B24" s="904" t="s">
        <v>1126</v>
      </c>
      <c r="C24" s="986" t="s">
        <v>643</v>
      </c>
      <c r="D24" s="987" t="s">
        <v>643</v>
      </c>
      <c r="E24" s="821">
        <v>1</v>
      </c>
      <c r="F24" s="462">
        <v>2</v>
      </c>
      <c r="G24" s="990" t="s">
        <v>643</v>
      </c>
      <c r="H24" s="987" t="s">
        <v>643</v>
      </c>
      <c r="I24" s="986" t="s">
        <v>643</v>
      </c>
      <c r="J24" s="462">
        <v>1</v>
      </c>
      <c r="K24" s="461">
        <f t="shared" si="3"/>
        <v>4</v>
      </c>
      <c r="L24" s="174">
        <v>50</v>
      </c>
      <c r="M24" s="462">
        <v>4</v>
      </c>
    </row>
    <row r="25" spans="2:13" ht="15.75" customHeight="1">
      <c r="B25" s="904" t="s">
        <v>1127</v>
      </c>
      <c r="C25" s="821">
        <v>1</v>
      </c>
      <c r="D25" s="987" t="s">
        <v>643</v>
      </c>
      <c r="E25" s="986" t="s">
        <v>643</v>
      </c>
      <c r="F25" s="987" t="s">
        <v>643</v>
      </c>
      <c r="G25" s="461">
        <v>2</v>
      </c>
      <c r="H25" s="462">
        <v>8</v>
      </c>
      <c r="I25" s="986" t="s">
        <v>643</v>
      </c>
      <c r="J25" s="462">
        <v>16</v>
      </c>
      <c r="K25" s="461">
        <f t="shared" si="3"/>
        <v>27</v>
      </c>
      <c r="L25" s="174">
        <v>1198</v>
      </c>
      <c r="M25" s="462">
        <v>45</v>
      </c>
    </row>
    <row r="26" spans="2:13" ht="15.75" customHeight="1">
      <c r="B26" s="904" t="s">
        <v>1128</v>
      </c>
      <c r="C26" s="821">
        <v>1</v>
      </c>
      <c r="D26" s="987" t="s">
        <v>643</v>
      </c>
      <c r="E26" s="821">
        <v>1</v>
      </c>
      <c r="F26" s="462">
        <v>2</v>
      </c>
      <c r="G26" s="991" t="s">
        <v>643</v>
      </c>
      <c r="H26" s="987" t="s">
        <v>643</v>
      </c>
      <c r="I26" s="986" t="s">
        <v>643</v>
      </c>
      <c r="J26" s="987" t="s">
        <v>643</v>
      </c>
      <c r="K26" s="461">
        <f t="shared" si="3"/>
        <v>4</v>
      </c>
      <c r="L26" s="174">
        <v>540</v>
      </c>
      <c r="M26" s="462">
        <v>5</v>
      </c>
    </row>
    <row r="27" spans="2:13" ht="15.75" customHeight="1">
      <c r="B27" s="904" t="s">
        <v>90</v>
      </c>
      <c r="C27" s="986" t="s">
        <v>643</v>
      </c>
      <c r="D27" s="987" t="s">
        <v>643</v>
      </c>
      <c r="E27" s="821">
        <v>1</v>
      </c>
      <c r="F27" s="462">
        <v>2</v>
      </c>
      <c r="G27" s="991" t="s">
        <v>643</v>
      </c>
      <c r="H27" s="987" t="s">
        <v>643</v>
      </c>
      <c r="I27" s="986" t="s">
        <v>643</v>
      </c>
      <c r="J27" s="987" t="s">
        <v>643</v>
      </c>
      <c r="K27" s="461">
        <f t="shared" si="3"/>
        <v>3</v>
      </c>
      <c r="L27" s="174">
        <v>40</v>
      </c>
      <c r="M27" s="462">
        <v>8</v>
      </c>
    </row>
    <row r="28" spans="2:13" ht="15.75" customHeight="1">
      <c r="B28" s="905" t="s">
        <v>1130</v>
      </c>
      <c r="C28" s="906">
        <v>1</v>
      </c>
      <c r="D28" s="989" t="s">
        <v>643</v>
      </c>
      <c r="E28" s="988" t="s">
        <v>643</v>
      </c>
      <c r="F28" s="989" t="s">
        <v>643</v>
      </c>
      <c r="G28" s="989" t="s">
        <v>643</v>
      </c>
      <c r="H28" s="616">
        <v>8</v>
      </c>
      <c r="I28" s="988" t="s">
        <v>643</v>
      </c>
      <c r="J28" s="616">
        <v>7</v>
      </c>
      <c r="K28" s="616">
        <f t="shared" si="3"/>
        <v>16</v>
      </c>
      <c r="L28" s="175">
        <v>245</v>
      </c>
      <c r="M28" s="616">
        <v>22</v>
      </c>
    </row>
    <row r="29" spans="2:13" s="894" customFormat="1" ht="15.75" customHeight="1">
      <c r="B29" s="907"/>
      <c r="C29" s="461"/>
      <c r="D29" s="461"/>
      <c r="E29" s="461"/>
      <c r="F29" s="461"/>
      <c r="G29" s="461"/>
      <c r="H29" s="461"/>
      <c r="I29" s="461"/>
      <c r="J29" s="461"/>
      <c r="K29" s="461"/>
      <c r="L29" s="209"/>
      <c r="M29" s="286" t="s">
        <v>1458</v>
      </c>
    </row>
    <row r="30" spans="2:13" ht="14.25" customHeight="1">
      <c r="B30" s="1364" t="s">
        <v>1161</v>
      </c>
      <c r="C30" s="1364"/>
      <c r="D30" s="1364"/>
      <c r="E30" s="1364"/>
      <c r="F30" s="1364"/>
      <c r="G30" s="1364"/>
      <c r="H30" s="1364"/>
      <c r="I30" s="1364"/>
      <c r="J30" s="1364"/>
      <c r="K30" s="1364"/>
      <c r="L30" s="1364"/>
      <c r="M30" s="1364"/>
    </row>
    <row r="31" spans="2:13" ht="12" customHeight="1">
      <c r="B31" s="908"/>
      <c r="C31" s="909"/>
      <c r="D31" s="909"/>
      <c r="E31" s="909"/>
      <c r="F31" s="909"/>
      <c r="G31" s="909"/>
      <c r="H31" s="909"/>
      <c r="I31" s="909"/>
      <c r="J31" s="909"/>
      <c r="K31" s="909"/>
      <c r="L31" s="909"/>
      <c r="M31" s="910" t="s">
        <v>223</v>
      </c>
    </row>
    <row r="32" spans="2:13" ht="14.25" customHeight="1">
      <c r="B32" s="1365" t="s">
        <v>2</v>
      </c>
      <c r="C32" s="1371" t="s">
        <v>296</v>
      </c>
      <c r="D32" s="1372"/>
      <c r="E32" s="1372"/>
      <c r="F32" s="1372"/>
      <c r="G32" s="1372"/>
      <c r="H32" s="1372"/>
      <c r="I32" s="1372"/>
      <c r="J32" s="1372"/>
      <c r="K32" s="1373"/>
      <c r="L32" s="1365" t="s">
        <v>903</v>
      </c>
      <c r="M32" s="1365" t="s">
        <v>43</v>
      </c>
    </row>
    <row r="33" spans="2:13" ht="14.25" customHeight="1">
      <c r="B33" s="1359"/>
      <c r="C33" s="1374" t="s">
        <v>295</v>
      </c>
      <c r="D33" s="1375"/>
      <c r="E33" s="1375"/>
      <c r="F33" s="1376"/>
      <c r="G33" s="1300" t="s">
        <v>902</v>
      </c>
      <c r="H33" s="1360" t="s">
        <v>826</v>
      </c>
      <c r="I33" s="1359" t="s">
        <v>929</v>
      </c>
      <c r="J33" s="1359" t="s">
        <v>906</v>
      </c>
      <c r="K33" s="1370" t="s">
        <v>210</v>
      </c>
      <c r="L33" s="1359"/>
      <c r="M33" s="1359"/>
    </row>
    <row r="34" spans="2:13" ht="62.25" customHeight="1">
      <c r="B34" s="1366"/>
      <c r="C34" s="897" t="s">
        <v>520</v>
      </c>
      <c r="D34" s="897" t="s">
        <v>827</v>
      </c>
      <c r="E34" s="897" t="s">
        <v>828</v>
      </c>
      <c r="F34" s="900" t="s">
        <v>829</v>
      </c>
      <c r="G34" s="1263"/>
      <c r="H34" s="1360"/>
      <c r="I34" s="1359"/>
      <c r="J34" s="1359"/>
      <c r="K34" s="1370"/>
      <c r="L34" s="1366"/>
      <c r="M34" s="1366"/>
    </row>
    <row r="35" spans="2:13" ht="14.25" customHeight="1">
      <c r="B35" s="901" t="s">
        <v>163</v>
      </c>
      <c r="C35" s="901" t="s">
        <v>164</v>
      </c>
      <c r="D35" s="901" t="s">
        <v>165</v>
      </c>
      <c r="E35" s="902" t="s">
        <v>166</v>
      </c>
      <c r="F35" s="901" t="s">
        <v>167</v>
      </c>
      <c r="G35" s="901" t="s">
        <v>168</v>
      </c>
      <c r="H35" s="901" t="s">
        <v>169</v>
      </c>
      <c r="I35" s="901" t="s">
        <v>211</v>
      </c>
      <c r="J35" s="901" t="s">
        <v>212</v>
      </c>
      <c r="K35" s="901" t="s">
        <v>213</v>
      </c>
      <c r="L35" s="901" t="s">
        <v>214</v>
      </c>
      <c r="M35" s="901" t="s">
        <v>253</v>
      </c>
    </row>
    <row r="36" spans="2:13" ht="25.5" customHeight="1">
      <c r="B36" s="911" t="s">
        <v>1447</v>
      </c>
      <c r="C36" s="874">
        <f>IF(SUM(C37:C45)=0,"-",SUM(C37:C45))</f>
        <v>2</v>
      </c>
      <c r="D36" s="874">
        <f t="shared" ref="D36:J36" si="4">IF(SUM(D37:D45)=0,"-",SUM(D37:D45))</f>
        <v>1</v>
      </c>
      <c r="E36" s="874">
        <f t="shared" si="4"/>
        <v>2</v>
      </c>
      <c r="F36" s="874">
        <f t="shared" si="4"/>
        <v>15</v>
      </c>
      <c r="G36" s="874">
        <f t="shared" si="4"/>
        <v>1</v>
      </c>
      <c r="H36" s="874">
        <f t="shared" si="4"/>
        <v>8</v>
      </c>
      <c r="I36" s="874" t="str">
        <f t="shared" si="4"/>
        <v>-</v>
      </c>
      <c r="J36" s="874">
        <f t="shared" si="4"/>
        <v>21</v>
      </c>
      <c r="K36" s="370">
        <f>SUM(K37:K45)</f>
        <v>50</v>
      </c>
      <c r="L36" s="874">
        <f>IF(SUM(L37:L45)=0,"..",SUM(L37:L45))</f>
        <v>780</v>
      </c>
      <c r="M36" s="874">
        <f>IF(SUM(M37:M45)=0,"-",SUM(M37:M45))</f>
        <v>104</v>
      </c>
    </row>
    <row r="37" spans="2:13" ht="15.75" customHeight="1">
      <c r="B37" s="904" t="s">
        <v>1131</v>
      </c>
      <c r="C37" s="987" t="s">
        <v>643</v>
      </c>
      <c r="D37" s="987" t="s">
        <v>643</v>
      </c>
      <c r="E37" s="986" t="s">
        <v>643</v>
      </c>
      <c r="F37" s="462">
        <v>4</v>
      </c>
      <c r="G37" s="991" t="s">
        <v>643</v>
      </c>
      <c r="H37" s="987" t="s">
        <v>643</v>
      </c>
      <c r="I37" s="991" t="s">
        <v>643</v>
      </c>
      <c r="J37" s="462">
        <v>1</v>
      </c>
      <c r="K37" s="461">
        <f t="shared" ref="K37:K43" si="5">SUM(C37:J37)</f>
        <v>5</v>
      </c>
      <c r="L37" s="174">
        <v>20</v>
      </c>
      <c r="M37" s="462">
        <v>6</v>
      </c>
    </row>
    <row r="38" spans="2:13" ht="15.75" customHeight="1">
      <c r="B38" s="904" t="s">
        <v>1133</v>
      </c>
      <c r="C38" s="821">
        <v>1</v>
      </c>
      <c r="D38" s="987" t="s">
        <v>643</v>
      </c>
      <c r="E38" s="986" t="s">
        <v>643</v>
      </c>
      <c r="F38" s="987" t="s">
        <v>643</v>
      </c>
      <c r="G38" s="991" t="s">
        <v>643</v>
      </c>
      <c r="H38" s="462">
        <v>2</v>
      </c>
      <c r="I38" s="991" t="s">
        <v>643</v>
      </c>
      <c r="J38" s="462">
        <v>4</v>
      </c>
      <c r="K38" s="461">
        <f t="shared" si="5"/>
        <v>7</v>
      </c>
      <c r="L38" s="174">
        <v>157</v>
      </c>
      <c r="M38" s="462">
        <v>22</v>
      </c>
    </row>
    <row r="39" spans="2:13" ht="15.75" customHeight="1">
      <c r="B39" s="904" t="s">
        <v>1134</v>
      </c>
      <c r="C39" s="986" t="s">
        <v>643</v>
      </c>
      <c r="D39" s="462">
        <v>1</v>
      </c>
      <c r="E39" s="986" t="s">
        <v>643</v>
      </c>
      <c r="F39" s="462">
        <v>4</v>
      </c>
      <c r="G39" s="991" t="s">
        <v>643</v>
      </c>
      <c r="H39" s="987" t="s">
        <v>643</v>
      </c>
      <c r="I39" s="991" t="s">
        <v>643</v>
      </c>
      <c r="J39" s="462">
        <v>1</v>
      </c>
      <c r="K39" s="461">
        <f t="shared" si="5"/>
        <v>6</v>
      </c>
      <c r="L39" s="174">
        <v>71</v>
      </c>
      <c r="M39" s="462">
        <v>12</v>
      </c>
    </row>
    <row r="40" spans="2:13" ht="15.75" customHeight="1">
      <c r="B40" s="904" t="s">
        <v>1623</v>
      </c>
      <c r="C40" s="821">
        <v>1</v>
      </c>
      <c r="D40" s="987" t="s">
        <v>643</v>
      </c>
      <c r="E40" s="821">
        <v>1</v>
      </c>
      <c r="F40" s="462">
        <v>3</v>
      </c>
      <c r="G40" s="991" t="s">
        <v>643</v>
      </c>
      <c r="H40" s="987" t="s">
        <v>643</v>
      </c>
      <c r="I40" s="991" t="s">
        <v>643</v>
      </c>
      <c r="J40" s="462">
        <v>1</v>
      </c>
      <c r="K40" s="461">
        <f t="shared" si="5"/>
        <v>6</v>
      </c>
      <c r="L40" s="174">
        <v>300</v>
      </c>
      <c r="M40" s="462">
        <v>50</v>
      </c>
    </row>
    <row r="41" spans="2:13" ht="15.75" customHeight="1">
      <c r="B41" s="904" t="s">
        <v>768</v>
      </c>
      <c r="C41" s="986" t="s">
        <v>643</v>
      </c>
      <c r="D41" s="987" t="s">
        <v>643</v>
      </c>
      <c r="E41" s="986" t="s">
        <v>643</v>
      </c>
      <c r="F41" s="987" t="s">
        <v>643</v>
      </c>
      <c r="G41" s="991" t="s">
        <v>643</v>
      </c>
      <c r="H41" s="462">
        <v>1</v>
      </c>
      <c r="I41" s="991" t="s">
        <v>643</v>
      </c>
      <c r="J41" s="462">
        <v>12</v>
      </c>
      <c r="K41" s="461">
        <f t="shared" si="5"/>
        <v>13</v>
      </c>
      <c r="L41" s="174">
        <v>138</v>
      </c>
      <c r="M41" s="1110" t="s">
        <v>643</v>
      </c>
    </row>
    <row r="42" spans="2:13" ht="15.75" customHeight="1">
      <c r="B42" s="904" t="s">
        <v>1625</v>
      </c>
      <c r="C42" s="986" t="s">
        <v>643</v>
      </c>
      <c r="D42" s="987" t="s">
        <v>643</v>
      </c>
      <c r="E42" s="986" t="s">
        <v>643</v>
      </c>
      <c r="F42" s="987" t="s">
        <v>643</v>
      </c>
      <c r="G42" s="991" t="s">
        <v>643</v>
      </c>
      <c r="H42" s="462">
        <v>1</v>
      </c>
      <c r="I42" s="991" t="s">
        <v>643</v>
      </c>
      <c r="J42" s="462">
        <v>1</v>
      </c>
      <c r="K42" s="461">
        <f t="shared" si="5"/>
        <v>2</v>
      </c>
      <c r="L42" s="174">
        <v>6</v>
      </c>
      <c r="M42" s="462">
        <v>2</v>
      </c>
    </row>
    <row r="43" spans="2:13" ht="15.75" customHeight="1">
      <c r="B43" s="904" t="s">
        <v>1626</v>
      </c>
      <c r="C43" s="986" t="s">
        <v>643</v>
      </c>
      <c r="D43" s="987" t="s">
        <v>643</v>
      </c>
      <c r="E43" s="986" t="s">
        <v>643</v>
      </c>
      <c r="F43" s="987" t="s">
        <v>643</v>
      </c>
      <c r="G43" s="991" t="s">
        <v>643</v>
      </c>
      <c r="H43" s="462">
        <v>3</v>
      </c>
      <c r="I43" s="991" t="s">
        <v>643</v>
      </c>
      <c r="J43" s="1111" t="s">
        <v>643</v>
      </c>
      <c r="K43" s="461">
        <f t="shared" si="5"/>
        <v>3</v>
      </c>
      <c r="L43" s="462">
        <v>3</v>
      </c>
      <c r="M43" s="462">
        <v>1</v>
      </c>
    </row>
    <row r="44" spans="2:13" ht="15.75" customHeight="1">
      <c r="B44" s="904" t="s">
        <v>714</v>
      </c>
      <c r="C44" s="986" t="s">
        <v>643</v>
      </c>
      <c r="D44" s="987" t="s">
        <v>643</v>
      </c>
      <c r="E44" s="821">
        <v>1</v>
      </c>
      <c r="F44" s="462">
        <v>4</v>
      </c>
      <c r="G44" s="991" t="s">
        <v>643</v>
      </c>
      <c r="H44" s="987" t="s">
        <v>643</v>
      </c>
      <c r="I44" s="991" t="s">
        <v>643</v>
      </c>
      <c r="J44" s="462">
        <v>1</v>
      </c>
      <c r="K44" s="461">
        <f>SUM(C44:J44)</f>
        <v>6</v>
      </c>
      <c r="L44" s="174">
        <v>55</v>
      </c>
      <c r="M44" s="462">
        <v>9</v>
      </c>
    </row>
    <row r="45" spans="2:13" ht="27" customHeight="1">
      <c r="B45" s="904" t="s">
        <v>1275</v>
      </c>
      <c r="C45" s="986" t="s">
        <v>643</v>
      </c>
      <c r="D45" s="987" t="s">
        <v>643</v>
      </c>
      <c r="E45" s="986" t="s">
        <v>643</v>
      </c>
      <c r="F45" s="987" t="s">
        <v>643</v>
      </c>
      <c r="G45" s="461">
        <v>1</v>
      </c>
      <c r="H45" s="462">
        <v>1</v>
      </c>
      <c r="I45" s="991" t="s">
        <v>643</v>
      </c>
      <c r="J45" s="987" t="s">
        <v>643</v>
      </c>
      <c r="K45" s="461">
        <f>SUM(C45:J45)</f>
        <v>2</v>
      </c>
      <c r="L45" s="462">
        <v>30</v>
      </c>
      <c r="M45" s="462">
        <v>2</v>
      </c>
    </row>
    <row r="46" spans="2:13" ht="15.75" customHeight="1">
      <c r="B46" s="903" t="s">
        <v>1265</v>
      </c>
      <c r="C46" s="137">
        <f>IF(SUM(C47:C51)=0,"-",SUM(C47:C51))</f>
        <v>4</v>
      </c>
      <c r="D46" s="137">
        <f t="shared" ref="D46:J46" si="6">IF(SUM(D47:D51)=0,"-",SUM(D47:D51))</f>
        <v>1</v>
      </c>
      <c r="E46" s="137" t="str">
        <f t="shared" si="6"/>
        <v>-</v>
      </c>
      <c r="F46" s="137">
        <f t="shared" si="6"/>
        <v>7</v>
      </c>
      <c r="G46" s="137">
        <f t="shared" si="6"/>
        <v>1</v>
      </c>
      <c r="H46" s="137">
        <f t="shared" si="6"/>
        <v>5</v>
      </c>
      <c r="I46" s="137" t="str">
        <f t="shared" si="6"/>
        <v>-</v>
      </c>
      <c r="J46" s="137">
        <f t="shared" si="6"/>
        <v>25</v>
      </c>
      <c r="K46" s="370">
        <f>SUM(K47:K51)</f>
        <v>43</v>
      </c>
      <c r="L46" s="137">
        <f>IF(SUM(L47:L51)=0,"..",SUM(L47:L51))</f>
        <v>1863</v>
      </c>
      <c r="M46" s="137">
        <f>IF(SUM(M47:M51)=0,"-",SUM(M47:M51))</f>
        <v>226</v>
      </c>
    </row>
    <row r="47" spans="2:13" ht="15.75" customHeight="1">
      <c r="B47" s="904" t="s">
        <v>769</v>
      </c>
      <c r="C47" s="986" t="s">
        <v>643</v>
      </c>
      <c r="D47" s="987" t="s">
        <v>643</v>
      </c>
      <c r="E47" s="986" t="s">
        <v>643</v>
      </c>
      <c r="F47" s="462">
        <v>4</v>
      </c>
      <c r="G47" s="991" t="s">
        <v>643</v>
      </c>
      <c r="H47" s="987" t="s">
        <v>643</v>
      </c>
      <c r="I47" s="991" t="s">
        <v>643</v>
      </c>
      <c r="J47" s="987" t="s">
        <v>643</v>
      </c>
      <c r="K47" s="461">
        <f>SUM(C47:J47)</f>
        <v>4</v>
      </c>
      <c r="L47" s="174">
        <v>10</v>
      </c>
      <c r="M47" s="1358">
        <v>16</v>
      </c>
    </row>
    <row r="48" spans="2:13" ht="15.75" customHeight="1">
      <c r="B48" s="904" t="s">
        <v>770</v>
      </c>
      <c r="C48" s="821">
        <v>1</v>
      </c>
      <c r="D48" s="987" t="s">
        <v>643</v>
      </c>
      <c r="E48" s="986" t="s">
        <v>643</v>
      </c>
      <c r="F48" s="987" t="s">
        <v>643</v>
      </c>
      <c r="G48" s="991" t="s">
        <v>643</v>
      </c>
      <c r="H48" s="462">
        <v>4</v>
      </c>
      <c r="I48" s="991" t="s">
        <v>643</v>
      </c>
      <c r="J48" s="462">
        <v>3</v>
      </c>
      <c r="K48" s="461">
        <f>SUM(C48:J48)</f>
        <v>8</v>
      </c>
      <c r="L48" s="174">
        <v>117</v>
      </c>
      <c r="M48" s="1358"/>
    </row>
    <row r="49" spans="2:14" ht="15.75" customHeight="1">
      <c r="B49" s="540" t="s">
        <v>771</v>
      </c>
      <c r="C49" s="821">
        <v>1</v>
      </c>
      <c r="D49" s="987" t="s">
        <v>643</v>
      </c>
      <c r="E49" s="986" t="s">
        <v>643</v>
      </c>
      <c r="F49" s="987" t="s">
        <v>643</v>
      </c>
      <c r="G49" s="461">
        <v>1</v>
      </c>
      <c r="H49" s="987" t="s">
        <v>643</v>
      </c>
      <c r="I49" s="991" t="s">
        <v>643</v>
      </c>
      <c r="J49" s="462">
        <v>20</v>
      </c>
      <c r="K49" s="461">
        <f>SUM(C49:J49)</f>
        <v>22</v>
      </c>
      <c r="L49" s="174">
        <v>984</v>
      </c>
      <c r="M49" s="462">
        <v>159</v>
      </c>
    </row>
    <row r="50" spans="2:14" ht="15.75" customHeight="1">
      <c r="B50" s="540" t="s">
        <v>1629</v>
      </c>
      <c r="C50" s="821">
        <v>2</v>
      </c>
      <c r="D50" s="987" t="s">
        <v>643</v>
      </c>
      <c r="E50" s="986" t="s">
        <v>643</v>
      </c>
      <c r="F50" s="987" t="s">
        <v>643</v>
      </c>
      <c r="G50" s="991" t="s">
        <v>643</v>
      </c>
      <c r="H50" s="462">
        <v>1</v>
      </c>
      <c r="I50" s="991" t="s">
        <v>643</v>
      </c>
      <c r="J50" s="987" t="s">
        <v>643</v>
      </c>
      <c r="K50" s="461">
        <f>SUM(C50:J50)</f>
        <v>3</v>
      </c>
      <c r="L50" s="174">
        <v>656</v>
      </c>
      <c r="M50" s="462">
        <v>42</v>
      </c>
    </row>
    <row r="51" spans="2:14" ht="15.75" customHeight="1">
      <c r="B51" s="539" t="s">
        <v>772</v>
      </c>
      <c r="C51" s="988" t="s">
        <v>643</v>
      </c>
      <c r="D51" s="616">
        <v>1</v>
      </c>
      <c r="E51" s="989" t="s">
        <v>643</v>
      </c>
      <c r="F51" s="616">
        <v>3</v>
      </c>
      <c r="G51" s="988" t="s">
        <v>643</v>
      </c>
      <c r="H51" s="989" t="s">
        <v>643</v>
      </c>
      <c r="I51" s="988" t="s">
        <v>643</v>
      </c>
      <c r="J51" s="616">
        <v>2</v>
      </c>
      <c r="K51" s="466">
        <f>SUM(C51:J51)</f>
        <v>6</v>
      </c>
      <c r="L51" s="175">
        <v>96</v>
      </c>
      <c r="M51" s="616">
        <v>9</v>
      </c>
      <c r="N51" s="620"/>
    </row>
    <row r="52" spans="2:14" ht="12" customHeight="1">
      <c r="B52" s="288" t="s">
        <v>819</v>
      </c>
      <c r="C52" s="287"/>
      <c r="D52" s="287"/>
      <c r="E52" s="287"/>
      <c r="F52" s="287"/>
      <c r="G52" s="912" t="s">
        <v>600</v>
      </c>
      <c r="H52" s="913" t="s">
        <v>1102</v>
      </c>
      <c r="J52" s="288"/>
      <c r="K52" s="913"/>
      <c r="L52" s="913"/>
      <c r="M52" s="288"/>
    </row>
    <row r="53" spans="2:14" ht="12" customHeight="1">
      <c r="B53" s="325" t="s">
        <v>820</v>
      </c>
      <c r="C53" s="297"/>
      <c r="D53" s="297"/>
      <c r="E53" s="289"/>
      <c r="F53" s="289"/>
      <c r="G53" s="912"/>
      <c r="H53" s="913" t="s">
        <v>3</v>
      </c>
      <c r="J53" s="288"/>
      <c r="K53" s="913"/>
      <c r="L53" s="913"/>
      <c r="M53" s="288"/>
    </row>
    <row r="54" spans="2:14" ht="12" customHeight="1">
      <c r="C54" s="325"/>
      <c r="D54" s="288"/>
      <c r="E54" s="290"/>
      <c r="F54" s="290"/>
      <c r="G54" s="288"/>
      <c r="H54" s="325" t="s">
        <v>1381</v>
      </c>
      <c r="J54" s="325"/>
      <c r="K54" s="325"/>
      <c r="L54" s="325"/>
      <c r="M54" s="325"/>
    </row>
    <row r="55" spans="2:14" ht="12" customHeight="1">
      <c r="B55" s="290"/>
      <c r="C55" s="290"/>
      <c r="D55" s="290"/>
      <c r="E55" s="290"/>
      <c r="F55" s="290"/>
      <c r="G55" s="288"/>
      <c r="H55" s="288" t="s">
        <v>365</v>
      </c>
      <c r="J55" s="288"/>
      <c r="K55" s="288"/>
      <c r="L55" s="288"/>
      <c r="M55" s="288"/>
    </row>
    <row r="56" spans="2:14" ht="12" customHeight="1">
      <c r="B56" s="288"/>
      <c r="C56" s="288"/>
      <c r="D56" s="288"/>
      <c r="E56" s="288"/>
      <c r="F56" s="288"/>
      <c r="G56" s="288"/>
      <c r="H56" s="288" t="s">
        <v>379</v>
      </c>
      <c r="J56" s="288"/>
      <c r="K56" s="288"/>
      <c r="L56" s="288"/>
      <c r="M56" s="288"/>
    </row>
    <row r="57" spans="2:14" ht="12" customHeight="1">
      <c r="B57" s="288"/>
      <c r="C57" s="288"/>
      <c r="D57" s="288"/>
      <c r="E57" s="288"/>
      <c r="F57" s="288"/>
      <c r="G57" s="288"/>
      <c r="H57" s="288" t="s">
        <v>380</v>
      </c>
      <c r="J57" s="288"/>
      <c r="K57" s="288"/>
      <c r="L57" s="288"/>
      <c r="M57" s="288"/>
    </row>
    <row r="58" spans="2:14" ht="12" customHeight="1">
      <c r="B58" s="288"/>
      <c r="C58" s="288"/>
      <c r="D58" s="288"/>
      <c r="E58" s="288"/>
      <c r="F58" s="288"/>
      <c r="G58" s="288"/>
      <c r="H58" s="288" t="s">
        <v>381</v>
      </c>
      <c r="J58" s="288"/>
      <c r="K58" s="288"/>
      <c r="L58" s="288"/>
      <c r="M58" s="288"/>
    </row>
    <row r="59" spans="2:14" ht="12" customHeight="1">
      <c r="B59" s="288"/>
      <c r="C59" s="288"/>
      <c r="D59" s="288"/>
      <c r="E59" s="288"/>
      <c r="F59" s="288"/>
      <c r="G59" s="288"/>
      <c r="H59" s="288" t="s">
        <v>382</v>
      </c>
      <c r="J59" s="288"/>
      <c r="K59" s="288"/>
      <c r="L59" s="288"/>
      <c r="M59" s="288"/>
    </row>
    <row r="60" spans="2:14" ht="12" customHeight="1">
      <c r="B60" s="288"/>
      <c r="C60" s="288"/>
      <c r="D60" s="288"/>
      <c r="E60" s="288"/>
      <c r="F60" s="288"/>
      <c r="G60" s="288"/>
      <c r="H60" s="288" t="s">
        <v>383</v>
      </c>
      <c r="J60" s="288"/>
      <c r="K60" s="288"/>
      <c r="L60" s="288"/>
      <c r="M60" s="288"/>
    </row>
    <row r="61" spans="2:14" ht="12" customHeight="1">
      <c r="B61" s="288"/>
      <c r="C61" s="288"/>
      <c r="D61" s="288"/>
      <c r="E61" s="288"/>
      <c r="F61" s="288"/>
      <c r="G61" s="288"/>
      <c r="H61" s="288" t="s">
        <v>1459</v>
      </c>
      <c r="J61" s="288"/>
      <c r="K61" s="288"/>
      <c r="L61" s="288"/>
      <c r="M61" s="288"/>
    </row>
    <row r="62" spans="2:14" ht="12" customHeight="1">
      <c r="B62" s="288"/>
      <c r="C62" s="288"/>
      <c r="D62" s="288"/>
      <c r="E62" s="288"/>
      <c r="F62" s="288"/>
      <c r="G62" s="288"/>
      <c r="H62" s="288" t="s">
        <v>1103</v>
      </c>
      <c r="J62" s="288"/>
      <c r="K62" s="288"/>
      <c r="L62" s="288"/>
      <c r="M62" s="288"/>
    </row>
    <row r="63" spans="2:14" ht="12" customHeight="1">
      <c r="F63" s="288"/>
      <c r="G63" s="288"/>
      <c r="H63" s="288"/>
      <c r="I63" s="288"/>
      <c r="J63" s="288"/>
      <c r="K63" s="288"/>
      <c r="L63" s="288"/>
      <c r="M63" s="288"/>
    </row>
    <row r="64" spans="2:14" ht="3" hidden="1" customHeight="1">
      <c r="D64" s="288"/>
      <c r="F64" s="288"/>
      <c r="G64" s="288"/>
      <c r="H64" s="288"/>
      <c r="I64" s="288"/>
      <c r="J64" s="288"/>
      <c r="K64" s="288"/>
      <c r="L64" s="288"/>
      <c r="M64" s="288"/>
    </row>
    <row r="65" spans="2:13" hidden="1">
      <c r="B65" s="1367">
        <v>17</v>
      </c>
      <c r="C65" s="1367"/>
      <c r="D65" s="1367"/>
      <c r="E65" s="1367"/>
      <c r="F65" s="1367"/>
      <c r="G65" s="1367"/>
      <c r="H65" s="1367"/>
      <c r="I65" s="1367"/>
      <c r="J65" s="1367"/>
      <c r="K65" s="1367"/>
      <c r="L65" s="1367"/>
      <c r="M65" s="1367"/>
    </row>
  </sheetData>
  <mergeCells count="26">
    <mergeCell ref="B65:M65"/>
    <mergeCell ref="B1:M1"/>
    <mergeCell ref="B2:M2"/>
    <mergeCell ref="L4:L6"/>
    <mergeCell ref="M4:M6"/>
    <mergeCell ref="B4:B6"/>
    <mergeCell ref="K5:K6"/>
    <mergeCell ref="C4:K4"/>
    <mergeCell ref="C5:F5"/>
    <mergeCell ref="G5:G6"/>
    <mergeCell ref="C32:K32"/>
    <mergeCell ref="L32:L34"/>
    <mergeCell ref="M32:M34"/>
    <mergeCell ref="K33:K34"/>
    <mergeCell ref="J33:J34"/>
    <mergeCell ref="C33:F33"/>
    <mergeCell ref="M47:M48"/>
    <mergeCell ref="J5:J6"/>
    <mergeCell ref="G33:G34"/>
    <mergeCell ref="H5:H6"/>
    <mergeCell ref="I5:I6"/>
    <mergeCell ref="H33:H34"/>
    <mergeCell ref="I33:I34"/>
    <mergeCell ref="C13:M13"/>
    <mergeCell ref="B30:M30"/>
    <mergeCell ref="B32:B34"/>
  </mergeCells>
  <phoneticPr fontId="0" type="noConversion"/>
  <printOptions horizontalCentered="1"/>
  <pageMargins left="0.1" right="0.1" top="0.54" bottom="0.1" header="0.31" footer="0.1"/>
  <pageSetup paperSize="9" orientation="landscape" blackAndWhite="1" r:id="rId1"/>
  <headerFooter alignWithMargins="0"/>
  <rowBreaks count="1" manualBreakCount="1">
    <brk id="29" max="16383" man="1"/>
  </rowBreaks>
  <drawing r:id="rId2"/>
</worksheet>
</file>

<file path=xl/worksheets/sheet25.xml><?xml version="1.0" encoding="utf-8"?>
<worksheet xmlns="http://schemas.openxmlformats.org/spreadsheetml/2006/main" xmlns:r="http://schemas.openxmlformats.org/officeDocument/2006/relationships">
  <sheetPr codeName="Sheet23"/>
  <dimension ref="A1:J55"/>
  <sheetViews>
    <sheetView workbookViewId="0">
      <selection activeCell="K40" sqref="K40"/>
    </sheetView>
  </sheetViews>
  <sheetFormatPr defaultRowHeight="12.4" customHeight="1"/>
  <cols>
    <col min="1" max="1" width="18" style="604" customWidth="1"/>
    <col min="2" max="2" width="9" style="604" customWidth="1"/>
    <col min="3" max="3" width="8.140625" style="604" customWidth="1"/>
    <col min="4" max="4" width="8" style="604" customWidth="1"/>
    <col min="5" max="5" width="9.7109375" style="604" customWidth="1"/>
    <col min="6" max="6" width="10.140625" style="604" customWidth="1"/>
    <col min="7" max="7" width="9.85546875" style="604" customWidth="1"/>
    <col min="8" max="8" width="7.7109375" style="604" customWidth="1"/>
    <col min="9" max="9" width="10.140625" style="604" customWidth="1"/>
    <col min="10" max="16384" width="9.140625" style="604"/>
  </cols>
  <sheetData>
    <row r="1" spans="1:9" ht="12.4" customHeight="1">
      <c r="A1" s="1364" t="s">
        <v>434</v>
      </c>
      <c r="B1" s="1364"/>
      <c r="C1" s="1364"/>
      <c r="D1" s="1364"/>
      <c r="E1" s="1364"/>
      <c r="F1" s="1364"/>
      <c r="G1" s="1364"/>
      <c r="H1" s="1364"/>
      <c r="I1" s="1364"/>
    </row>
    <row r="2" spans="1:9" s="894" customFormat="1" ht="14.25" customHeight="1">
      <c r="A2" s="1383" t="str">
        <f>CONCATENATE("Family Welfare Centres in the district of ",District!$A$1)</f>
        <v>Family Welfare Centres in the district of Nadia</v>
      </c>
      <c r="B2" s="1383"/>
      <c r="C2" s="1383"/>
      <c r="D2" s="1383"/>
      <c r="E2" s="1383"/>
      <c r="F2" s="1383"/>
      <c r="G2" s="1383"/>
      <c r="H2" s="1383"/>
      <c r="I2" s="1383"/>
    </row>
    <row r="3" spans="1:9" ht="12.75" customHeight="1">
      <c r="A3" s="914"/>
      <c r="B3" s="914"/>
      <c r="C3" s="915"/>
      <c r="D3" s="915"/>
      <c r="E3" s="915"/>
      <c r="F3" s="915"/>
      <c r="G3" s="915"/>
      <c r="H3" s="915"/>
      <c r="I3" s="910" t="s">
        <v>223</v>
      </c>
    </row>
    <row r="4" spans="1:9" ht="12.75" customHeight="1">
      <c r="A4" s="1365" t="s">
        <v>107</v>
      </c>
      <c r="B4" s="1365" t="s">
        <v>1572</v>
      </c>
      <c r="C4" s="1380" t="s">
        <v>1104</v>
      </c>
      <c r="D4" s="1380"/>
      <c r="E4" s="1381"/>
      <c r="F4" s="1382" t="s">
        <v>1399</v>
      </c>
      <c r="G4" s="1380"/>
      <c r="H4" s="1380"/>
      <c r="I4" s="1381"/>
    </row>
    <row r="5" spans="1:9" ht="42" customHeight="1">
      <c r="A5" s="1366"/>
      <c r="B5" s="1366"/>
      <c r="C5" s="209" t="s">
        <v>330</v>
      </c>
      <c r="D5" s="311" t="s">
        <v>331</v>
      </c>
      <c r="E5" s="164" t="s">
        <v>210</v>
      </c>
      <c r="F5" s="916" t="s">
        <v>332</v>
      </c>
      <c r="G5" s="917" t="s">
        <v>333</v>
      </c>
      <c r="H5" s="93" t="s">
        <v>334</v>
      </c>
      <c r="I5" s="897" t="s">
        <v>1475</v>
      </c>
    </row>
    <row r="6" spans="1:9" ht="16.5" customHeight="1">
      <c r="A6" s="918" t="s">
        <v>163</v>
      </c>
      <c r="B6" s="919" t="s">
        <v>164</v>
      </c>
      <c r="C6" s="918" t="s">
        <v>165</v>
      </c>
      <c r="D6" s="918" t="s">
        <v>166</v>
      </c>
      <c r="E6" s="919" t="s">
        <v>167</v>
      </c>
      <c r="F6" s="918" t="s">
        <v>168</v>
      </c>
      <c r="G6" s="919" t="s">
        <v>169</v>
      </c>
      <c r="H6" s="918" t="s">
        <v>211</v>
      </c>
      <c r="I6" s="918" t="s">
        <v>212</v>
      </c>
    </row>
    <row r="7" spans="1:9" ht="17.25" customHeight="1">
      <c r="A7" s="174" t="s">
        <v>1340</v>
      </c>
      <c r="B7" s="615">
        <v>469</v>
      </c>
      <c r="C7" s="920">
        <v>20</v>
      </c>
      <c r="D7" s="615" t="s">
        <v>643</v>
      </c>
      <c r="E7" s="921">
        <v>20</v>
      </c>
      <c r="F7" s="920">
        <v>922</v>
      </c>
      <c r="G7" s="615">
        <v>12001</v>
      </c>
      <c r="H7" s="920">
        <v>4369</v>
      </c>
      <c r="I7" s="311">
        <v>65463</v>
      </c>
    </row>
    <row r="8" spans="1:9" ht="17.25" customHeight="1">
      <c r="A8" s="174" t="s">
        <v>1339</v>
      </c>
      <c r="B8" s="174">
        <v>469</v>
      </c>
      <c r="C8" s="209">
        <v>20</v>
      </c>
      <c r="D8" s="174" t="s">
        <v>643</v>
      </c>
      <c r="E8" s="922">
        <v>20</v>
      </c>
      <c r="F8" s="209">
        <v>350</v>
      </c>
      <c r="G8" s="174">
        <v>11011</v>
      </c>
      <c r="H8" s="209">
        <v>4305</v>
      </c>
      <c r="I8" s="174">
        <v>71857</v>
      </c>
    </row>
    <row r="9" spans="1:9" ht="17.25" customHeight="1">
      <c r="A9" s="174" t="s">
        <v>1200</v>
      </c>
      <c r="B9" s="174">
        <v>469</v>
      </c>
      <c r="C9" s="209">
        <v>20</v>
      </c>
      <c r="D9" s="174" t="s">
        <v>643</v>
      </c>
      <c r="E9" s="922">
        <v>20</v>
      </c>
      <c r="F9" s="209">
        <v>252</v>
      </c>
      <c r="G9" s="174">
        <v>9298</v>
      </c>
      <c r="H9" s="209">
        <v>5939</v>
      </c>
      <c r="I9" s="174" t="s">
        <v>1377</v>
      </c>
    </row>
    <row r="10" spans="1:9" ht="17.25" customHeight="1">
      <c r="A10" s="174" t="s">
        <v>1223</v>
      </c>
      <c r="B10" s="174">
        <v>469</v>
      </c>
      <c r="C10" s="209">
        <v>20</v>
      </c>
      <c r="D10" s="174" t="s">
        <v>643</v>
      </c>
      <c r="E10" s="922">
        <v>20</v>
      </c>
      <c r="F10" s="209">
        <v>252</v>
      </c>
      <c r="G10" s="174">
        <v>9258</v>
      </c>
      <c r="H10" s="209">
        <v>5930</v>
      </c>
      <c r="I10" s="174">
        <v>64848</v>
      </c>
    </row>
    <row r="11" spans="1:9" ht="17.25" customHeight="1">
      <c r="A11" s="175" t="s">
        <v>720</v>
      </c>
      <c r="B11" s="175">
        <f t="shared" ref="B11:I11" si="0">SUM(B13,B18,B28,B38,B44)</f>
        <v>469</v>
      </c>
      <c r="C11" s="237">
        <f t="shared" si="0"/>
        <v>21</v>
      </c>
      <c r="D11" s="1049">
        <f t="shared" si="0"/>
        <v>20</v>
      </c>
      <c r="E11" s="175">
        <f t="shared" si="0"/>
        <v>41</v>
      </c>
      <c r="F11" s="175">
        <f t="shared" si="0"/>
        <v>20</v>
      </c>
      <c r="G11" s="175">
        <f t="shared" si="0"/>
        <v>7175</v>
      </c>
      <c r="H11" s="175">
        <f t="shared" si="0"/>
        <v>5670</v>
      </c>
      <c r="I11" s="175">
        <f t="shared" si="0"/>
        <v>61180</v>
      </c>
    </row>
    <row r="12" spans="1:9" ht="26.25" customHeight="1">
      <c r="A12" s="899" t="s">
        <v>1474</v>
      </c>
      <c r="B12" s="1377" t="str">
        <f>"Year : "  &amp; A11</f>
        <v>Year : 2013-14</v>
      </c>
      <c r="C12" s="1378"/>
      <c r="D12" s="1378"/>
      <c r="E12" s="1378"/>
      <c r="F12" s="1378"/>
      <c r="G12" s="1378"/>
      <c r="H12" s="1378"/>
      <c r="I12" s="1379"/>
    </row>
    <row r="13" spans="1:9" ht="15" customHeight="1">
      <c r="A13" s="923" t="s">
        <v>1194</v>
      </c>
      <c r="B13" s="874">
        <f>SUM(B14:B17)</f>
        <v>103</v>
      </c>
      <c r="C13" s="185">
        <f>SUM(C14:C17)</f>
        <v>4</v>
      </c>
      <c r="D13" s="874" t="str">
        <f>IF(SUM(D14:D17)=0,"-",SUM(D14:D17))</f>
        <v>-</v>
      </c>
      <c r="E13" s="924">
        <f>SUM(C13,D13)</f>
        <v>4</v>
      </c>
      <c r="F13" s="925">
        <f>IF(SUM(F14:F17)=0,"-",SUM(F14:F17))</f>
        <v>4</v>
      </c>
      <c r="G13" s="874">
        <f>IF(SUM(G14:G17)=0,"-",SUM(G14:G17))</f>
        <v>999</v>
      </c>
      <c r="H13" s="926">
        <f>IF(SUM(H14:H17)=0,"-",SUM(H14:H17))</f>
        <v>1122</v>
      </c>
      <c r="I13" s="874">
        <f>IF(SUM(I14:I17)=0,"-",SUM(I14:I17))</f>
        <v>10250</v>
      </c>
    </row>
    <row r="14" spans="1:9" ht="15" customHeight="1">
      <c r="A14" s="927" t="s">
        <v>1118</v>
      </c>
      <c r="B14" s="174">
        <v>27</v>
      </c>
      <c r="C14" s="461">
        <v>1</v>
      </c>
      <c r="D14" s="462" t="s">
        <v>643</v>
      </c>
      <c r="E14" s="922">
        <f>IF(SUM(C14:D14)=0,"-",SUM(C14:D14))</f>
        <v>1</v>
      </c>
      <c r="F14" s="653">
        <v>2</v>
      </c>
      <c r="G14" s="462">
        <v>165</v>
      </c>
      <c r="H14" s="461">
        <v>168</v>
      </c>
      <c r="I14" s="174">
        <v>2542</v>
      </c>
    </row>
    <row r="15" spans="1:9" ht="15" customHeight="1">
      <c r="A15" s="927" t="s">
        <v>1119</v>
      </c>
      <c r="B15" s="174">
        <v>31</v>
      </c>
      <c r="C15" s="461">
        <v>1</v>
      </c>
      <c r="D15" s="462" t="s">
        <v>643</v>
      </c>
      <c r="E15" s="922">
        <f t="shared" ref="E15:E42" si="1">IF(SUM(C15:D15)=0,"-",SUM(C15:D15))</f>
        <v>1</v>
      </c>
      <c r="F15" s="1054" t="s">
        <v>643</v>
      </c>
      <c r="G15" s="462">
        <v>146</v>
      </c>
      <c r="H15" s="461">
        <v>249</v>
      </c>
      <c r="I15" s="174">
        <v>2846</v>
      </c>
    </row>
    <row r="16" spans="1:9" ht="15" customHeight="1">
      <c r="A16" s="927" t="s">
        <v>1121</v>
      </c>
      <c r="B16" s="898">
        <v>27</v>
      </c>
      <c r="C16" s="461">
        <v>1</v>
      </c>
      <c r="D16" s="462" t="s">
        <v>643</v>
      </c>
      <c r="E16" s="922">
        <f t="shared" si="1"/>
        <v>1</v>
      </c>
      <c r="F16" s="653">
        <v>2</v>
      </c>
      <c r="G16" s="462">
        <v>248</v>
      </c>
      <c r="H16" s="461">
        <v>366</v>
      </c>
      <c r="I16" s="174">
        <v>3696</v>
      </c>
    </row>
    <row r="17" spans="1:9" ht="15" customHeight="1">
      <c r="A17" s="927" t="s">
        <v>1120</v>
      </c>
      <c r="B17" s="898">
        <v>18</v>
      </c>
      <c r="C17" s="461">
        <v>1</v>
      </c>
      <c r="D17" s="462" t="s">
        <v>643</v>
      </c>
      <c r="E17" s="922">
        <f t="shared" si="1"/>
        <v>1</v>
      </c>
      <c r="F17" s="1054" t="s">
        <v>643</v>
      </c>
      <c r="G17" s="462">
        <v>440</v>
      </c>
      <c r="H17" s="461">
        <v>339</v>
      </c>
      <c r="I17" s="174">
        <v>1166</v>
      </c>
    </row>
    <row r="18" spans="1:9" ht="26.25" customHeight="1">
      <c r="A18" s="903" t="s">
        <v>1607</v>
      </c>
      <c r="B18" s="137">
        <f>SUM(B19:B27)</f>
        <v>191</v>
      </c>
      <c r="C18" s="185">
        <f>SUM(C19:C27)</f>
        <v>9</v>
      </c>
      <c r="D18" s="137" t="str">
        <f>IF(SUM(D19:D27)=0,"-",SUM(D19:D27))</f>
        <v>-</v>
      </c>
      <c r="E18" s="924">
        <f>SUM(C18,D18)</f>
        <v>9</v>
      </c>
      <c r="F18" s="370">
        <f>IF(SUM(F19:F27)=0,"-",SUM(F19:F27))</f>
        <v>6</v>
      </c>
      <c r="G18" s="370">
        <f>IF(SUM(G19:G27)=0,"-",SUM(G19:G27))</f>
        <v>3004</v>
      </c>
      <c r="H18" s="137">
        <f>IF(SUM(H19:H27)=0,"-",SUM(H19:H27))</f>
        <v>2368</v>
      </c>
      <c r="I18" s="137">
        <f>IF(SUM(I19:I27)=0,"-",SUM(I19:I27))</f>
        <v>22316</v>
      </c>
    </row>
    <row r="19" spans="1:9" ht="15" customHeight="1">
      <c r="A19" s="927" t="s">
        <v>1122</v>
      </c>
      <c r="B19" s="898">
        <v>38</v>
      </c>
      <c r="C19" s="461">
        <v>1</v>
      </c>
      <c r="D19" s="462" t="s">
        <v>643</v>
      </c>
      <c r="E19" s="922">
        <f t="shared" si="1"/>
        <v>1</v>
      </c>
      <c r="F19" s="653">
        <v>2</v>
      </c>
      <c r="G19" s="462">
        <v>375</v>
      </c>
      <c r="H19" s="461">
        <v>547</v>
      </c>
      <c r="I19" s="174">
        <v>710</v>
      </c>
    </row>
    <row r="20" spans="1:9" ht="15" customHeight="1">
      <c r="A20" s="927" t="s">
        <v>1123</v>
      </c>
      <c r="B20" s="898">
        <v>33</v>
      </c>
      <c r="C20" s="461">
        <v>1</v>
      </c>
      <c r="D20" s="462" t="s">
        <v>643</v>
      </c>
      <c r="E20" s="922">
        <f t="shared" si="1"/>
        <v>1</v>
      </c>
      <c r="F20" s="1054" t="s">
        <v>643</v>
      </c>
      <c r="G20" s="462">
        <v>611</v>
      </c>
      <c r="H20" s="461">
        <v>461</v>
      </c>
      <c r="I20" s="174">
        <v>3286</v>
      </c>
    </row>
    <row r="21" spans="1:9" ht="15" customHeight="1">
      <c r="A21" s="927" t="s">
        <v>1124</v>
      </c>
      <c r="B21" s="898">
        <v>33</v>
      </c>
      <c r="C21" s="461">
        <v>1</v>
      </c>
      <c r="D21" s="462" t="s">
        <v>643</v>
      </c>
      <c r="E21" s="922">
        <f t="shared" si="1"/>
        <v>1</v>
      </c>
      <c r="F21" s="653">
        <v>1</v>
      </c>
      <c r="G21" s="462">
        <v>241</v>
      </c>
      <c r="H21" s="461">
        <v>266</v>
      </c>
      <c r="I21" s="174">
        <v>3579</v>
      </c>
    </row>
    <row r="22" spans="1:9" ht="15" customHeight="1">
      <c r="A22" s="927" t="s">
        <v>1125</v>
      </c>
      <c r="B22" s="898">
        <v>21</v>
      </c>
      <c r="C22" s="461">
        <v>1</v>
      </c>
      <c r="D22" s="462" t="s">
        <v>643</v>
      </c>
      <c r="E22" s="922">
        <f t="shared" si="1"/>
        <v>1</v>
      </c>
      <c r="F22" s="1054" t="s">
        <v>643</v>
      </c>
      <c r="G22" s="462">
        <v>113</v>
      </c>
      <c r="H22" s="461">
        <v>112</v>
      </c>
      <c r="I22" s="174">
        <v>2268</v>
      </c>
    </row>
    <row r="23" spans="1:9" ht="15" customHeight="1">
      <c r="A23" s="927" t="s">
        <v>1126</v>
      </c>
      <c r="B23" s="898">
        <v>29</v>
      </c>
      <c r="C23" s="461">
        <v>1</v>
      </c>
      <c r="D23" s="462" t="s">
        <v>643</v>
      </c>
      <c r="E23" s="922">
        <f t="shared" si="1"/>
        <v>1</v>
      </c>
      <c r="F23" s="1054" t="s">
        <v>643</v>
      </c>
      <c r="G23" s="462">
        <v>197</v>
      </c>
      <c r="H23" s="461">
        <v>271</v>
      </c>
      <c r="I23" s="174">
        <v>3401</v>
      </c>
    </row>
    <row r="24" spans="1:9" ht="15" customHeight="1">
      <c r="A24" s="927" t="s">
        <v>1127</v>
      </c>
      <c r="B24" s="174" t="s">
        <v>643</v>
      </c>
      <c r="C24" s="461">
        <v>1</v>
      </c>
      <c r="D24" s="462" t="s">
        <v>643</v>
      </c>
      <c r="E24" s="922">
        <f t="shared" si="1"/>
        <v>1</v>
      </c>
      <c r="F24" s="1054" t="s">
        <v>643</v>
      </c>
      <c r="G24" s="462">
        <v>964</v>
      </c>
      <c r="H24" s="461">
        <v>245</v>
      </c>
      <c r="I24" s="174">
        <v>2536</v>
      </c>
    </row>
    <row r="25" spans="1:9" ht="15" customHeight="1">
      <c r="A25" s="927" t="s">
        <v>1128</v>
      </c>
      <c r="B25" s="898">
        <v>19</v>
      </c>
      <c r="C25" s="461">
        <v>1</v>
      </c>
      <c r="D25" s="462" t="s">
        <v>643</v>
      </c>
      <c r="E25" s="922">
        <f t="shared" si="1"/>
        <v>1</v>
      </c>
      <c r="F25" s="1054" t="s">
        <v>643</v>
      </c>
      <c r="G25" s="462">
        <v>215</v>
      </c>
      <c r="H25" s="461">
        <v>222</v>
      </c>
      <c r="I25" s="174">
        <v>1880</v>
      </c>
    </row>
    <row r="26" spans="1:9" ht="15" customHeight="1">
      <c r="A26" s="927" t="s">
        <v>90</v>
      </c>
      <c r="B26" s="898">
        <v>18</v>
      </c>
      <c r="C26" s="461">
        <v>1</v>
      </c>
      <c r="D26" s="462" t="s">
        <v>643</v>
      </c>
      <c r="E26" s="922">
        <f t="shared" si="1"/>
        <v>1</v>
      </c>
      <c r="F26" s="653">
        <v>2</v>
      </c>
      <c r="G26" s="462">
        <v>101</v>
      </c>
      <c r="H26" s="461">
        <v>224</v>
      </c>
      <c r="I26" s="174">
        <v>1988</v>
      </c>
    </row>
    <row r="27" spans="1:9" ht="15" customHeight="1">
      <c r="A27" s="927" t="s">
        <v>1130</v>
      </c>
      <c r="B27" s="174" t="s">
        <v>643</v>
      </c>
      <c r="C27" s="461">
        <v>1</v>
      </c>
      <c r="D27" s="462" t="s">
        <v>643</v>
      </c>
      <c r="E27" s="922">
        <f t="shared" si="1"/>
        <v>1</v>
      </c>
      <c r="F27" s="653">
        <v>1</v>
      </c>
      <c r="G27" s="462">
        <v>187</v>
      </c>
      <c r="H27" s="461">
        <v>20</v>
      </c>
      <c r="I27" s="174">
        <v>2668</v>
      </c>
    </row>
    <row r="28" spans="1:9" ht="15" customHeight="1">
      <c r="A28" s="923" t="s">
        <v>805</v>
      </c>
      <c r="B28" s="137">
        <f>SUM(B29:B37)</f>
        <v>105</v>
      </c>
      <c r="C28" s="185">
        <f>SUM(C29:C37)</f>
        <v>5</v>
      </c>
      <c r="D28" s="137" t="str">
        <f>IF(SUM(D29:D37)=0,"-",SUM(D29:D37))</f>
        <v>-</v>
      </c>
      <c r="E28" s="924">
        <f>SUM(C28,D28)</f>
        <v>5</v>
      </c>
      <c r="F28" s="370">
        <f>IF(SUM(F29:F37)=0,"-",SUM(F29:F37))</f>
        <v>10</v>
      </c>
      <c r="G28" s="137">
        <f>IF(SUM(G29:G37)=0,"-",SUM(G29:G37))</f>
        <v>1068</v>
      </c>
      <c r="H28" s="185">
        <f>IF(SUM(H29:H37)=0,"-",SUM(H29:H37))</f>
        <v>1149</v>
      </c>
      <c r="I28" s="137">
        <f>IF(SUM(I29:I37)=0,"-",SUM(I29:I37))</f>
        <v>15278</v>
      </c>
    </row>
    <row r="29" spans="1:9" ht="15" customHeight="1">
      <c r="A29" s="927" t="s">
        <v>1131</v>
      </c>
      <c r="B29" s="898">
        <v>24</v>
      </c>
      <c r="C29" s="462" t="s">
        <v>643</v>
      </c>
      <c r="D29" s="462" t="s">
        <v>643</v>
      </c>
      <c r="E29" s="922" t="str">
        <f t="shared" si="1"/>
        <v>-</v>
      </c>
      <c r="F29" s="1358">
        <v>5</v>
      </c>
      <c r="G29" s="1358">
        <v>518</v>
      </c>
      <c r="H29" s="1358">
        <v>328</v>
      </c>
      <c r="I29" s="1370">
        <v>4876</v>
      </c>
    </row>
    <row r="30" spans="1:9" ht="15" customHeight="1">
      <c r="A30" s="927" t="s">
        <v>1133</v>
      </c>
      <c r="B30" s="174" t="s">
        <v>643</v>
      </c>
      <c r="C30" s="461">
        <v>1</v>
      </c>
      <c r="D30" s="462" t="s">
        <v>643</v>
      </c>
      <c r="E30" s="922">
        <f t="shared" si="1"/>
        <v>1</v>
      </c>
      <c r="F30" s="1358"/>
      <c r="G30" s="1358"/>
      <c r="H30" s="1358"/>
      <c r="I30" s="1370"/>
    </row>
    <row r="31" spans="1:9" ht="15" customHeight="1">
      <c r="A31" s="927" t="s">
        <v>1134</v>
      </c>
      <c r="B31" s="898">
        <v>29</v>
      </c>
      <c r="C31" s="461">
        <v>1</v>
      </c>
      <c r="D31" s="462" t="s">
        <v>643</v>
      </c>
      <c r="E31" s="922">
        <f t="shared" si="1"/>
        <v>1</v>
      </c>
      <c r="F31" s="653">
        <v>1</v>
      </c>
      <c r="G31" s="462">
        <v>114</v>
      </c>
      <c r="H31" s="461">
        <v>160</v>
      </c>
      <c r="I31" s="174">
        <v>4242</v>
      </c>
    </row>
    <row r="32" spans="1:9" ht="15" customHeight="1">
      <c r="A32" s="927" t="s">
        <v>1623</v>
      </c>
      <c r="B32" s="898">
        <v>21</v>
      </c>
      <c r="C32" s="461">
        <v>1</v>
      </c>
      <c r="D32" s="462" t="s">
        <v>643</v>
      </c>
      <c r="E32" s="922">
        <f t="shared" si="1"/>
        <v>1</v>
      </c>
      <c r="F32" s="1054">
        <v>3</v>
      </c>
      <c r="G32" s="462">
        <v>245</v>
      </c>
      <c r="H32" s="461">
        <v>185</v>
      </c>
      <c r="I32" s="174">
        <v>3093</v>
      </c>
    </row>
    <row r="33" spans="1:10" ht="15" customHeight="1">
      <c r="A33" s="927" t="s">
        <v>768</v>
      </c>
      <c r="B33" s="174" t="s">
        <v>643</v>
      </c>
      <c r="C33" s="461">
        <v>1</v>
      </c>
      <c r="D33" s="462" t="s">
        <v>643</v>
      </c>
      <c r="E33" s="922">
        <f t="shared" si="1"/>
        <v>1</v>
      </c>
      <c r="F33" s="1054" t="s">
        <v>643</v>
      </c>
      <c r="G33" s="1056" t="s">
        <v>643</v>
      </c>
      <c r="H33" s="1058" t="s">
        <v>643</v>
      </c>
      <c r="I33" s="293" t="s">
        <v>643</v>
      </c>
    </row>
    <row r="34" spans="1:10" ht="15" customHeight="1">
      <c r="A34" s="927" t="s">
        <v>1625</v>
      </c>
      <c r="B34" s="174" t="s">
        <v>643</v>
      </c>
      <c r="C34" s="461" t="s">
        <v>643</v>
      </c>
      <c r="D34" s="462" t="s">
        <v>643</v>
      </c>
      <c r="E34" s="922" t="str">
        <f t="shared" si="1"/>
        <v>-</v>
      </c>
      <c r="F34" s="1055" t="s">
        <v>643</v>
      </c>
      <c r="G34" s="1055" t="s">
        <v>643</v>
      </c>
      <c r="H34" s="1055" t="s">
        <v>643</v>
      </c>
      <c r="I34" s="167" t="s">
        <v>643</v>
      </c>
    </row>
    <row r="35" spans="1:10" ht="15" customHeight="1">
      <c r="A35" s="927" t="s">
        <v>1626</v>
      </c>
      <c r="B35" s="137" t="s">
        <v>643</v>
      </c>
      <c r="C35" s="461" t="s">
        <v>643</v>
      </c>
      <c r="D35" s="462" t="s">
        <v>643</v>
      </c>
      <c r="E35" s="922" t="str">
        <f t="shared" si="1"/>
        <v>-</v>
      </c>
      <c r="F35" s="922" t="str">
        <f t="shared" ref="F35" si="2">IF(SUM(D35:E35)=0,"-",SUM(D35:E35))</f>
        <v>-</v>
      </c>
      <c r="G35" s="922" t="str">
        <f t="shared" ref="G35" si="3">IF(SUM(E35:F35)=0,"-",SUM(E35:F35))</f>
        <v>-</v>
      </c>
      <c r="H35" s="922" t="str">
        <f t="shared" ref="H35" si="4">IF(SUM(F35:G35)=0,"-",SUM(F35:G35))</f>
        <v>-</v>
      </c>
      <c r="I35" s="922" t="str">
        <f t="shared" ref="I35" si="5">IF(SUM(G35:H35)=0,"-",SUM(G35:H35))</f>
        <v>-</v>
      </c>
    </row>
    <row r="36" spans="1:10" ht="15" customHeight="1">
      <c r="A36" s="927" t="s">
        <v>714</v>
      </c>
      <c r="B36" s="1188">
        <v>31</v>
      </c>
      <c r="C36" s="1190">
        <v>1</v>
      </c>
      <c r="D36" s="1190" t="s">
        <v>643</v>
      </c>
      <c r="E36" s="1193">
        <f t="shared" si="1"/>
        <v>1</v>
      </c>
      <c r="F36" s="1187">
        <v>1</v>
      </c>
      <c r="G36" s="1212">
        <v>191</v>
      </c>
      <c r="H36" s="1187">
        <v>476</v>
      </c>
      <c r="I36" s="1212">
        <v>3067</v>
      </c>
      <c r="J36" s="1220"/>
    </row>
    <row r="37" spans="1:10" ht="15" customHeight="1">
      <c r="A37" s="927" t="s">
        <v>1275</v>
      </c>
      <c r="B37" s="1188"/>
      <c r="C37" s="1190"/>
      <c r="D37" s="1190"/>
      <c r="E37" s="1193"/>
      <c r="F37" s="1191" t="s">
        <v>643</v>
      </c>
      <c r="G37" s="1191" t="s">
        <v>643</v>
      </c>
      <c r="H37" s="1191" t="s">
        <v>643</v>
      </c>
      <c r="I37" s="1192" t="s">
        <v>643</v>
      </c>
    </row>
    <row r="38" spans="1:10" ht="15" customHeight="1">
      <c r="A38" s="923" t="s">
        <v>1265</v>
      </c>
      <c r="B38" s="137">
        <f>SUM(B39:B43)</f>
        <v>70</v>
      </c>
      <c r="C38" s="185">
        <f>SUM(C39:C43)</f>
        <v>3</v>
      </c>
      <c r="D38" s="137" t="str">
        <f>IF(SUM(D39:D43)=0,"-",SUM(D39:D43))</f>
        <v>-</v>
      </c>
      <c r="E38" s="924">
        <f>SUM(C38,D38)</f>
        <v>3</v>
      </c>
      <c r="F38" s="370" t="str">
        <f>IF(SUM(F39:F43)=0,"-",SUM(F39:F43))</f>
        <v>-</v>
      </c>
      <c r="G38" s="137">
        <f>IF(SUM(G39:G43)=0,"-",SUM(G39:G43))</f>
        <v>721</v>
      </c>
      <c r="H38" s="137">
        <f>IF(SUM(H39:H43)=0,"-",SUM(H39:H43))</f>
        <v>800</v>
      </c>
      <c r="I38" s="137">
        <f>IF(SUM(I39:I43)=0,"-",SUM(I39:I43))</f>
        <v>9832</v>
      </c>
    </row>
    <row r="39" spans="1:10" ht="15" customHeight="1">
      <c r="A39" s="927" t="s">
        <v>769</v>
      </c>
      <c r="B39" s="898">
        <v>40</v>
      </c>
      <c r="C39" s="462" t="s">
        <v>643</v>
      </c>
      <c r="D39" s="462" t="s">
        <v>643</v>
      </c>
      <c r="E39" s="922" t="str">
        <f t="shared" si="1"/>
        <v>-</v>
      </c>
      <c r="F39" s="1358" t="s">
        <v>643</v>
      </c>
      <c r="G39" s="1358">
        <v>242</v>
      </c>
      <c r="H39" s="1358">
        <v>383</v>
      </c>
      <c r="I39" s="1370">
        <v>5089</v>
      </c>
    </row>
    <row r="40" spans="1:10" ht="15" customHeight="1">
      <c r="A40" s="927" t="s">
        <v>770</v>
      </c>
      <c r="B40" s="174" t="s">
        <v>643</v>
      </c>
      <c r="C40" s="461">
        <v>1</v>
      </c>
      <c r="D40" s="462" t="s">
        <v>643</v>
      </c>
      <c r="E40" s="922">
        <f t="shared" si="1"/>
        <v>1</v>
      </c>
      <c r="F40" s="1358"/>
      <c r="G40" s="1358"/>
      <c r="H40" s="1358"/>
      <c r="I40" s="1370"/>
    </row>
    <row r="41" spans="1:10" ht="15" customHeight="1">
      <c r="A41" s="927" t="s">
        <v>771</v>
      </c>
      <c r="B41" s="174" t="s">
        <v>643</v>
      </c>
      <c r="C41" s="461">
        <v>1</v>
      </c>
      <c r="D41" s="462" t="s">
        <v>643</v>
      </c>
      <c r="E41" s="922">
        <f t="shared" si="1"/>
        <v>1</v>
      </c>
      <c r="F41" s="1054" t="s">
        <v>643</v>
      </c>
      <c r="G41" s="462">
        <v>265</v>
      </c>
      <c r="H41" s="461">
        <v>150</v>
      </c>
      <c r="I41" s="174">
        <v>1318</v>
      </c>
    </row>
    <row r="42" spans="1:10" ht="15" customHeight="1">
      <c r="A42" s="927" t="s">
        <v>1629</v>
      </c>
      <c r="B42" s="174" t="s">
        <v>643</v>
      </c>
      <c r="C42" s="462" t="s">
        <v>643</v>
      </c>
      <c r="D42" s="462" t="s">
        <v>643</v>
      </c>
      <c r="E42" s="922" t="str">
        <f t="shared" si="1"/>
        <v>-</v>
      </c>
      <c r="F42" s="1056" t="s">
        <v>643</v>
      </c>
      <c r="G42" s="1056" t="s">
        <v>643</v>
      </c>
      <c r="H42" s="1058" t="s">
        <v>643</v>
      </c>
      <c r="I42" s="293">
        <v>50</v>
      </c>
    </row>
    <row r="43" spans="1:10" ht="15" customHeight="1">
      <c r="A43" s="927" t="s">
        <v>772</v>
      </c>
      <c r="B43" s="898">
        <v>30</v>
      </c>
      <c r="C43" s="461">
        <v>1</v>
      </c>
      <c r="D43" s="462" t="s">
        <v>643</v>
      </c>
      <c r="E43" s="922">
        <f>IF(SUM(C43:D43)=0,"-",SUM(C43:D43))</f>
        <v>1</v>
      </c>
      <c r="F43" s="1191" t="s">
        <v>643</v>
      </c>
      <c r="G43" s="462">
        <v>214</v>
      </c>
      <c r="H43" s="461">
        <v>267</v>
      </c>
      <c r="I43" s="174">
        <v>3375</v>
      </c>
    </row>
    <row r="44" spans="1:10" s="205" customFormat="1" ht="15" customHeight="1">
      <c r="A44" s="707" t="s">
        <v>914</v>
      </c>
      <c r="B44" s="616" t="s">
        <v>643</v>
      </c>
      <c r="C44" s="906" t="s">
        <v>643</v>
      </c>
      <c r="D44" s="616">
        <v>20</v>
      </c>
      <c r="E44" s="1053">
        <f>IF(SUM(C44:D44)=0,"-",SUM(C44:D44))</f>
        <v>20</v>
      </c>
      <c r="F44" s="1057" t="s">
        <v>643</v>
      </c>
      <c r="G44" s="168">
        <v>1383</v>
      </c>
      <c r="H44" s="342">
        <v>231</v>
      </c>
      <c r="I44" s="1219">
        <v>3504</v>
      </c>
    </row>
    <row r="45" spans="1:10" s="288" customFormat="1" ht="12.4" customHeight="1">
      <c r="A45" s="371" t="s">
        <v>1494</v>
      </c>
      <c r="C45" s="369"/>
      <c r="E45" s="369"/>
      <c r="G45" s="928"/>
      <c r="I45" s="928" t="s">
        <v>398</v>
      </c>
    </row>
    <row r="46" spans="1:10" ht="12.4" customHeight="1">
      <c r="A46" s="949" t="s">
        <v>937</v>
      </c>
      <c r="F46" s="618"/>
      <c r="G46" s="405"/>
      <c r="H46" s="405"/>
      <c r="I46" s="405"/>
    </row>
    <row r="47" spans="1:10" ht="12.4" customHeight="1">
      <c r="A47" s="288" t="s">
        <v>1707</v>
      </c>
    </row>
    <row r="48" spans="1:10" ht="12.4" customHeight="1">
      <c r="A48" s="288" t="s">
        <v>1708</v>
      </c>
    </row>
    <row r="49" spans="1:9" ht="12.4" customHeight="1">
      <c r="A49" s="288" t="s">
        <v>1709</v>
      </c>
      <c r="F49" s="201"/>
    </row>
    <row r="51" spans="1:9" ht="12.4" customHeight="1">
      <c r="I51" s="651"/>
    </row>
    <row r="55" spans="1:9" ht="12.4" customHeight="1">
      <c r="A55" s="651"/>
      <c r="B55" s="651"/>
      <c r="C55" s="651"/>
      <c r="D55" s="651"/>
      <c r="E55" s="651"/>
      <c r="F55" s="651"/>
      <c r="G55" s="651"/>
      <c r="H55" s="651"/>
      <c r="I55" s="651"/>
    </row>
  </sheetData>
  <mergeCells count="15">
    <mergeCell ref="A1:I1"/>
    <mergeCell ref="C4:E4"/>
    <mergeCell ref="F4:I4"/>
    <mergeCell ref="A2:I2"/>
    <mergeCell ref="A4:A5"/>
    <mergeCell ref="B4:B5"/>
    <mergeCell ref="I39:I40"/>
    <mergeCell ref="H39:H40"/>
    <mergeCell ref="G39:G40"/>
    <mergeCell ref="F39:F40"/>
    <mergeCell ref="B12:I12"/>
    <mergeCell ref="F29:F30"/>
    <mergeCell ref="G29:G30"/>
    <mergeCell ref="H29:H30"/>
    <mergeCell ref="I29:I30"/>
  </mergeCells>
  <phoneticPr fontId="0" type="noConversion"/>
  <conditionalFormatting sqref="A47:A49">
    <cfRule type="cellIs" dxfId="14" priority="2" stopIfTrue="1" operator="equal">
      <formula>".."</formula>
    </cfRule>
  </conditionalFormatting>
  <conditionalFormatting sqref="A47:A49">
    <cfRule type="cellIs" dxfId="13" priority="1" stopIfTrue="1" operator="equal">
      <formula>".."</formula>
    </cfRule>
  </conditionalFormatting>
  <printOptions horizontalCentered="1"/>
  <pageMargins left="0.1" right="0.1" top="0.65" bottom="0.1" header="0.25" footer="0.1"/>
  <pageSetup paperSize="9" orientation="portrait" blackAndWhite="1" r:id="rId1"/>
  <headerFooter alignWithMargins="0"/>
  <drawing r:id="rId2"/>
</worksheet>
</file>

<file path=xl/worksheets/sheet26.xml><?xml version="1.0" encoding="utf-8"?>
<worksheet xmlns="http://schemas.openxmlformats.org/spreadsheetml/2006/main" xmlns:r="http://schemas.openxmlformats.org/officeDocument/2006/relationships">
  <sheetPr codeName="Sheet24"/>
  <dimension ref="A1:K48"/>
  <sheetViews>
    <sheetView workbookViewId="0">
      <selection activeCell="H9" sqref="H9"/>
    </sheetView>
  </sheetViews>
  <sheetFormatPr defaultRowHeight="12.4" customHeight="1"/>
  <cols>
    <col min="1" max="1" width="21.7109375" style="405" customWidth="1"/>
    <col min="2" max="6" width="13.5703125" style="405" customWidth="1"/>
    <col min="7" max="16384" width="9.140625" style="405"/>
  </cols>
  <sheetData>
    <row r="1" spans="1:6" ht="12.75" customHeight="1">
      <c r="A1" s="1250" t="s">
        <v>437</v>
      </c>
      <c r="B1" s="1250"/>
      <c r="C1" s="1250"/>
      <c r="D1" s="1250"/>
      <c r="E1" s="1250"/>
      <c r="F1" s="1250"/>
    </row>
    <row r="2" spans="1:6" s="412" customFormat="1" ht="15.75" customHeight="1">
      <c r="A2" s="1350" t="str">
        <f>CONCATENATE("Achievement of Universal Immunization Programme in the district of ",District!$A$1)</f>
        <v>Achievement of Universal Immunization Programme in the district of Nadia</v>
      </c>
      <c r="B2" s="1350"/>
      <c r="C2" s="1350"/>
      <c r="D2" s="1350"/>
      <c r="E2" s="1350"/>
      <c r="F2" s="1350"/>
    </row>
    <row r="3" spans="1:6" ht="12" customHeight="1">
      <c r="A3" s="412"/>
      <c r="B3" s="436"/>
      <c r="C3" s="436"/>
      <c r="D3" s="436"/>
      <c r="E3" s="436"/>
      <c r="F3" s="451" t="s">
        <v>223</v>
      </c>
    </row>
    <row r="4" spans="1:6" ht="14.25" customHeight="1">
      <c r="A4" s="395" t="s">
        <v>107</v>
      </c>
      <c r="B4" s="246" t="s">
        <v>338</v>
      </c>
      <c r="C4" s="246" t="s">
        <v>339</v>
      </c>
      <c r="D4" s="246" t="s">
        <v>340</v>
      </c>
      <c r="E4" s="246" t="s">
        <v>341</v>
      </c>
      <c r="F4" s="204" t="s">
        <v>342</v>
      </c>
    </row>
    <row r="5" spans="1:6" ht="12" customHeight="1">
      <c r="A5" s="299" t="s">
        <v>163</v>
      </c>
      <c r="B5" s="299" t="s">
        <v>164</v>
      </c>
      <c r="C5" s="299" t="s">
        <v>165</v>
      </c>
      <c r="D5" s="299" t="s">
        <v>166</v>
      </c>
      <c r="E5" s="299" t="s">
        <v>167</v>
      </c>
      <c r="F5" s="225" t="s">
        <v>168</v>
      </c>
    </row>
    <row r="6" spans="1:6" ht="15" hidden="1" customHeight="1">
      <c r="A6" s="246" t="s">
        <v>337</v>
      </c>
      <c r="B6" s="653">
        <v>90376</v>
      </c>
      <c r="C6" s="653">
        <v>89940</v>
      </c>
      <c r="D6" s="653">
        <v>90091</v>
      </c>
      <c r="E6" s="653">
        <v>100533</v>
      </c>
      <c r="F6" s="462">
        <v>89454</v>
      </c>
    </row>
    <row r="7" spans="1:6" ht="15" customHeight="1">
      <c r="A7" s="108" t="s">
        <v>1340</v>
      </c>
      <c r="B7" s="108">
        <v>80773</v>
      </c>
      <c r="C7" s="108">
        <v>88629</v>
      </c>
      <c r="D7" s="108">
        <v>78817</v>
      </c>
      <c r="E7" s="108">
        <v>78765</v>
      </c>
      <c r="F7" s="204">
        <v>78578</v>
      </c>
    </row>
    <row r="8" spans="1:6" ht="15" customHeight="1">
      <c r="A8" s="108" t="s">
        <v>1339</v>
      </c>
      <c r="B8" s="494">
        <v>82156</v>
      </c>
      <c r="C8" s="494">
        <v>79524</v>
      </c>
      <c r="D8" s="494">
        <v>78857</v>
      </c>
      <c r="E8" s="494">
        <v>79987</v>
      </c>
      <c r="F8" s="463">
        <v>75519</v>
      </c>
    </row>
    <row r="9" spans="1:6" ht="15" customHeight="1">
      <c r="A9" s="134" t="s">
        <v>1200</v>
      </c>
      <c r="B9" s="108">
        <v>79717</v>
      </c>
      <c r="C9" s="108">
        <v>78873</v>
      </c>
      <c r="D9" s="108">
        <v>84812</v>
      </c>
      <c r="E9" s="108">
        <v>77950</v>
      </c>
      <c r="F9" s="81">
        <v>78018</v>
      </c>
    </row>
    <row r="10" spans="1:6" ht="15" customHeight="1">
      <c r="A10" s="134" t="s">
        <v>1223</v>
      </c>
      <c r="B10" s="108">
        <v>79441</v>
      </c>
      <c r="C10" s="108">
        <v>76317</v>
      </c>
      <c r="D10" s="108">
        <v>84513</v>
      </c>
      <c r="E10" s="108">
        <v>78438</v>
      </c>
      <c r="F10" s="81">
        <v>77753</v>
      </c>
    </row>
    <row r="11" spans="1:6" ht="15" customHeight="1">
      <c r="A11" s="517" t="s">
        <v>720</v>
      </c>
      <c r="B11" s="127">
        <f>SUM(B13,B18,B28,B38,B44)</f>
        <v>83006</v>
      </c>
      <c r="C11" s="127">
        <f>SUM(C13,C18,C28,C38,C44)</f>
        <v>75286</v>
      </c>
      <c r="D11" s="127">
        <f>SUM(D13,D18,D28,D38,D44)</f>
        <v>76181</v>
      </c>
      <c r="E11" s="127">
        <f>SUM(E13,E18,E28,E38,E44)</f>
        <v>74948</v>
      </c>
      <c r="F11" s="129">
        <f>SUM(F13,F18,F28,F38,F44)</f>
        <v>73033</v>
      </c>
    </row>
    <row r="12" spans="1:6" ht="25.5" customHeight="1">
      <c r="A12" s="403" t="s">
        <v>1201</v>
      </c>
      <c r="B12" s="1384" t="str">
        <f>"Year : "  &amp; A11</f>
        <v>Year : 2013-14</v>
      </c>
      <c r="C12" s="1385"/>
      <c r="D12" s="1385"/>
      <c r="E12" s="1385"/>
      <c r="F12" s="1386"/>
    </row>
    <row r="13" spans="1:6" ht="17.25" customHeight="1">
      <c r="A13" s="929" t="str">
        <f>District!A5</f>
        <v xml:space="preserve">Tehatta Sub-Div. </v>
      </c>
      <c r="B13" s="874">
        <f>SUM(B14:B17)</f>
        <v>12719</v>
      </c>
      <c r="C13" s="874">
        <f>SUM(C14:C17)</f>
        <v>12276</v>
      </c>
      <c r="D13" s="874">
        <f>SUM(D14:D17)</f>
        <v>12397</v>
      </c>
      <c r="E13" s="874">
        <f>SUM(E14:E17)</f>
        <v>8758</v>
      </c>
      <c r="F13" s="874">
        <f>SUM(F14:F17)</f>
        <v>11961</v>
      </c>
    </row>
    <row r="14" spans="1:6" ht="17.25" customHeight="1">
      <c r="A14" s="629" t="str">
        <f>District!A6</f>
        <v>Karimpur-I</v>
      </c>
      <c r="B14" s="462">
        <v>2670</v>
      </c>
      <c r="C14" s="462">
        <v>2630</v>
      </c>
      <c r="D14" s="462">
        <v>2658</v>
      </c>
      <c r="E14" s="462">
        <v>2719</v>
      </c>
      <c r="F14" s="463">
        <v>2502</v>
      </c>
    </row>
    <row r="15" spans="1:6" ht="17.25" customHeight="1">
      <c r="A15" s="629" t="str">
        <f>District!A7</f>
        <v>Karimpur-II</v>
      </c>
      <c r="B15" s="462">
        <v>3735</v>
      </c>
      <c r="C15" s="462">
        <v>3541</v>
      </c>
      <c r="D15" s="462">
        <v>3578</v>
      </c>
      <c r="E15" s="462">
        <v>1558</v>
      </c>
      <c r="F15" s="463">
        <v>3468</v>
      </c>
    </row>
    <row r="16" spans="1:6" ht="17.25" customHeight="1">
      <c r="A16" s="629" t="str">
        <f>District!A8</f>
        <v>Tehatta-I</v>
      </c>
      <c r="B16" s="462">
        <v>3766</v>
      </c>
      <c r="C16" s="462">
        <v>3739</v>
      </c>
      <c r="D16" s="462">
        <v>3767</v>
      </c>
      <c r="E16" s="462">
        <v>2568</v>
      </c>
      <c r="F16" s="463">
        <v>3696</v>
      </c>
    </row>
    <row r="17" spans="1:9" ht="15" customHeight="1">
      <c r="A17" s="629" t="str">
        <f>District!A9</f>
        <v>Tehatta-II</v>
      </c>
      <c r="B17" s="462">
        <v>2548</v>
      </c>
      <c r="C17" s="462">
        <v>2366</v>
      </c>
      <c r="D17" s="462">
        <v>2394</v>
      </c>
      <c r="E17" s="462">
        <v>1913</v>
      </c>
      <c r="F17" s="463">
        <v>2295</v>
      </c>
    </row>
    <row r="18" spans="1:9" ht="15.75" customHeight="1">
      <c r="A18" s="140" t="str">
        <f>District!A10</f>
        <v>Krishnanagar Sub-Div.</v>
      </c>
      <c r="B18" s="137">
        <f>SUM(B19:B27)</f>
        <v>32759</v>
      </c>
      <c r="C18" s="137">
        <f>SUM(C19:C27)</f>
        <v>32635</v>
      </c>
      <c r="D18" s="137">
        <f>SUM(D19:D27)</f>
        <v>33064</v>
      </c>
      <c r="E18" s="137">
        <f>SUM(E19:E27)</f>
        <v>37349</v>
      </c>
      <c r="F18" s="137">
        <f>SUM(F19:F27)</f>
        <v>31654</v>
      </c>
      <c r="G18" s="450"/>
      <c r="H18" s="450"/>
      <c r="I18" s="450"/>
    </row>
    <row r="19" spans="1:9" ht="17.25" customHeight="1">
      <c r="A19" s="629" t="str">
        <f>District!A11</f>
        <v>Kaliganj</v>
      </c>
      <c r="B19" s="462">
        <v>5927</v>
      </c>
      <c r="C19" s="462">
        <v>6086</v>
      </c>
      <c r="D19" s="462">
        <v>6232</v>
      </c>
      <c r="E19" s="462">
        <v>4908</v>
      </c>
      <c r="F19" s="1047">
        <v>6031</v>
      </c>
      <c r="G19" s="930"/>
      <c r="H19" s="930"/>
      <c r="I19" s="930"/>
    </row>
    <row r="20" spans="1:9" ht="17.25" customHeight="1">
      <c r="A20" s="629" t="str">
        <f>District!A12</f>
        <v>Nakashipara</v>
      </c>
      <c r="B20" s="462">
        <v>6933</v>
      </c>
      <c r="C20" s="462">
        <v>6609</v>
      </c>
      <c r="D20" s="462">
        <v>6629</v>
      </c>
      <c r="E20" s="462">
        <v>5494</v>
      </c>
      <c r="F20" s="463">
        <v>6518</v>
      </c>
    </row>
    <row r="21" spans="1:9" ht="17.25" customHeight="1">
      <c r="A21" s="629" t="str">
        <f>District!A13</f>
        <v>Chapra</v>
      </c>
      <c r="B21" s="462">
        <v>4807</v>
      </c>
      <c r="C21" s="462">
        <v>5240</v>
      </c>
      <c r="D21" s="462">
        <v>5366</v>
      </c>
      <c r="E21" s="462">
        <v>3827</v>
      </c>
      <c r="F21" s="463">
        <v>5092</v>
      </c>
    </row>
    <row r="22" spans="1:9" ht="17.25" customHeight="1">
      <c r="A22" s="629" t="str">
        <f>District!A14</f>
        <v>Krishnaganj</v>
      </c>
      <c r="B22" s="462">
        <v>2177</v>
      </c>
      <c r="C22" s="462">
        <v>2090</v>
      </c>
      <c r="D22" s="462">
        <v>2115</v>
      </c>
      <c r="E22" s="462">
        <v>1239</v>
      </c>
      <c r="F22" s="463">
        <v>2022</v>
      </c>
    </row>
    <row r="23" spans="1:9" ht="17.25" customHeight="1">
      <c r="A23" s="629" t="str">
        <f>District!A15</f>
        <v>Krishnanagar-I</v>
      </c>
      <c r="B23" s="462">
        <v>4924</v>
      </c>
      <c r="C23" s="462">
        <v>4602</v>
      </c>
      <c r="D23" s="462">
        <v>4639</v>
      </c>
      <c r="E23" s="462">
        <v>1693</v>
      </c>
      <c r="F23" s="463">
        <v>4390</v>
      </c>
    </row>
    <row r="24" spans="1:9" ht="17.25" customHeight="1">
      <c r="A24" s="629" t="str">
        <f>District!A16</f>
        <v>Krishnanagar(M)</v>
      </c>
      <c r="B24" s="462">
        <v>1354</v>
      </c>
      <c r="C24" s="462">
        <v>1600</v>
      </c>
      <c r="D24" s="462">
        <v>1611</v>
      </c>
      <c r="E24" s="462">
        <v>14385</v>
      </c>
      <c r="F24" s="463">
        <v>1479</v>
      </c>
    </row>
    <row r="25" spans="1:9" ht="17.25" customHeight="1">
      <c r="A25" s="629" t="str">
        <f>District!A17</f>
        <v>Krishnanagar-II</v>
      </c>
      <c r="B25" s="462">
        <v>2443</v>
      </c>
      <c r="C25" s="462">
        <v>2175</v>
      </c>
      <c r="D25" s="462">
        <v>2228</v>
      </c>
      <c r="E25" s="462">
        <v>1066</v>
      </c>
      <c r="F25" s="463">
        <v>2107</v>
      </c>
    </row>
    <row r="26" spans="1:9" ht="17.25" customHeight="1">
      <c r="A26" s="629" t="str">
        <f>District!A18</f>
        <v>Nabadwip</v>
      </c>
      <c r="B26" s="462">
        <v>2310</v>
      </c>
      <c r="C26" s="462">
        <v>2169</v>
      </c>
      <c r="D26" s="462">
        <v>2180</v>
      </c>
      <c r="E26" s="462">
        <v>1104</v>
      </c>
      <c r="F26" s="463">
        <v>2043</v>
      </c>
    </row>
    <row r="27" spans="1:9" ht="15" customHeight="1">
      <c r="A27" s="629" t="str">
        <f>District!A19</f>
        <v>Nabadwip(M)</v>
      </c>
      <c r="B27" s="462">
        <v>1884</v>
      </c>
      <c r="C27" s="462">
        <v>2064</v>
      </c>
      <c r="D27" s="462">
        <v>2064</v>
      </c>
      <c r="E27" s="462">
        <v>3633</v>
      </c>
      <c r="F27" s="463">
        <v>1972</v>
      </c>
    </row>
    <row r="28" spans="1:9" ht="15" customHeight="1">
      <c r="A28" s="140" t="str">
        <f>District!A20</f>
        <v>Ranaghat Sub-Div.</v>
      </c>
      <c r="B28" s="137">
        <f>SUM(B29:B37)</f>
        <v>18858</v>
      </c>
      <c r="C28" s="137">
        <f>SUM(C29:C37)</f>
        <v>17885</v>
      </c>
      <c r="D28" s="137">
        <f>SUM(D29:D37)</f>
        <v>18107</v>
      </c>
      <c r="E28" s="137">
        <f>SUM(E29:E37)</f>
        <v>16510</v>
      </c>
      <c r="F28" s="137">
        <f>SUM(F29:F37)</f>
        <v>17343</v>
      </c>
    </row>
    <row r="29" spans="1:9" ht="17.25" customHeight="1">
      <c r="A29" s="629" t="str">
        <f>District!A21</f>
        <v>Santipur</v>
      </c>
      <c r="B29" s="1358">
        <v>5305</v>
      </c>
      <c r="C29" s="1358">
        <v>4873</v>
      </c>
      <c r="D29" s="1358">
        <v>4963</v>
      </c>
      <c r="E29" s="1358">
        <v>4228</v>
      </c>
      <c r="F29" s="1295">
        <v>4733</v>
      </c>
    </row>
    <row r="30" spans="1:9" ht="17.25" customHeight="1">
      <c r="A30" s="629" t="str">
        <f>District!A22</f>
        <v>Santipur(M)</v>
      </c>
      <c r="B30" s="1387"/>
      <c r="C30" s="1358"/>
      <c r="D30" s="1358"/>
      <c r="E30" s="1358"/>
      <c r="F30" s="1295"/>
    </row>
    <row r="31" spans="1:9" ht="17.25" customHeight="1">
      <c r="A31" s="629" t="str">
        <f>District!A23</f>
        <v>Hanskhali</v>
      </c>
      <c r="B31" s="462">
        <v>4229</v>
      </c>
      <c r="C31" s="462">
        <v>4091</v>
      </c>
      <c r="D31" s="462">
        <v>4099</v>
      </c>
      <c r="E31" s="462">
        <v>2944</v>
      </c>
      <c r="F31" s="463">
        <v>4034</v>
      </c>
    </row>
    <row r="32" spans="1:9" ht="17.25" customHeight="1">
      <c r="A32" s="629" t="str">
        <f>District!A24</f>
        <v>Ranaghat-I</v>
      </c>
      <c r="B32" s="462">
        <v>3175</v>
      </c>
      <c r="C32" s="462">
        <v>3038</v>
      </c>
      <c r="D32" s="462">
        <v>3101</v>
      </c>
      <c r="E32" s="462">
        <v>1707</v>
      </c>
      <c r="F32" s="463">
        <v>2987</v>
      </c>
    </row>
    <row r="33" spans="1:11" ht="17.25" customHeight="1">
      <c r="A33" s="629" t="str">
        <f>District!A25</f>
        <v>Ranaghat(M)</v>
      </c>
      <c r="B33" s="1048">
        <v>576</v>
      </c>
      <c r="C33" s="1048">
        <v>570</v>
      </c>
      <c r="D33" s="1048">
        <v>560</v>
      </c>
      <c r="E33" s="1048">
        <v>3768</v>
      </c>
      <c r="F33" s="176">
        <v>532</v>
      </c>
    </row>
    <row r="34" spans="1:11" ht="17.25" customHeight="1">
      <c r="A34" s="629" t="s">
        <v>1625</v>
      </c>
      <c r="B34" s="293" t="s">
        <v>643</v>
      </c>
      <c r="C34" s="293" t="s">
        <v>643</v>
      </c>
      <c r="D34" s="293" t="s">
        <v>643</v>
      </c>
      <c r="E34" s="293" t="s">
        <v>643</v>
      </c>
      <c r="F34" s="176" t="s">
        <v>643</v>
      </c>
    </row>
    <row r="35" spans="1:11" ht="17.25" customHeight="1">
      <c r="A35" s="629" t="s">
        <v>1626</v>
      </c>
      <c r="B35" s="462">
        <v>5573</v>
      </c>
      <c r="C35" s="462">
        <v>5313</v>
      </c>
      <c r="D35" s="462">
        <v>5384</v>
      </c>
      <c r="E35" s="462">
        <v>3863</v>
      </c>
      <c r="F35" s="293">
        <v>5057</v>
      </c>
    </row>
    <row r="36" spans="1:11" ht="17.25" customHeight="1">
      <c r="A36" s="629" t="s">
        <v>714</v>
      </c>
      <c r="B36" s="293" t="s">
        <v>643</v>
      </c>
      <c r="C36" s="293" t="s">
        <v>643</v>
      </c>
      <c r="D36" s="293" t="s">
        <v>643</v>
      </c>
      <c r="E36" s="293" t="s">
        <v>643</v>
      </c>
      <c r="F36" s="176" t="s">
        <v>643</v>
      </c>
    </row>
    <row r="37" spans="1:11" ht="15" customHeight="1">
      <c r="A37" s="629" t="s">
        <v>1275</v>
      </c>
      <c r="B37" s="293" t="s">
        <v>643</v>
      </c>
      <c r="C37" s="293" t="s">
        <v>643</v>
      </c>
      <c r="D37" s="293" t="s">
        <v>643</v>
      </c>
      <c r="E37" s="293" t="s">
        <v>643</v>
      </c>
      <c r="F37" s="176" t="s">
        <v>643</v>
      </c>
    </row>
    <row r="38" spans="1:11" ht="15" customHeight="1">
      <c r="A38" s="140" t="str">
        <f>District!A30</f>
        <v>Kalyani Sub-Div.</v>
      </c>
      <c r="B38" s="137">
        <f>SUM(B39:B43)</f>
        <v>12393</v>
      </c>
      <c r="C38" s="137">
        <f>SUM(C39:C43)</f>
        <v>12333</v>
      </c>
      <c r="D38" s="137">
        <f>SUM(D39:D43)</f>
        <v>12456</v>
      </c>
      <c r="E38" s="137">
        <f>SUM(E39:E43)</f>
        <v>11507</v>
      </c>
      <c r="F38" s="137">
        <f>SUM(F39:F43)</f>
        <v>11949</v>
      </c>
    </row>
    <row r="39" spans="1:11" ht="17.25" customHeight="1">
      <c r="A39" s="629" t="str">
        <f>District!A31</f>
        <v>Chakdaha</v>
      </c>
      <c r="B39" s="1358">
        <v>6544</v>
      </c>
      <c r="C39" s="1358">
        <v>6105</v>
      </c>
      <c r="D39" s="1358">
        <v>6239</v>
      </c>
      <c r="E39" s="1358">
        <v>5759</v>
      </c>
      <c r="F39" s="1295">
        <v>6116</v>
      </c>
    </row>
    <row r="40" spans="1:11" ht="17.25" customHeight="1">
      <c r="A40" s="629" t="str">
        <f>District!A32</f>
        <v>Chakdaha(M)</v>
      </c>
      <c r="B40" s="1358"/>
      <c r="C40" s="1358"/>
      <c r="D40" s="1358"/>
      <c r="E40" s="1358"/>
      <c r="F40" s="1295"/>
    </row>
    <row r="41" spans="1:11" ht="17.25" customHeight="1">
      <c r="A41" s="629" t="str">
        <f>District!A33</f>
        <v>Kalyani(M)</v>
      </c>
      <c r="B41" s="462">
        <v>1924</v>
      </c>
      <c r="C41" s="462">
        <v>2309</v>
      </c>
      <c r="D41" s="462">
        <v>2309</v>
      </c>
      <c r="E41" s="462">
        <v>2341</v>
      </c>
      <c r="F41" s="463">
        <v>2142</v>
      </c>
    </row>
    <row r="42" spans="1:11" ht="17.25" customHeight="1">
      <c r="A42" s="629" t="str">
        <f>District!A34</f>
        <v>Gayeshpur(M)</v>
      </c>
      <c r="B42" s="174">
        <v>604</v>
      </c>
      <c r="C42" s="174">
        <v>577</v>
      </c>
      <c r="D42" s="174">
        <v>577</v>
      </c>
      <c r="E42" s="174">
        <v>564</v>
      </c>
      <c r="F42" s="81">
        <v>535</v>
      </c>
      <c r="G42" s="450"/>
      <c r="H42" s="450"/>
      <c r="I42" s="450"/>
      <c r="J42" s="450"/>
      <c r="K42" s="450"/>
    </row>
    <row r="43" spans="1:11" ht="17.25" customHeight="1">
      <c r="A43" s="629" t="str">
        <f>District!A35</f>
        <v>Haringhata</v>
      </c>
      <c r="B43" s="462">
        <v>3321</v>
      </c>
      <c r="C43" s="462">
        <v>3342</v>
      </c>
      <c r="D43" s="462">
        <v>3331</v>
      </c>
      <c r="E43" s="462">
        <v>2843</v>
      </c>
      <c r="F43" s="463">
        <v>3156</v>
      </c>
      <c r="G43" s="450"/>
      <c r="H43" s="450"/>
      <c r="I43" s="450"/>
      <c r="J43" s="450"/>
      <c r="K43" s="450"/>
    </row>
    <row r="44" spans="1:11" s="5" customFormat="1" ht="17.25" customHeight="1">
      <c r="A44" s="145" t="s">
        <v>914</v>
      </c>
      <c r="B44" s="168">
        <v>6277</v>
      </c>
      <c r="C44" s="168">
        <v>157</v>
      </c>
      <c r="D44" s="168">
        <v>157</v>
      </c>
      <c r="E44" s="168">
        <v>824</v>
      </c>
      <c r="F44" s="119">
        <v>126</v>
      </c>
      <c r="G44" s="229"/>
      <c r="H44" s="229"/>
      <c r="I44" s="229"/>
      <c r="J44" s="229"/>
      <c r="K44" s="229"/>
    </row>
    <row r="45" spans="1:11" ht="12.4" customHeight="1">
      <c r="A45" s="18" t="s">
        <v>402</v>
      </c>
      <c r="B45" s="288"/>
      <c r="C45" s="288"/>
      <c r="D45" s="608"/>
      <c r="E45" s="18"/>
      <c r="F45" s="608" t="s">
        <v>398</v>
      </c>
    </row>
    <row r="46" spans="1:11" ht="12.4" customHeight="1">
      <c r="A46" s="18" t="s">
        <v>552</v>
      </c>
      <c r="B46" s="325"/>
      <c r="C46" s="288"/>
      <c r="D46" s="288"/>
      <c r="E46" s="288"/>
      <c r="F46" s="288"/>
    </row>
    <row r="47" spans="1:11" ht="12.4" customHeight="1">
      <c r="A47" s="18" t="s">
        <v>1460</v>
      </c>
      <c r="B47" s="288"/>
      <c r="C47" s="288"/>
      <c r="D47" s="288"/>
      <c r="E47" s="288"/>
      <c r="F47" s="288"/>
    </row>
    <row r="48" spans="1:11" ht="12.4" customHeight="1">
      <c r="B48" s="604"/>
      <c r="C48" s="604"/>
      <c r="D48" s="604"/>
      <c r="E48" s="604"/>
      <c r="F48" s="604"/>
    </row>
  </sheetData>
  <mergeCells count="13">
    <mergeCell ref="A1:F1"/>
    <mergeCell ref="A2:F2"/>
    <mergeCell ref="B12:F12"/>
    <mergeCell ref="B29:B30"/>
    <mergeCell ref="C29:C30"/>
    <mergeCell ref="D29:D30"/>
    <mergeCell ref="E29:E30"/>
    <mergeCell ref="F29:F30"/>
    <mergeCell ref="B39:B40"/>
    <mergeCell ref="C39:C40"/>
    <mergeCell ref="D39:D40"/>
    <mergeCell ref="E39:E40"/>
    <mergeCell ref="F39:F40"/>
  </mergeCells>
  <phoneticPr fontId="0" type="noConversion"/>
  <printOptions horizontalCentered="1"/>
  <pageMargins left="0.1" right="0.1" top="0.7" bottom="0.1" header="0.46" footer="0.1"/>
  <pageSetup paperSize="9" orientation="portrait" blackAndWhite="1" r:id="rId1"/>
  <headerFooter alignWithMargins="0"/>
  <drawing r:id="rId2"/>
</worksheet>
</file>

<file path=xl/worksheets/sheet27.xml><?xml version="1.0" encoding="utf-8"?>
<worksheet xmlns="http://schemas.openxmlformats.org/spreadsheetml/2006/main" xmlns:r="http://schemas.openxmlformats.org/officeDocument/2006/relationships">
  <sheetPr codeName="Sheet25"/>
  <dimension ref="A1:I71"/>
  <sheetViews>
    <sheetView workbookViewId="0">
      <selection activeCell="I31" sqref="I31"/>
    </sheetView>
  </sheetViews>
  <sheetFormatPr defaultColWidth="106.5703125" defaultRowHeight="12.4" customHeight="1"/>
  <cols>
    <col min="1" max="1" width="28.42578125" style="604" customWidth="1"/>
    <col min="2" max="4" width="16.7109375" style="604" customWidth="1"/>
    <col min="5" max="252" width="9.140625" style="604" customWidth="1"/>
    <col min="253" max="16384" width="106.5703125" style="604"/>
  </cols>
  <sheetData>
    <row r="1" spans="1:9" ht="12.4" customHeight="1">
      <c r="A1" s="1368" t="s">
        <v>438</v>
      </c>
      <c r="B1" s="1368"/>
      <c r="C1" s="1368"/>
      <c r="D1" s="1368"/>
    </row>
    <row r="2" spans="1:9" s="894" customFormat="1" ht="32.25" customHeight="1">
      <c r="A2" s="1369" t="str">
        <f>CONCATENATE("Patients treated in Hospitals, Health Centres and Sub-centres 
in the district of ",District!$A$1)</f>
        <v>Patients treated in Hospitals, Health Centres and Sub-centres 
in the district of Nadia</v>
      </c>
      <c r="B2" s="1369"/>
      <c r="C2" s="1369"/>
      <c r="D2" s="1369"/>
    </row>
    <row r="3" spans="1:9" ht="12.4" customHeight="1">
      <c r="A3" s="894"/>
      <c r="B3" s="895"/>
      <c r="C3" s="895"/>
      <c r="D3" s="896" t="s">
        <v>223</v>
      </c>
    </row>
    <row r="4" spans="1:9" ht="15" customHeight="1">
      <c r="A4" s="932" t="s">
        <v>107</v>
      </c>
      <c r="B4" s="311" t="s">
        <v>343</v>
      </c>
      <c r="C4" s="311" t="s">
        <v>344</v>
      </c>
      <c r="D4" s="158" t="s">
        <v>210</v>
      </c>
    </row>
    <row r="5" spans="1:9" ht="14.25" customHeight="1">
      <c r="A5" s="918" t="s">
        <v>163</v>
      </c>
      <c r="B5" s="918" t="s">
        <v>164</v>
      </c>
      <c r="C5" s="918" t="s">
        <v>165</v>
      </c>
      <c r="D5" s="933" t="s">
        <v>166</v>
      </c>
    </row>
    <row r="6" spans="1:9" ht="1.5" hidden="1" customHeight="1">
      <c r="A6" s="311">
        <v>2002</v>
      </c>
      <c r="B6" s="628">
        <v>236919</v>
      </c>
      <c r="C6" s="462">
        <v>3665798</v>
      </c>
      <c r="D6" s="922">
        <f t="shared" ref="D6:D11" si="0">SUM(B6:C6)</f>
        <v>3902717</v>
      </c>
    </row>
    <row r="7" spans="1:9" ht="15" hidden="1" customHeight="1">
      <c r="A7" s="174">
        <v>2003</v>
      </c>
      <c r="B7" s="628">
        <v>260458</v>
      </c>
      <c r="C7" s="462">
        <v>4659945</v>
      </c>
      <c r="D7" s="922">
        <f t="shared" si="0"/>
        <v>4920403</v>
      </c>
    </row>
    <row r="8" spans="1:9" ht="15" customHeight="1">
      <c r="A8" s="174">
        <v>2010</v>
      </c>
      <c r="B8" s="653">
        <v>313002</v>
      </c>
      <c r="C8" s="615">
        <v>4727017</v>
      </c>
      <c r="D8" s="922">
        <f>SUM(B8:C8)</f>
        <v>5040019</v>
      </c>
      <c r="G8" s="209"/>
      <c r="H8" s="209"/>
      <c r="I8" s="934"/>
    </row>
    <row r="9" spans="1:9" ht="15" customHeight="1">
      <c r="A9" s="174">
        <v>2011</v>
      </c>
      <c r="B9" s="653">
        <v>327213</v>
      </c>
      <c r="C9" s="462">
        <v>4544731</v>
      </c>
      <c r="D9" s="314">
        <f>SUM(B9:C9)</f>
        <v>4871944</v>
      </c>
    </row>
    <row r="10" spans="1:9" ht="15" customHeight="1">
      <c r="A10" s="174">
        <v>2012</v>
      </c>
      <c r="B10" s="821">
        <v>351710</v>
      </c>
      <c r="C10" s="462">
        <v>4550703</v>
      </c>
      <c r="D10" s="314">
        <f>SUM(B10:C10)</f>
        <v>4902413</v>
      </c>
    </row>
    <row r="11" spans="1:9" ht="15" customHeight="1">
      <c r="A11" s="174">
        <v>2013</v>
      </c>
      <c r="B11" s="821">
        <v>381940</v>
      </c>
      <c r="C11" s="462">
        <v>6120581</v>
      </c>
      <c r="D11" s="314">
        <f t="shared" si="0"/>
        <v>6502521</v>
      </c>
    </row>
    <row r="12" spans="1:9" ht="15" customHeight="1">
      <c r="A12" s="175">
        <v>2014</v>
      </c>
      <c r="B12" s="184">
        <f>SUM(B14,B19,B29,B39)</f>
        <v>351512</v>
      </c>
      <c r="C12" s="175">
        <f>SUM(C14,C19,C29,C39)</f>
        <v>6040190</v>
      </c>
      <c r="D12" s="390">
        <f>SUM(D14,D19,D29,D39)</f>
        <v>6391702</v>
      </c>
    </row>
    <row r="13" spans="1:9" ht="27.75" customHeight="1">
      <c r="A13" s="899" t="s">
        <v>1389</v>
      </c>
      <c r="B13" s="1389" t="str">
        <f>"Year : " &amp;A12</f>
        <v>Year : 2014</v>
      </c>
      <c r="C13" s="1390"/>
      <c r="D13" s="1391"/>
    </row>
    <row r="14" spans="1:9" ht="17.25" customHeight="1">
      <c r="A14" s="903" t="s">
        <v>1098</v>
      </c>
      <c r="B14" s="874">
        <f>SUM(B15:B18)</f>
        <v>36811</v>
      </c>
      <c r="C14" s="874">
        <f>SUM(C15:C18)</f>
        <v>1035750</v>
      </c>
      <c r="D14" s="874">
        <f>SUM(D15:D18)</f>
        <v>1072561</v>
      </c>
    </row>
    <row r="15" spans="1:9" ht="17.25" customHeight="1">
      <c r="A15" s="904" t="s">
        <v>1118</v>
      </c>
      <c r="B15" s="462">
        <v>12317</v>
      </c>
      <c r="C15" s="462">
        <v>345329</v>
      </c>
      <c r="D15" s="174">
        <f>SUM(B15,C15)</f>
        <v>357646</v>
      </c>
    </row>
    <row r="16" spans="1:9" ht="17.25" customHeight="1">
      <c r="A16" s="904" t="s">
        <v>1119</v>
      </c>
      <c r="B16" s="462">
        <v>6806</v>
      </c>
      <c r="C16" s="462">
        <v>182273</v>
      </c>
      <c r="D16" s="174">
        <f>SUM(B16,C16)</f>
        <v>189079</v>
      </c>
    </row>
    <row r="17" spans="1:4" ht="17.25" customHeight="1">
      <c r="A17" s="904" t="s">
        <v>1121</v>
      </c>
      <c r="B17" s="462">
        <v>13456</v>
      </c>
      <c r="C17" s="821">
        <v>227956</v>
      </c>
      <c r="D17" s="174">
        <f>SUM(B17,C17)</f>
        <v>241412</v>
      </c>
    </row>
    <row r="18" spans="1:4" ht="17.25" customHeight="1">
      <c r="A18" s="904" t="s">
        <v>1120</v>
      </c>
      <c r="B18" s="462">
        <v>4232</v>
      </c>
      <c r="C18" s="821">
        <v>280192</v>
      </c>
      <c r="D18" s="174">
        <f>SUM(B18,C18)</f>
        <v>284424</v>
      </c>
    </row>
    <row r="19" spans="1:4" ht="17.25" customHeight="1">
      <c r="A19" s="903" t="s">
        <v>1099</v>
      </c>
      <c r="B19" s="137">
        <f>SUM(B20:B28)</f>
        <v>165867</v>
      </c>
      <c r="C19" s="137">
        <f>SUM(C20:C28)</f>
        <v>2304887</v>
      </c>
      <c r="D19" s="137">
        <f>SUM(D20:D28)</f>
        <v>2470754</v>
      </c>
    </row>
    <row r="20" spans="1:4" ht="17.25" customHeight="1">
      <c r="A20" s="904" t="s">
        <v>1122</v>
      </c>
      <c r="B20" s="462">
        <v>5415</v>
      </c>
      <c r="C20" s="821">
        <v>396495</v>
      </c>
      <c r="D20" s="174">
        <f>SUM(B20,C20)</f>
        <v>401910</v>
      </c>
    </row>
    <row r="21" spans="1:4" ht="17.25" customHeight="1">
      <c r="A21" s="904" t="s">
        <v>1123</v>
      </c>
      <c r="B21" s="462">
        <v>15735</v>
      </c>
      <c r="C21" s="821">
        <v>392622</v>
      </c>
      <c r="D21" s="174">
        <f t="shared" ref="D21:D28" si="1">SUM(B21,C21)</f>
        <v>408357</v>
      </c>
    </row>
    <row r="22" spans="1:4" ht="17.25" customHeight="1">
      <c r="A22" s="904" t="s">
        <v>1124</v>
      </c>
      <c r="B22" s="462">
        <v>30435</v>
      </c>
      <c r="C22" s="821">
        <v>312828</v>
      </c>
      <c r="D22" s="174">
        <f t="shared" si="1"/>
        <v>343263</v>
      </c>
    </row>
    <row r="23" spans="1:4" ht="17.25" customHeight="1">
      <c r="A23" s="904" t="s">
        <v>1125</v>
      </c>
      <c r="B23" s="462">
        <v>2286</v>
      </c>
      <c r="C23" s="821">
        <v>206614</v>
      </c>
      <c r="D23" s="174">
        <f t="shared" si="1"/>
        <v>208900</v>
      </c>
    </row>
    <row r="24" spans="1:4" ht="17.25" customHeight="1">
      <c r="A24" s="904" t="s">
        <v>1126</v>
      </c>
      <c r="B24" s="462">
        <v>4118</v>
      </c>
      <c r="C24" s="821">
        <v>140199</v>
      </c>
      <c r="D24" s="174">
        <f t="shared" si="1"/>
        <v>144317</v>
      </c>
    </row>
    <row r="25" spans="1:4" ht="17.25" customHeight="1">
      <c r="A25" s="904" t="s">
        <v>1127</v>
      </c>
      <c r="B25" s="462">
        <v>82324</v>
      </c>
      <c r="C25" s="821">
        <v>327141</v>
      </c>
      <c r="D25" s="174">
        <f t="shared" si="1"/>
        <v>409465</v>
      </c>
    </row>
    <row r="26" spans="1:4" ht="17.25" customHeight="1">
      <c r="A26" s="904" t="s">
        <v>1128</v>
      </c>
      <c r="B26" s="462">
        <v>2600</v>
      </c>
      <c r="C26" s="821">
        <v>220191</v>
      </c>
      <c r="D26" s="174">
        <f t="shared" si="1"/>
        <v>222791</v>
      </c>
    </row>
    <row r="27" spans="1:4" ht="17.25" customHeight="1">
      <c r="A27" s="904" t="s">
        <v>90</v>
      </c>
      <c r="B27" s="462">
        <v>3599</v>
      </c>
      <c r="C27" s="821">
        <v>164449</v>
      </c>
      <c r="D27" s="174">
        <f t="shared" si="1"/>
        <v>168048</v>
      </c>
    </row>
    <row r="28" spans="1:4" ht="17.25" customHeight="1">
      <c r="A28" s="904" t="s">
        <v>1130</v>
      </c>
      <c r="B28" s="462">
        <v>19355</v>
      </c>
      <c r="C28" s="821">
        <v>144348</v>
      </c>
      <c r="D28" s="174">
        <f t="shared" si="1"/>
        <v>163703</v>
      </c>
    </row>
    <row r="29" spans="1:4" ht="17.25" customHeight="1">
      <c r="A29" s="903" t="s">
        <v>1101</v>
      </c>
      <c r="B29" s="137">
        <f>SUM(B30:B38)</f>
        <v>58507</v>
      </c>
      <c r="C29" s="137">
        <f>SUM(C30:C38)</f>
        <v>1426852</v>
      </c>
      <c r="D29" s="137">
        <f>SUM(D30:D38)</f>
        <v>1485359</v>
      </c>
    </row>
    <row r="30" spans="1:4" ht="17.25" customHeight="1">
      <c r="A30" s="904" t="s">
        <v>1131</v>
      </c>
      <c r="B30" s="462">
        <v>676</v>
      </c>
      <c r="C30" s="821">
        <v>158808</v>
      </c>
      <c r="D30" s="174">
        <f>IF(SUM(B30,C30)=0,"..",SUM(B30,C30))</f>
        <v>159484</v>
      </c>
    </row>
    <row r="31" spans="1:4" ht="17.25" customHeight="1">
      <c r="A31" s="904" t="s">
        <v>1133</v>
      </c>
      <c r="B31" s="462">
        <v>14042</v>
      </c>
      <c r="C31" s="821">
        <v>223865</v>
      </c>
      <c r="D31" s="174">
        <f t="shared" ref="D31:D38" si="2">SUM(B31,C31)</f>
        <v>237907</v>
      </c>
    </row>
    <row r="32" spans="1:4" ht="17.25" customHeight="1">
      <c r="A32" s="904" t="s">
        <v>1134</v>
      </c>
      <c r="B32" s="462">
        <v>6943</v>
      </c>
      <c r="C32" s="821">
        <v>309164</v>
      </c>
      <c r="D32" s="174">
        <f t="shared" si="2"/>
        <v>316107</v>
      </c>
    </row>
    <row r="33" spans="1:9" ht="17.25" customHeight="1">
      <c r="A33" s="904" t="s">
        <v>1623</v>
      </c>
      <c r="B33" s="462">
        <v>32559</v>
      </c>
      <c r="C33" s="821">
        <v>373260</v>
      </c>
      <c r="D33" s="174">
        <f t="shared" si="2"/>
        <v>405819</v>
      </c>
    </row>
    <row r="34" spans="1:9" ht="17.25" customHeight="1">
      <c r="A34" s="904" t="s">
        <v>768</v>
      </c>
      <c r="B34" s="462">
        <v>1031</v>
      </c>
      <c r="C34" s="821">
        <v>10053</v>
      </c>
      <c r="D34" s="174">
        <f t="shared" si="2"/>
        <v>11084</v>
      </c>
    </row>
    <row r="35" spans="1:9" ht="17.25" customHeight="1">
      <c r="A35" s="904" t="s">
        <v>1625</v>
      </c>
      <c r="B35" s="462">
        <v>18</v>
      </c>
      <c r="C35" s="462">
        <v>34560</v>
      </c>
      <c r="D35" s="174">
        <f t="shared" si="2"/>
        <v>34578</v>
      </c>
    </row>
    <row r="36" spans="1:9" ht="17.25" customHeight="1">
      <c r="A36" s="904" t="s">
        <v>1626</v>
      </c>
      <c r="B36" s="1111" t="s">
        <v>643</v>
      </c>
      <c r="C36" s="462">
        <v>12109</v>
      </c>
      <c r="D36" s="1108">
        <f t="shared" si="2"/>
        <v>12109</v>
      </c>
      <c r="I36" s="205"/>
    </row>
    <row r="37" spans="1:9" ht="17.25" customHeight="1">
      <c r="A37" s="904" t="s">
        <v>714</v>
      </c>
      <c r="B37" s="1109">
        <v>3238</v>
      </c>
      <c r="C37" s="1109">
        <v>303533</v>
      </c>
      <c r="D37" s="1108">
        <f t="shared" si="2"/>
        <v>306771</v>
      </c>
    </row>
    <row r="38" spans="1:9" ht="17.25" customHeight="1">
      <c r="A38" s="904" t="s">
        <v>1275</v>
      </c>
      <c r="B38" s="1111" t="s">
        <v>643</v>
      </c>
      <c r="C38" s="1109">
        <v>1500</v>
      </c>
      <c r="D38" s="1108">
        <f t="shared" si="2"/>
        <v>1500</v>
      </c>
    </row>
    <row r="39" spans="1:9" ht="17.25" customHeight="1">
      <c r="A39" s="903" t="s">
        <v>1100</v>
      </c>
      <c r="B39" s="137">
        <f>SUM(B40:B44)</f>
        <v>90327</v>
      </c>
      <c r="C39" s="137">
        <f>SUM(C40:C44)</f>
        <v>1272701</v>
      </c>
      <c r="D39" s="137">
        <f>SUM(D40:D44)</f>
        <v>1363028</v>
      </c>
    </row>
    <row r="40" spans="1:9" ht="17.25" customHeight="1">
      <c r="A40" s="904" t="s">
        <v>769</v>
      </c>
      <c r="B40" s="1111" t="s">
        <v>643</v>
      </c>
      <c r="C40" s="821">
        <v>210669</v>
      </c>
      <c r="D40" s="174">
        <f>SUM(B40,C40)</f>
        <v>210669</v>
      </c>
    </row>
    <row r="41" spans="1:9" ht="17.25" customHeight="1">
      <c r="A41" s="904" t="s">
        <v>770</v>
      </c>
      <c r="B41" s="462">
        <v>6764</v>
      </c>
      <c r="C41" s="821">
        <v>90788</v>
      </c>
      <c r="D41" s="174">
        <f>SUM(B41,C41)</f>
        <v>97552</v>
      </c>
    </row>
    <row r="42" spans="1:9" ht="17.25" customHeight="1">
      <c r="A42" s="904" t="s">
        <v>771</v>
      </c>
      <c r="B42" s="462">
        <v>66240</v>
      </c>
      <c r="C42" s="821">
        <v>485718</v>
      </c>
      <c r="D42" s="174">
        <f>SUM(B42,C42)</f>
        <v>551958</v>
      </c>
    </row>
    <row r="43" spans="1:9" ht="17.25" customHeight="1">
      <c r="A43" s="904" t="s">
        <v>1629</v>
      </c>
      <c r="B43" s="462">
        <v>12416</v>
      </c>
      <c r="C43" s="462">
        <v>127969</v>
      </c>
      <c r="D43" s="174">
        <f>SUM(B43,C43)</f>
        <v>140385</v>
      </c>
    </row>
    <row r="44" spans="1:9" ht="17.25" customHeight="1">
      <c r="A44" s="905" t="s">
        <v>772</v>
      </c>
      <c r="B44" s="616">
        <v>4907</v>
      </c>
      <c r="C44" s="906">
        <v>357557</v>
      </c>
      <c r="D44" s="175">
        <f>SUM(B44,C44)</f>
        <v>362464</v>
      </c>
    </row>
    <row r="45" spans="1:9" ht="12.4" customHeight="1">
      <c r="A45" s="1031" t="s">
        <v>941</v>
      </c>
      <c r="B45" s="912" t="s">
        <v>1247</v>
      </c>
      <c r="C45" s="913" t="s">
        <v>4</v>
      </c>
      <c r="D45" s="288"/>
    </row>
    <row r="46" spans="1:9" ht="15" customHeight="1">
      <c r="A46" s="288"/>
      <c r="B46" s="912" t="s">
        <v>1248</v>
      </c>
      <c r="C46" s="1388" t="s">
        <v>268</v>
      </c>
      <c r="D46" s="1388"/>
    </row>
    <row r="47" spans="1:9" ht="13.5" customHeight="1">
      <c r="A47" s="1032"/>
      <c r="B47" s="935"/>
      <c r="C47" s="1388"/>
      <c r="D47" s="1388"/>
    </row>
    <row r="48" spans="1:9" ht="13.5" customHeight="1">
      <c r="A48" s="255"/>
    </row>
    <row r="49" spans="1:1" ht="12" customHeight="1">
      <c r="A49" s="33"/>
    </row>
    <row r="50" spans="1:1" ht="12" customHeight="1">
      <c r="A50" s="33"/>
    </row>
    <row r="51" spans="1:1" ht="12" customHeight="1"/>
    <row r="52" spans="1:1" ht="10.5" customHeight="1"/>
    <row r="53" spans="1:1" ht="11.25" customHeight="1">
      <c r="A53" s="33"/>
    </row>
    <row r="54" spans="1:1" ht="9" customHeight="1"/>
    <row r="55" spans="1:1" ht="12" customHeight="1"/>
    <row r="56" spans="1:1" ht="12" customHeight="1"/>
    <row r="57" spans="1:1" ht="12" customHeight="1">
      <c r="A57" s="33"/>
    </row>
    <row r="58" spans="1:1" ht="12" customHeight="1">
      <c r="A58" s="33"/>
    </row>
    <row r="60" spans="1:1" ht="12.4" customHeight="1">
      <c r="A60" s="33"/>
    </row>
    <row r="61" spans="1:1" ht="12.4" customHeight="1">
      <c r="A61" s="33"/>
    </row>
    <row r="71" ht="13.5" customHeight="1"/>
  </sheetData>
  <mergeCells count="4">
    <mergeCell ref="C46:D47"/>
    <mergeCell ref="A1:D1"/>
    <mergeCell ref="A2:D2"/>
    <mergeCell ref="B13:D13"/>
  </mergeCells>
  <phoneticPr fontId="0" type="noConversion"/>
  <conditionalFormatting sqref="H48:J65536 A8:A45 A1:D7 H1:J44 E1:E44 B48:E65536 F1:G1048576 K1:IV1048576 B39:B47 A47:A65536 C39:C46 B12:C37 D8:D45">
    <cfRule type="cellIs" dxfId="12" priority="1" stopIfTrue="1" operator="equal">
      <formula>".."</formula>
    </cfRule>
  </conditionalFormatting>
  <printOptions horizontalCentered="1"/>
  <pageMargins left="0.1" right="0.1" top="0.61" bottom="0.1" header="0.48" footer="0.1"/>
  <pageSetup paperSize="9" orientation="portrait" blackAndWhite="1" r:id="rId1"/>
  <headerFooter alignWithMargins="0"/>
</worksheet>
</file>

<file path=xl/worksheets/sheet28.xml><?xml version="1.0" encoding="utf-8"?>
<worksheet xmlns="http://schemas.openxmlformats.org/spreadsheetml/2006/main" xmlns:r="http://schemas.openxmlformats.org/officeDocument/2006/relationships">
  <dimension ref="A1:R54"/>
  <sheetViews>
    <sheetView workbookViewId="0">
      <selection activeCell="O19" sqref="O19"/>
    </sheetView>
  </sheetViews>
  <sheetFormatPr defaultRowHeight="12.75"/>
  <cols>
    <col min="1" max="1" width="21.28515625" style="405" customWidth="1"/>
    <col min="2" max="2" width="16.28515625" style="405" customWidth="1"/>
    <col min="3" max="3" width="0.5703125" style="405" customWidth="1"/>
    <col min="4" max="4" width="9.140625" style="405"/>
    <col min="5" max="5" width="5.28515625" style="405" customWidth="1"/>
    <col min="6" max="6" width="9.140625" style="405"/>
    <col min="7" max="7" width="5.85546875" style="405" customWidth="1"/>
    <col min="8" max="8" width="9.140625" style="405" customWidth="1"/>
    <col min="9" max="9" width="7" style="405" customWidth="1"/>
    <col min="10" max="16384" width="9.140625" style="405"/>
  </cols>
  <sheetData>
    <row r="1" spans="1:18">
      <c r="A1" s="1250" t="s">
        <v>321</v>
      </c>
      <c r="B1" s="1250"/>
      <c r="C1" s="1250"/>
      <c r="D1" s="1250"/>
      <c r="E1" s="1250"/>
      <c r="F1" s="1250"/>
      <c r="G1" s="1250"/>
      <c r="H1" s="1250"/>
      <c r="I1" s="1250"/>
    </row>
    <row r="2" spans="1:18" s="412" customFormat="1" ht="30" customHeight="1">
      <c r="A2" s="1323" t="str">
        <f>CONCATENATE("Births and Deaths in different Hospitals and Health Centres 
in the district of ",District!A1)</f>
        <v>Births and Deaths in different Hospitals and Health Centres 
in the district of Nadia</v>
      </c>
      <c r="B2" s="1323"/>
      <c r="C2" s="1323"/>
      <c r="D2" s="1323"/>
      <c r="E2" s="1323"/>
      <c r="F2" s="1323"/>
      <c r="G2" s="1323"/>
      <c r="H2" s="1323"/>
      <c r="I2" s="1323"/>
    </row>
    <row r="3" spans="1:18">
      <c r="A3" s="412"/>
      <c r="B3" s="428"/>
      <c r="C3" s="436"/>
      <c r="D3" s="428"/>
      <c r="E3" s="412"/>
      <c r="F3" s="412"/>
      <c r="G3" s="412"/>
      <c r="H3" s="412"/>
      <c r="I3" s="726" t="s">
        <v>223</v>
      </c>
    </row>
    <row r="4" spans="1:18" ht="15" customHeight="1">
      <c r="A4" s="1262" t="s">
        <v>107</v>
      </c>
      <c r="B4" s="1333" t="s">
        <v>522</v>
      </c>
      <c r="C4" s="1278"/>
      <c r="D4" s="1253" t="s">
        <v>0</v>
      </c>
      <c r="E4" s="1251"/>
      <c r="F4" s="1251"/>
      <c r="G4" s="1251"/>
      <c r="H4" s="1251"/>
      <c r="I4" s="1252"/>
    </row>
    <row r="5" spans="1:18" ht="15" customHeight="1">
      <c r="A5" s="1263"/>
      <c r="B5" s="1336"/>
      <c r="C5" s="1279"/>
      <c r="D5" s="1321" t="s">
        <v>523</v>
      </c>
      <c r="E5" s="1322"/>
      <c r="F5" s="1253" t="s">
        <v>524</v>
      </c>
      <c r="G5" s="1252"/>
      <c r="H5" s="1321" t="s">
        <v>210</v>
      </c>
      <c r="I5" s="1322"/>
    </row>
    <row r="6" spans="1:18" ht="15" customHeight="1">
      <c r="A6" s="936" t="s">
        <v>163</v>
      </c>
      <c r="B6" s="1414" t="s">
        <v>164</v>
      </c>
      <c r="C6" s="1415"/>
      <c r="D6" s="1414" t="s">
        <v>165</v>
      </c>
      <c r="E6" s="1415"/>
      <c r="F6" s="1416" t="s">
        <v>166</v>
      </c>
      <c r="G6" s="1415"/>
      <c r="H6" s="1414" t="s">
        <v>167</v>
      </c>
      <c r="I6" s="1415"/>
    </row>
    <row r="7" spans="1:18" ht="15" customHeight="1">
      <c r="A7" s="1085">
        <v>2010</v>
      </c>
      <c r="B7" s="1410">
        <v>63385</v>
      </c>
      <c r="C7" s="1411"/>
      <c r="D7" s="1410">
        <v>983</v>
      </c>
      <c r="E7" s="1411"/>
      <c r="F7" s="1410">
        <v>16018</v>
      </c>
      <c r="G7" s="1411"/>
      <c r="H7" s="1412">
        <f>SUM(D7:F7)</f>
        <v>17001</v>
      </c>
      <c r="I7" s="1413"/>
    </row>
    <row r="8" spans="1:18" ht="15" customHeight="1">
      <c r="A8" s="1085">
        <v>2011</v>
      </c>
      <c r="B8" s="1244">
        <v>63911</v>
      </c>
      <c r="C8" s="1245"/>
      <c r="D8" s="1244">
        <v>1017</v>
      </c>
      <c r="E8" s="1245"/>
      <c r="F8" s="1244">
        <v>18786</v>
      </c>
      <c r="G8" s="1245"/>
      <c r="H8" s="1396">
        <f>SUM(D8:F8)</f>
        <v>19803</v>
      </c>
      <c r="I8" s="1397"/>
      <c r="J8" s="45"/>
      <c r="K8" s="45"/>
    </row>
    <row r="9" spans="1:18" ht="15" customHeight="1">
      <c r="A9" s="1085">
        <v>2012</v>
      </c>
      <c r="B9" s="1396">
        <v>64662</v>
      </c>
      <c r="C9" s="1397"/>
      <c r="D9" s="1396">
        <v>1258</v>
      </c>
      <c r="E9" s="1397"/>
      <c r="F9" s="1396">
        <v>27398</v>
      </c>
      <c r="G9" s="1397"/>
      <c r="H9" s="1396">
        <f>SUM(D9:F9)</f>
        <v>28656</v>
      </c>
      <c r="I9" s="1397"/>
      <c r="J9" s="209"/>
      <c r="K9" s="209"/>
    </row>
    <row r="10" spans="1:18" ht="15" customHeight="1">
      <c r="A10" s="1085">
        <v>2013</v>
      </c>
      <c r="B10" s="1396">
        <v>50385</v>
      </c>
      <c r="C10" s="1397"/>
      <c r="D10" s="1396" t="s">
        <v>1170</v>
      </c>
      <c r="E10" s="1397"/>
      <c r="F10" s="1396" t="s">
        <v>722</v>
      </c>
      <c r="G10" s="1397"/>
      <c r="H10" s="1396">
        <v>6839</v>
      </c>
      <c r="I10" s="1397"/>
      <c r="J10" s="45"/>
      <c r="K10" s="45"/>
    </row>
    <row r="11" spans="1:18" ht="15" customHeight="1">
      <c r="A11" s="129">
        <v>2014</v>
      </c>
      <c r="B11" s="1394">
        <f>IF(SUM(B13,B18,B28,B38)=0,"..",SUM(B13,B18,B28,B38))</f>
        <v>67205</v>
      </c>
      <c r="C11" s="1405"/>
      <c r="D11" s="1394">
        <f>IF(SUM(D13,D18,D28,D38)=0,"..",SUM(D13,D18,D28,D38))</f>
        <v>988</v>
      </c>
      <c r="E11" s="1395"/>
      <c r="F11" s="1418">
        <f>IF(SUM(F13,F18,F28,F38)=0,"..",SUM(F13,F18,F28,F38))</f>
        <v>22990</v>
      </c>
      <c r="G11" s="1409"/>
      <c r="H11" s="1408">
        <f>IF(SUM(H13,H18,H28,H38)=0,"..",SUM(H13,H18,H28,H38))</f>
        <v>23978</v>
      </c>
      <c r="I11" s="1409"/>
      <c r="J11" s="209"/>
      <c r="K11" s="209"/>
      <c r="L11" s="45"/>
      <c r="M11" s="387"/>
      <c r="N11" s="387"/>
      <c r="O11" s="387"/>
      <c r="P11" s="387"/>
      <c r="Q11" s="387"/>
      <c r="R11" s="387"/>
    </row>
    <row r="12" spans="1:18" ht="25.5">
      <c r="A12" s="403" t="s">
        <v>907</v>
      </c>
      <c r="B12" s="1384" t="str">
        <f>"Year : " &amp; A11</f>
        <v>Year : 2014</v>
      </c>
      <c r="C12" s="1385"/>
      <c r="D12" s="1385"/>
      <c r="E12" s="1385"/>
      <c r="F12" s="1385"/>
      <c r="G12" s="1385"/>
      <c r="H12" s="1339"/>
      <c r="I12" s="1249"/>
    </row>
    <row r="13" spans="1:18" ht="17.25" customHeight="1">
      <c r="A13" s="937" t="s">
        <v>867</v>
      </c>
      <c r="B13" s="1406">
        <f>IF(SUM(B14:B17)=0,"..",SUM(B14:B17))</f>
        <v>7088</v>
      </c>
      <c r="C13" s="1407"/>
      <c r="D13" s="1417">
        <f>IF(SUM(D14:D17)=0,"..",SUM(D14:D17))</f>
        <v>57</v>
      </c>
      <c r="E13" s="1417"/>
      <c r="F13" s="1406">
        <f>IF(SUM(F14:F17)=0,"..",SUM(F14:F17))</f>
        <v>3167</v>
      </c>
      <c r="G13" s="1407"/>
      <c r="H13" s="1406">
        <f>IF(SUM(H14:H17)=0,"..",SUM(H14:H17))</f>
        <v>3224</v>
      </c>
      <c r="I13" s="1407"/>
    </row>
    <row r="14" spans="1:18" ht="17.25" customHeight="1">
      <c r="A14" s="938" t="str">
        <f>District!A6</f>
        <v>Karimpur-I</v>
      </c>
      <c r="B14" s="1351">
        <v>1720</v>
      </c>
      <c r="C14" s="1398"/>
      <c r="D14" s="1244">
        <v>11</v>
      </c>
      <c r="E14" s="1245"/>
      <c r="F14" s="1244">
        <v>682</v>
      </c>
      <c r="G14" s="1245"/>
      <c r="H14" s="1396">
        <f>SUM(D14,F14)</f>
        <v>693</v>
      </c>
      <c r="I14" s="1397"/>
    </row>
    <row r="15" spans="1:18" ht="17.25" customHeight="1">
      <c r="A15" s="938" t="str">
        <f>District!A7</f>
        <v>Karimpur-II</v>
      </c>
      <c r="B15" s="1351">
        <v>1186</v>
      </c>
      <c r="C15" s="1398"/>
      <c r="D15" s="1244">
        <v>7</v>
      </c>
      <c r="E15" s="1245"/>
      <c r="F15" s="1244">
        <v>748</v>
      </c>
      <c r="G15" s="1245"/>
      <c r="H15" s="1396">
        <f>SUM(D15,F15)</f>
        <v>755</v>
      </c>
      <c r="I15" s="1397"/>
    </row>
    <row r="16" spans="1:18" ht="17.25" customHeight="1">
      <c r="A16" s="938" t="str">
        <f>District!A8</f>
        <v>Tehatta-I</v>
      </c>
      <c r="B16" s="1351">
        <v>2938</v>
      </c>
      <c r="C16" s="1398"/>
      <c r="D16" s="1244">
        <v>5</v>
      </c>
      <c r="E16" s="1245"/>
      <c r="F16" s="1351">
        <v>1184</v>
      </c>
      <c r="G16" s="1404"/>
      <c r="H16" s="1396">
        <f>SUM(D16,F16)</f>
        <v>1189</v>
      </c>
      <c r="I16" s="1397"/>
    </row>
    <row r="17" spans="1:9" ht="17.25" customHeight="1">
      <c r="A17" s="938" t="str">
        <f>District!A9</f>
        <v>Tehatta-II</v>
      </c>
      <c r="B17" s="1351">
        <v>1244</v>
      </c>
      <c r="C17" s="1398"/>
      <c r="D17" s="1244">
        <v>34</v>
      </c>
      <c r="E17" s="1245"/>
      <c r="F17" s="1351">
        <v>553</v>
      </c>
      <c r="G17" s="1404"/>
      <c r="H17" s="1396">
        <f>SUM(D17,F17)</f>
        <v>587</v>
      </c>
      <c r="I17" s="1397"/>
    </row>
    <row r="18" spans="1:9" ht="17.25" customHeight="1">
      <c r="A18" s="937" t="str">
        <f>District!A10</f>
        <v>Krishnanagar Sub-Div.</v>
      </c>
      <c r="B18" s="1402">
        <f>IF(SUM(B19:B27)=0,"..",SUM(B19:B27))</f>
        <v>32935</v>
      </c>
      <c r="C18" s="1403"/>
      <c r="D18" s="1401">
        <f>IF(SUM(D19:D27)=0,"..",SUM(D19:D27))</f>
        <v>802</v>
      </c>
      <c r="E18" s="1401"/>
      <c r="F18" s="1402">
        <f>IF(SUM(F19:F27)=0,"..",SUM(F19:F27))</f>
        <v>8493</v>
      </c>
      <c r="G18" s="1403"/>
      <c r="H18" s="1402">
        <f>IF(SUM(H19:H27)=0,"..",SUM(H19:H27))</f>
        <v>9295</v>
      </c>
      <c r="I18" s="1403"/>
    </row>
    <row r="19" spans="1:9" ht="17.25" customHeight="1">
      <c r="A19" s="938" t="str">
        <f>District!A11</f>
        <v>Kaliganj</v>
      </c>
      <c r="B19" s="1396">
        <v>2339</v>
      </c>
      <c r="C19" s="1397"/>
      <c r="D19" s="1331">
        <v>69</v>
      </c>
      <c r="E19" s="1331"/>
      <c r="F19" s="1396">
        <v>1028</v>
      </c>
      <c r="G19" s="1397"/>
      <c r="H19" s="1396">
        <f>SUM(D19,F19)</f>
        <v>1097</v>
      </c>
      <c r="I19" s="1397"/>
    </row>
    <row r="20" spans="1:9" ht="17.25" customHeight="1">
      <c r="A20" s="938" t="str">
        <f>District!A12</f>
        <v>Nakashipara</v>
      </c>
      <c r="B20" s="1351">
        <v>3703</v>
      </c>
      <c r="C20" s="1398"/>
      <c r="D20" s="1331">
        <v>20</v>
      </c>
      <c r="E20" s="1331"/>
      <c r="F20" s="1351">
        <v>822</v>
      </c>
      <c r="G20" s="1398"/>
      <c r="H20" s="1396">
        <f t="shared" ref="H20:H27" si="0">SUM(D20,F20)</f>
        <v>842</v>
      </c>
      <c r="I20" s="1397"/>
    </row>
    <row r="21" spans="1:9" ht="17.25" customHeight="1">
      <c r="A21" s="938" t="str">
        <f>District!A13</f>
        <v>Chapra</v>
      </c>
      <c r="B21" s="1351">
        <v>2464</v>
      </c>
      <c r="C21" s="1398"/>
      <c r="D21" s="1331">
        <v>112</v>
      </c>
      <c r="E21" s="1331"/>
      <c r="F21" s="1351">
        <v>904</v>
      </c>
      <c r="G21" s="1398"/>
      <c r="H21" s="1396">
        <f t="shared" si="0"/>
        <v>1016</v>
      </c>
      <c r="I21" s="1397"/>
    </row>
    <row r="22" spans="1:9" ht="17.25" customHeight="1">
      <c r="A22" s="938" t="str">
        <f>District!A14</f>
        <v>Krishnaganj</v>
      </c>
      <c r="B22" s="1351">
        <v>591</v>
      </c>
      <c r="C22" s="1398"/>
      <c r="D22" s="1331">
        <v>64</v>
      </c>
      <c r="E22" s="1331"/>
      <c r="F22" s="1351">
        <v>597</v>
      </c>
      <c r="G22" s="1398"/>
      <c r="H22" s="1396">
        <f t="shared" si="0"/>
        <v>661</v>
      </c>
      <c r="I22" s="1397"/>
    </row>
    <row r="23" spans="1:9" ht="17.25" customHeight="1">
      <c r="A23" s="938" t="str">
        <f>District!A15</f>
        <v>Krishnanagar-I</v>
      </c>
      <c r="B23" s="1351">
        <v>689</v>
      </c>
      <c r="C23" s="1398"/>
      <c r="D23" s="1331">
        <v>4</v>
      </c>
      <c r="E23" s="1331"/>
      <c r="F23" s="1351">
        <v>844</v>
      </c>
      <c r="G23" s="1398"/>
      <c r="H23" s="1396">
        <f>IF(SUM(D23,F23)=0,"..",SUM(D23,F23))</f>
        <v>848</v>
      </c>
      <c r="I23" s="1397"/>
    </row>
    <row r="24" spans="1:9" ht="17.25" customHeight="1">
      <c r="A24" s="938" t="str">
        <f>District!A16</f>
        <v>Krishnanagar(M)</v>
      </c>
      <c r="B24" s="1351">
        <v>20567</v>
      </c>
      <c r="C24" s="1398"/>
      <c r="D24" s="1331">
        <v>499</v>
      </c>
      <c r="E24" s="1331"/>
      <c r="F24" s="1351">
        <v>2777</v>
      </c>
      <c r="G24" s="1398"/>
      <c r="H24" s="1396">
        <f t="shared" si="0"/>
        <v>3276</v>
      </c>
      <c r="I24" s="1397"/>
    </row>
    <row r="25" spans="1:9" ht="17.25" customHeight="1">
      <c r="A25" s="938" t="str">
        <f>District!A17</f>
        <v>Krishnanagar-II</v>
      </c>
      <c r="B25" s="1351">
        <v>486</v>
      </c>
      <c r="C25" s="1398"/>
      <c r="D25" s="1331">
        <v>4</v>
      </c>
      <c r="E25" s="1331"/>
      <c r="F25" s="1351">
        <v>423</v>
      </c>
      <c r="G25" s="1398"/>
      <c r="H25" s="1396">
        <f t="shared" si="0"/>
        <v>427</v>
      </c>
      <c r="I25" s="1397"/>
    </row>
    <row r="26" spans="1:9" ht="17.25" customHeight="1">
      <c r="A26" s="938" t="str">
        <f>District!A18</f>
        <v>Nabadwip</v>
      </c>
      <c r="B26" s="1351">
        <v>457</v>
      </c>
      <c r="C26" s="1398"/>
      <c r="D26" s="1331">
        <v>25</v>
      </c>
      <c r="E26" s="1331"/>
      <c r="F26" s="1351">
        <v>354</v>
      </c>
      <c r="G26" s="1398"/>
      <c r="H26" s="1396">
        <f t="shared" si="0"/>
        <v>379</v>
      </c>
      <c r="I26" s="1397"/>
    </row>
    <row r="27" spans="1:9" ht="17.25" customHeight="1">
      <c r="A27" s="938" t="str">
        <f>District!A19</f>
        <v>Nabadwip(M)</v>
      </c>
      <c r="B27" s="1351">
        <v>1639</v>
      </c>
      <c r="C27" s="1398"/>
      <c r="D27" s="1331">
        <v>5</v>
      </c>
      <c r="E27" s="1331"/>
      <c r="F27" s="1351">
        <v>744</v>
      </c>
      <c r="G27" s="1398"/>
      <c r="H27" s="1396">
        <f t="shared" si="0"/>
        <v>749</v>
      </c>
      <c r="I27" s="1397"/>
    </row>
    <row r="28" spans="1:9" ht="17.25" customHeight="1">
      <c r="A28" s="937" t="str">
        <f>District!A20</f>
        <v>Ranaghat Sub-Div.</v>
      </c>
      <c r="B28" s="1402">
        <f>IF(SUM(B29:B37)=0,"..",SUM(B29:B37))</f>
        <v>9243</v>
      </c>
      <c r="C28" s="1403"/>
      <c r="D28" s="1401">
        <f>IF(SUM(D29:D37)=0,"..",SUM(D29:D37))</f>
        <v>71</v>
      </c>
      <c r="E28" s="1401"/>
      <c r="F28" s="1402">
        <f>IF(SUM(F29:F37)=0,"..",SUM(F29:F37))</f>
        <v>4805</v>
      </c>
      <c r="G28" s="1403"/>
      <c r="H28" s="1402">
        <f>IF(SUM(H29:H37)=0,"..",SUM(H29:H37))</f>
        <v>4876</v>
      </c>
      <c r="I28" s="1403"/>
    </row>
    <row r="29" spans="1:9" ht="17.25" customHeight="1">
      <c r="A29" s="938" t="str">
        <f>District!A21</f>
        <v>Santipur</v>
      </c>
      <c r="B29" s="1351">
        <v>327</v>
      </c>
      <c r="C29" s="1398"/>
      <c r="D29" s="1331">
        <v>9</v>
      </c>
      <c r="E29" s="1331"/>
      <c r="F29" s="1351">
        <v>885</v>
      </c>
      <c r="G29" s="1398"/>
      <c r="H29" s="1396">
        <f>IF(SUM(D29,F29)=0,"..",SUM(D29,F29))</f>
        <v>894</v>
      </c>
      <c r="I29" s="1397"/>
    </row>
    <row r="30" spans="1:9" ht="17.25" customHeight="1">
      <c r="A30" s="938" t="str">
        <f>District!A22</f>
        <v>Santipur(M)</v>
      </c>
      <c r="B30" s="1351">
        <v>2156</v>
      </c>
      <c r="C30" s="1398"/>
      <c r="D30" s="1331">
        <v>6</v>
      </c>
      <c r="E30" s="1331"/>
      <c r="F30" s="1351">
        <v>1081</v>
      </c>
      <c r="G30" s="1398"/>
      <c r="H30" s="1396">
        <f t="shared" ref="H30:H36" si="1">SUM(D30,F30)</f>
        <v>1087</v>
      </c>
      <c r="I30" s="1397"/>
    </row>
    <row r="31" spans="1:9" ht="17.25" customHeight="1">
      <c r="A31" s="938" t="str">
        <f>District!A23</f>
        <v>Hanskhali</v>
      </c>
      <c r="B31" s="1351">
        <v>402</v>
      </c>
      <c r="C31" s="1398"/>
      <c r="D31" s="1331">
        <v>3</v>
      </c>
      <c r="E31" s="1331"/>
      <c r="F31" s="1351">
        <v>399</v>
      </c>
      <c r="G31" s="1398"/>
      <c r="H31" s="1396">
        <f t="shared" si="1"/>
        <v>402</v>
      </c>
      <c r="I31" s="1397"/>
    </row>
    <row r="32" spans="1:9" ht="17.25" customHeight="1">
      <c r="A32" s="938" t="str">
        <f>District!A24</f>
        <v>Ranaghat-I</v>
      </c>
      <c r="B32" s="1351">
        <v>199</v>
      </c>
      <c r="C32" s="1398"/>
      <c r="D32" s="1331">
        <v>18</v>
      </c>
      <c r="E32" s="1331"/>
      <c r="F32" s="1351">
        <v>556</v>
      </c>
      <c r="G32" s="1398"/>
      <c r="H32" s="1396">
        <f t="shared" si="1"/>
        <v>574</v>
      </c>
      <c r="I32" s="1397"/>
    </row>
    <row r="33" spans="1:9" ht="17.25" customHeight="1">
      <c r="A33" s="938" t="str">
        <f>District!A25</f>
        <v>Ranaghat(M)</v>
      </c>
      <c r="B33" s="1396">
        <v>1381</v>
      </c>
      <c r="C33" s="1397"/>
      <c r="D33" s="1331">
        <v>35</v>
      </c>
      <c r="E33" s="1331"/>
      <c r="F33" s="1396">
        <v>1218</v>
      </c>
      <c r="G33" s="1397"/>
      <c r="H33" s="1396">
        <f>IF(SUM(D33,F33)=0,"..",SUM(D33,F33))</f>
        <v>1253</v>
      </c>
      <c r="I33" s="1397"/>
    </row>
    <row r="34" spans="1:9" ht="17.25" customHeight="1">
      <c r="A34" s="938" t="str">
        <f>District!A26</f>
        <v>Birnagar(M)</v>
      </c>
      <c r="B34" s="1244">
        <v>4588</v>
      </c>
      <c r="C34" s="1245"/>
      <c r="D34" s="1400" t="s">
        <v>643</v>
      </c>
      <c r="E34" s="1331"/>
      <c r="F34" s="1351">
        <v>372</v>
      </c>
      <c r="G34" s="1398"/>
      <c r="H34" s="1396">
        <f>IF(SUM(D34,F34)=0,"..",SUM(D34,F34))</f>
        <v>372</v>
      </c>
      <c r="I34" s="1397"/>
    </row>
    <row r="35" spans="1:9" ht="17.25" customHeight="1">
      <c r="A35" s="938" t="str">
        <f>District!A27</f>
        <v>Taherpur(N.A.)</v>
      </c>
      <c r="B35" s="1351">
        <v>80</v>
      </c>
      <c r="C35" s="1398"/>
      <c r="D35" s="1400" t="s">
        <v>643</v>
      </c>
      <c r="E35" s="1331"/>
      <c r="F35" s="1351">
        <v>58</v>
      </c>
      <c r="G35" s="1398"/>
      <c r="H35" s="1396">
        <f>IF(SUM(D35,F35)=0,"..",SUM(D35,F35))</f>
        <v>58</v>
      </c>
      <c r="I35" s="1397"/>
    </row>
    <row r="36" spans="1:9" ht="17.25" customHeight="1">
      <c r="A36" s="938" t="s">
        <v>714</v>
      </c>
      <c r="B36" s="1087">
        <v>42</v>
      </c>
      <c r="C36" s="1088"/>
      <c r="D36" s="1255" t="s">
        <v>643</v>
      </c>
      <c r="E36" s="1245"/>
      <c r="F36" s="1351">
        <v>124</v>
      </c>
      <c r="G36" s="1398"/>
      <c r="H36" s="1396">
        <f t="shared" si="1"/>
        <v>124</v>
      </c>
      <c r="I36" s="1397"/>
    </row>
    <row r="37" spans="1:9" ht="17.25" customHeight="1">
      <c r="A37" s="938" t="str">
        <f>District!A28</f>
        <v>Cooper's Camp(N.A.)</v>
      </c>
      <c r="B37" s="1087">
        <v>68</v>
      </c>
      <c r="C37" s="1088"/>
      <c r="D37" s="1255" t="s">
        <v>643</v>
      </c>
      <c r="E37" s="1245"/>
      <c r="F37" s="1244">
        <v>112</v>
      </c>
      <c r="G37" s="1245"/>
      <c r="H37" s="1396">
        <f t="shared" ref="H37" si="2">SUM(D37,F37)</f>
        <v>112</v>
      </c>
      <c r="I37" s="1397"/>
    </row>
    <row r="38" spans="1:9" ht="17.25" customHeight="1">
      <c r="A38" s="937" t="str">
        <f>District!A30</f>
        <v>Kalyani Sub-Div.</v>
      </c>
      <c r="B38" s="1402">
        <f>SUM(B39:B43)</f>
        <v>17939</v>
      </c>
      <c r="C38" s="1403"/>
      <c r="D38" s="1402">
        <f>IF(SUM(D39:D43)=0,"..",SUM(D39:D43))</f>
        <v>58</v>
      </c>
      <c r="E38" s="1403"/>
      <c r="F38" s="1402">
        <f>IF(SUM(F39:F43)=0,"..",SUM(F39:F43))</f>
        <v>6525</v>
      </c>
      <c r="G38" s="1403"/>
      <c r="H38" s="1402">
        <f>IF(SUM(H39:H43)=0,"..",SUM(H39:H43))</f>
        <v>6583</v>
      </c>
      <c r="I38" s="1403"/>
    </row>
    <row r="39" spans="1:9" ht="17.25" customHeight="1">
      <c r="A39" s="938" t="str">
        <f>District!A31</f>
        <v>Chakdaha</v>
      </c>
      <c r="B39" s="1087">
        <v>409</v>
      </c>
      <c r="C39" s="1088"/>
      <c r="D39" s="1255" t="s">
        <v>643</v>
      </c>
      <c r="E39" s="1245"/>
      <c r="F39" s="1244">
        <v>969</v>
      </c>
      <c r="G39" s="1245"/>
      <c r="H39" s="1396">
        <f>SUM(D39,F39)</f>
        <v>969</v>
      </c>
      <c r="I39" s="1397"/>
    </row>
    <row r="40" spans="1:9" ht="17.25" customHeight="1">
      <c r="A40" s="938" t="str">
        <f>District!A32</f>
        <v>Chakdaha(M)</v>
      </c>
      <c r="B40" s="1087">
        <v>880</v>
      </c>
      <c r="C40" s="1088"/>
      <c r="D40" s="1244">
        <v>4</v>
      </c>
      <c r="E40" s="1245"/>
      <c r="F40" s="1244">
        <v>506</v>
      </c>
      <c r="G40" s="1245"/>
      <c r="H40" s="1396">
        <f>SUM(D40,F40)</f>
        <v>510</v>
      </c>
      <c r="I40" s="1397"/>
    </row>
    <row r="41" spans="1:9" ht="17.25" customHeight="1">
      <c r="A41" s="938" t="str">
        <f>District!A33</f>
        <v>Kalyani(M)</v>
      </c>
      <c r="B41" s="1351">
        <v>15868</v>
      </c>
      <c r="C41" s="1398"/>
      <c r="D41" s="1244">
        <v>13</v>
      </c>
      <c r="E41" s="1245"/>
      <c r="F41" s="1351">
        <v>2956</v>
      </c>
      <c r="G41" s="1398"/>
      <c r="H41" s="1396">
        <f>SUM(D41,F41)</f>
        <v>2969</v>
      </c>
      <c r="I41" s="1397"/>
    </row>
    <row r="42" spans="1:9" ht="17.25" customHeight="1">
      <c r="A42" s="938" t="str">
        <f>District!A34</f>
        <v>Gayeshpur(M)</v>
      </c>
      <c r="B42" s="1087">
        <v>11</v>
      </c>
      <c r="C42" s="1088"/>
      <c r="D42" s="1255" t="s">
        <v>643</v>
      </c>
      <c r="E42" s="1245"/>
      <c r="F42" s="1351">
        <v>1186</v>
      </c>
      <c r="G42" s="1398"/>
      <c r="H42" s="1396">
        <f>SUM(D42,F42)</f>
        <v>1186</v>
      </c>
      <c r="I42" s="1397"/>
    </row>
    <row r="43" spans="1:9" ht="17.25" customHeight="1">
      <c r="A43" s="939" t="str">
        <f>District!A35</f>
        <v>Haringhata</v>
      </c>
      <c r="B43" s="1089">
        <v>771</v>
      </c>
      <c r="C43" s="1086"/>
      <c r="D43" s="1246">
        <v>41</v>
      </c>
      <c r="E43" s="1247"/>
      <c r="F43" s="1399">
        <v>908</v>
      </c>
      <c r="G43" s="1325"/>
      <c r="H43" s="1394">
        <f>SUM(D43,F43)</f>
        <v>949</v>
      </c>
      <c r="I43" s="1395"/>
    </row>
    <row r="44" spans="1:9">
      <c r="A44" s="282" t="s">
        <v>605</v>
      </c>
      <c r="B44" s="18"/>
      <c r="C44" s="18"/>
      <c r="D44" s="18"/>
      <c r="E44" s="18"/>
      <c r="F44" s="608" t="s">
        <v>1247</v>
      </c>
      <c r="G44" s="288" t="s">
        <v>4</v>
      </c>
      <c r="H44" s="288"/>
      <c r="I44" s="430"/>
    </row>
    <row r="45" spans="1:9">
      <c r="B45"/>
      <c r="C45" s="18"/>
      <c r="D45" s="18"/>
      <c r="E45" s="18"/>
      <c r="F45" s="608" t="s">
        <v>1248</v>
      </c>
      <c r="G45" s="1392" t="s">
        <v>403</v>
      </c>
      <c r="H45" s="1392"/>
      <c r="I45" s="1393"/>
    </row>
    <row r="46" spans="1:9" ht="12.75" customHeight="1">
      <c r="A46"/>
      <c r="B46"/>
      <c r="C46" s="18"/>
      <c r="D46" s="18"/>
      <c r="E46" s="288"/>
      <c r="F46" s="288"/>
      <c r="G46" s="1392"/>
      <c r="H46" s="1392"/>
      <c r="I46" s="1393"/>
    </row>
    <row r="47" spans="1:9">
      <c r="A47"/>
      <c r="B47"/>
      <c r="C47" s="18"/>
      <c r="D47" s="18"/>
      <c r="E47" s="18"/>
      <c r="F47" s="18"/>
      <c r="G47" s="1393"/>
      <c r="H47" s="1393"/>
      <c r="I47" s="1393"/>
    </row>
    <row r="48" spans="1:9">
      <c r="C48" s="18"/>
      <c r="D48" s="18"/>
      <c r="E48" s="18"/>
      <c r="F48" s="18"/>
      <c r="G48" s="18"/>
      <c r="H48" s="18"/>
      <c r="I48" s="18"/>
    </row>
    <row r="49" spans="1:9">
      <c r="A49" s="18"/>
      <c r="B49" s="18"/>
      <c r="C49" s="18"/>
      <c r="D49" s="18"/>
      <c r="E49" s="18"/>
      <c r="F49" s="18"/>
      <c r="G49" s="18"/>
      <c r="H49" s="18"/>
      <c r="I49" s="18"/>
    </row>
    <row r="54" spans="1:9">
      <c r="A54" s="471"/>
      <c r="D54" s="471"/>
      <c r="E54" s="471"/>
      <c r="F54" s="471"/>
      <c r="G54" s="471"/>
      <c r="H54" s="471"/>
      <c r="I54" s="471"/>
    </row>
  </sheetData>
  <mergeCells count="152">
    <mergeCell ref="H40:I40"/>
    <mergeCell ref="F40:G40"/>
    <mergeCell ref="D40:E40"/>
    <mergeCell ref="D39:E39"/>
    <mergeCell ref="F39:G39"/>
    <mergeCell ref="H39:I39"/>
    <mergeCell ref="H26:I26"/>
    <mergeCell ref="H27:I27"/>
    <mergeCell ref="F37:G37"/>
    <mergeCell ref="D37:E37"/>
    <mergeCell ref="F32:G32"/>
    <mergeCell ref="H35:I35"/>
    <mergeCell ref="H34:I34"/>
    <mergeCell ref="H38:I38"/>
    <mergeCell ref="H37:I37"/>
    <mergeCell ref="H36:I36"/>
    <mergeCell ref="H32:I32"/>
    <mergeCell ref="F30:G30"/>
    <mergeCell ref="F31:G31"/>
    <mergeCell ref="F33:G33"/>
    <mergeCell ref="F34:G34"/>
    <mergeCell ref="F38:G38"/>
    <mergeCell ref="F36:G36"/>
    <mergeCell ref="F35:G35"/>
    <mergeCell ref="B28:C28"/>
    <mergeCell ref="D36:E36"/>
    <mergeCell ref="B34:C34"/>
    <mergeCell ref="B35:C35"/>
    <mergeCell ref="D35:E35"/>
    <mergeCell ref="B38:C38"/>
    <mergeCell ref="D38:E38"/>
    <mergeCell ref="D32:E32"/>
    <mergeCell ref="D33:E33"/>
    <mergeCell ref="B31:C31"/>
    <mergeCell ref="B29:C29"/>
    <mergeCell ref="F10:G10"/>
    <mergeCell ref="D13:E13"/>
    <mergeCell ref="F11:G11"/>
    <mergeCell ref="H17:I17"/>
    <mergeCell ref="H18:I18"/>
    <mergeCell ref="H30:I30"/>
    <mergeCell ref="H31:I31"/>
    <mergeCell ref="B14:C14"/>
    <mergeCell ref="B19:C19"/>
    <mergeCell ref="D19:E19"/>
    <mergeCell ref="H14:I14"/>
    <mergeCell ref="H28:I28"/>
    <mergeCell ref="F27:G27"/>
    <mergeCell ref="F28:G28"/>
    <mergeCell ref="H23:I23"/>
    <mergeCell ref="H24:I24"/>
    <mergeCell ref="F23:G23"/>
    <mergeCell ref="F24:G24"/>
    <mergeCell ref="H10:I10"/>
    <mergeCell ref="B16:C16"/>
    <mergeCell ref="F29:G29"/>
    <mergeCell ref="B23:C23"/>
    <mergeCell ref="D26:E26"/>
    <mergeCell ref="B27:C27"/>
    <mergeCell ref="A1:I1"/>
    <mergeCell ref="A2:I2"/>
    <mergeCell ref="H5:I5"/>
    <mergeCell ref="H8:I8"/>
    <mergeCell ref="D8:E8"/>
    <mergeCell ref="D4:I4"/>
    <mergeCell ref="B7:C7"/>
    <mergeCell ref="D7:E7"/>
    <mergeCell ref="F7:G7"/>
    <mergeCell ref="H7:I7"/>
    <mergeCell ref="H6:I6"/>
    <mergeCell ref="B6:C6"/>
    <mergeCell ref="B4:C5"/>
    <mergeCell ref="A4:A5"/>
    <mergeCell ref="F5:G5"/>
    <mergeCell ref="F6:G6"/>
    <mergeCell ref="D5:E5"/>
    <mergeCell ref="F8:G8"/>
    <mergeCell ref="B8:C8"/>
    <mergeCell ref="D6:E6"/>
    <mergeCell ref="F9:G9"/>
    <mergeCell ref="D10:E10"/>
    <mergeCell ref="D16:E16"/>
    <mergeCell ref="D20:E20"/>
    <mergeCell ref="D11:E11"/>
    <mergeCell ref="B12:I12"/>
    <mergeCell ref="B11:C11"/>
    <mergeCell ref="F13:G13"/>
    <mergeCell ref="B9:C9"/>
    <mergeCell ref="H11:I11"/>
    <mergeCell ref="H13:I13"/>
    <mergeCell ref="H20:I20"/>
    <mergeCell ref="H19:I19"/>
    <mergeCell ref="B20:C20"/>
    <mergeCell ref="H9:I9"/>
    <mergeCell ref="D18:E18"/>
    <mergeCell ref="F18:G18"/>
    <mergeCell ref="F16:G16"/>
    <mergeCell ref="F15:G15"/>
    <mergeCell ref="B10:C10"/>
    <mergeCell ref="B13:C13"/>
    <mergeCell ref="F19:G19"/>
    <mergeCell ref="D9:E9"/>
    <mergeCell ref="F14:G14"/>
    <mergeCell ref="F20:G20"/>
    <mergeCell ref="D15:E15"/>
    <mergeCell ref="B25:C25"/>
    <mergeCell ref="B24:C24"/>
    <mergeCell ref="D24:E24"/>
    <mergeCell ref="D21:E21"/>
    <mergeCell ref="D22:E22"/>
    <mergeCell ref="B18:C18"/>
    <mergeCell ref="B17:C17"/>
    <mergeCell ref="B22:C22"/>
    <mergeCell ref="B21:C21"/>
    <mergeCell ref="D23:E23"/>
    <mergeCell ref="B15:C15"/>
    <mergeCell ref="F17:G17"/>
    <mergeCell ref="H22:I22"/>
    <mergeCell ref="F21:G21"/>
    <mergeCell ref="F22:G22"/>
    <mergeCell ref="H21:I21"/>
    <mergeCell ref="D17:E17"/>
    <mergeCell ref="D14:E14"/>
    <mergeCell ref="F25:G25"/>
    <mergeCell ref="B26:C26"/>
    <mergeCell ref="D34:E34"/>
    <mergeCell ref="D30:E30"/>
    <mergeCell ref="D31:E31"/>
    <mergeCell ref="B33:C33"/>
    <mergeCell ref="D29:E29"/>
    <mergeCell ref="B32:C32"/>
    <mergeCell ref="D28:E28"/>
    <mergeCell ref="F26:G26"/>
    <mergeCell ref="D25:E25"/>
    <mergeCell ref="D27:E27"/>
    <mergeCell ref="H16:I16"/>
    <mergeCell ref="H15:I15"/>
    <mergeCell ref="B30:C30"/>
    <mergeCell ref="H25:I25"/>
    <mergeCell ref="H33:I33"/>
    <mergeCell ref="H29:I29"/>
    <mergeCell ref="G45:I47"/>
    <mergeCell ref="H43:I43"/>
    <mergeCell ref="H42:I42"/>
    <mergeCell ref="B41:C41"/>
    <mergeCell ref="D41:E41"/>
    <mergeCell ref="F41:G41"/>
    <mergeCell ref="H41:I41"/>
    <mergeCell ref="D42:E42"/>
    <mergeCell ref="F42:G42"/>
    <mergeCell ref="D43:E43"/>
    <mergeCell ref="F43:G43"/>
  </mergeCells>
  <phoneticPr fontId="0" type="noConversion"/>
  <conditionalFormatting sqref="A49:A65536 B44 G11:G35 B55:C65536 B49:B51 C44:C51 B7:B41 E11:E35 J1:IV1048576 I1:I35 D41:I65536 C11:C41 B1:G6 D7:D40 F7:F40 A1:A43 E38:I38 H1:H39 H39:I40">
    <cfRule type="cellIs" dxfId="11" priority="1" stopIfTrue="1" operator="equal">
      <formula>".."</formula>
    </cfRule>
  </conditionalFormatting>
  <printOptions horizontalCentered="1"/>
  <pageMargins left="0.1" right="0.1" top="0.48" bottom="0.1" header="0.41" footer="0.2"/>
  <pageSetup paperSize="9" orientation="portrait" blackAndWhite="1" r:id="rId1"/>
  <headerFooter alignWithMargins="0"/>
</worksheet>
</file>

<file path=xl/worksheets/sheet29.xml><?xml version="1.0" encoding="utf-8"?>
<worksheet xmlns="http://schemas.openxmlformats.org/spreadsheetml/2006/main" xmlns:r="http://schemas.openxmlformats.org/officeDocument/2006/relationships">
  <sheetPr codeName="Sheet26"/>
  <dimension ref="A1:K44"/>
  <sheetViews>
    <sheetView workbookViewId="0">
      <selection activeCell="K25" sqref="K25"/>
    </sheetView>
  </sheetViews>
  <sheetFormatPr defaultRowHeight="12.75"/>
  <cols>
    <col min="1" max="1" width="10.7109375" style="412" customWidth="1"/>
    <col min="2" max="2" width="1.85546875" style="412" customWidth="1"/>
    <col min="3" max="3" width="2.85546875" style="412" customWidth="1"/>
    <col min="4" max="4" width="1" style="412" customWidth="1"/>
    <col min="5" max="5" width="48.140625" style="412" customWidth="1"/>
    <col min="6" max="10" width="14.140625" style="412" customWidth="1"/>
    <col min="11" max="16384" width="9.140625" style="412"/>
  </cols>
  <sheetData>
    <row r="1" spans="1:11" s="405" customFormat="1" ht="14.25" customHeight="1">
      <c r="A1" s="432"/>
      <c r="B1" s="1250" t="s">
        <v>439</v>
      </c>
      <c r="C1" s="1250"/>
      <c r="D1" s="1250"/>
      <c r="E1" s="1250"/>
      <c r="F1" s="1250"/>
      <c r="G1" s="1250"/>
      <c r="H1" s="1250"/>
      <c r="I1" s="1250"/>
      <c r="J1" s="1250"/>
    </row>
    <row r="2" spans="1:11" ht="16.5">
      <c r="A2" s="433"/>
      <c r="B2" s="1350" t="str">
        <f>CONCATENATE("General Educational Institutions by type in the district of ",District!A1)</f>
        <v>General Educational Institutions by type in the district of Nadia</v>
      </c>
      <c r="C2" s="1350"/>
      <c r="D2" s="1350"/>
      <c r="E2" s="1350"/>
      <c r="F2" s="1350"/>
      <c r="G2" s="1350"/>
      <c r="H2" s="1350"/>
      <c r="I2" s="1350"/>
      <c r="J2" s="1350"/>
    </row>
    <row r="3" spans="1:11" s="405" customFormat="1" ht="11.25" customHeight="1">
      <c r="A3" s="435"/>
      <c r="B3" s="412"/>
      <c r="C3" s="436"/>
      <c r="D3" s="436"/>
      <c r="E3" s="436"/>
      <c r="F3" s="436"/>
      <c r="G3" s="436"/>
      <c r="H3" s="436"/>
      <c r="I3" s="436"/>
      <c r="J3" s="451" t="s">
        <v>223</v>
      </c>
    </row>
    <row r="4" spans="1:11" s="6" customFormat="1">
      <c r="A4" s="433"/>
      <c r="B4" s="1268" t="s">
        <v>1092</v>
      </c>
      <c r="C4" s="1265"/>
      <c r="D4" s="1265"/>
      <c r="E4" s="1266"/>
      <c r="F4" s="1253" t="s">
        <v>107</v>
      </c>
      <c r="G4" s="1251"/>
      <c r="H4" s="1251"/>
      <c r="I4" s="1251"/>
      <c r="J4" s="1252"/>
    </row>
    <row r="5" spans="1:11" s="6" customFormat="1" ht="12" customHeight="1">
      <c r="A5" s="433"/>
      <c r="B5" s="1399"/>
      <c r="C5" s="1290"/>
      <c r="D5" s="1290"/>
      <c r="E5" s="1325"/>
      <c r="F5" s="698" t="str">
        <f>District!C8</f>
        <v>2009-10</v>
      </c>
      <c r="G5" s="698" t="str">
        <f>District!D8</f>
        <v>2010-11</v>
      </c>
      <c r="H5" s="698" t="str">
        <f>District!E8</f>
        <v>2011-12</v>
      </c>
      <c r="I5" s="698" t="str">
        <f>District!F8</f>
        <v>2012-13</v>
      </c>
      <c r="J5" s="698" t="str">
        <f>District!G8</f>
        <v>2013-14</v>
      </c>
    </row>
    <row r="6" spans="1:11" s="405" customFormat="1" ht="11.25" customHeight="1">
      <c r="A6" s="433"/>
      <c r="B6" s="1428" t="s">
        <v>163</v>
      </c>
      <c r="C6" s="1429"/>
      <c r="D6" s="1429"/>
      <c r="E6" s="1430"/>
      <c r="F6" s="225" t="s">
        <v>164</v>
      </c>
      <c r="G6" s="226" t="s">
        <v>165</v>
      </c>
      <c r="H6" s="225" t="s">
        <v>166</v>
      </c>
      <c r="I6" s="224" t="s">
        <v>167</v>
      </c>
      <c r="J6" s="224" t="s">
        <v>168</v>
      </c>
      <c r="K6" s="450"/>
    </row>
    <row r="7" spans="1:11" s="405" customFormat="1">
      <c r="A7" s="433"/>
      <c r="B7" s="940">
        <v>1</v>
      </c>
      <c r="C7" s="1424" t="s">
        <v>1637</v>
      </c>
      <c r="D7" s="1424"/>
      <c r="E7" s="1425"/>
      <c r="F7" s="194">
        <f>SUM(F8,F13,F18,F23,)</f>
        <v>3088</v>
      </c>
      <c r="G7" s="193">
        <f>SUM(G8,G13,G18,G23,)</f>
        <v>3183</v>
      </c>
      <c r="H7" s="193">
        <f>SUM(H8,H13,H18,H23,)</f>
        <v>3258</v>
      </c>
      <c r="I7" s="112">
        <f>SUM(I8,I13,I18,I23,)</f>
        <v>3264</v>
      </c>
      <c r="J7" s="112">
        <f>SUM(J8,J13,J18,J23,)</f>
        <v>3317</v>
      </c>
      <c r="K7" s="450"/>
    </row>
    <row r="8" spans="1:11" s="405" customFormat="1" ht="25.5" customHeight="1">
      <c r="A8" s="433"/>
      <c r="B8" s="292"/>
      <c r="C8" s="941" t="s">
        <v>349</v>
      </c>
      <c r="D8" s="1420" t="s">
        <v>1233</v>
      </c>
      <c r="E8" s="1421"/>
      <c r="F8" s="20">
        <f>SUM(F9:F12)</f>
        <v>2607</v>
      </c>
      <c r="G8" s="118">
        <f>SUM(G9:G12)</f>
        <v>2613</v>
      </c>
      <c r="H8" s="118">
        <f>SUM(H9:H12)</f>
        <v>2624</v>
      </c>
      <c r="I8" s="118">
        <f>SUM(I9:I12)</f>
        <v>2625</v>
      </c>
      <c r="J8" s="118">
        <f>SUM(J9:J12)</f>
        <v>2625</v>
      </c>
      <c r="K8" s="450"/>
    </row>
    <row r="9" spans="1:11" s="405" customFormat="1">
      <c r="A9" s="433"/>
      <c r="B9" s="292"/>
      <c r="C9" s="450"/>
      <c r="D9" s="450"/>
      <c r="E9" s="942" t="s">
        <v>345</v>
      </c>
      <c r="F9" s="462">
        <v>2597</v>
      </c>
      <c r="G9" s="628">
        <v>2602</v>
      </c>
      <c r="H9" s="628">
        <v>2614</v>
      </c>
      <c r="I9" s="628">
        <v>2615</v>
      </c>
      <c r="J9" s="628">
        <v>2618</v>
      </c>
      <c r="K9" s="450"/>
    </row>
    <row r="10" spans="1:11" s="405" customFormat="1">
      <c r="A10" s="433"/>
      <c r="B10" s="292"/>
      <c r="C10" s="450"/>
      <c r="D10" s="450"/>
      <c r="E10" s="942" t="s">
        <v>1162</v>
      </c>
      <c r="F10" s="462">
        <v>8</v>
      </c>
      <c r="G10" s="628">
        <v>8</v>
      </c>
      <c r="H10" s="628">
        <v>8</v>
      </c>
      <c r="I10" s="628">
        <v>8</v>
      </c>
      <c r="J10" s="628">
        <v>6</v>
      </c>
      <c r="K10" s="450"/>
    </row>
    <row r="11" spans="1:11" s="405" customFormat="1">
      <c r="A11" s="433"/>
      <c r="B11" s="292"/>
      <c r="C11" s="450"/>
      <c r="D11" s="450"/>
      <c r="E11" s="942" t="s">
        <v>5</v>
      </c>
      <c r="F11" s="482" t="s">
        <v>643</v>
      </c>
      <c r="G11" s="483">
        <v>1</v>
      </c>
      <c r="H11" s="483">
        <v>1</v>
      </c>
      <c r="I11" s="483">
        <v>1</v>
      </c>
      <c r="J11" s="1069" t="s">
        <v>643</v>
      </c>
      <c r="K11" s="450"/>
    </row>
    <row r="12" spans="1:11" s="405" customFormat="1">
      <c r="A12" s="433"/>
      <c r="B12" s="292"/>
      <c r="C12" s="450"/>
      <c r="D12" s="450"/>
      <c r="E12" s="942" t="s">
        <v>1386</v>
      </c>
      <c r="F12" s="462">
        <v>2</v>
      </c>
      <c r="G12" s="628">
        <v>2</v>
      </c>
      <c r="H12" s="628">
        <v>1</v>
      </c>
      <c r="I12" s="628">
        <v>1</v>
      </c>
      <c r="J12" s="628">
        <v>1</v>
      </c>
      <c r="K12" s="450"/>
    </row>
    <row r="13" spans="1:11" s="405" customFormat="1" ht="25.5" customHeight="1">
      <c r="A13" s="433"/>
      <c r="B13" s="292"/>
      <c r="C13" s="941" t="s">
        <v>347</v>
      </c>
      <c r="D13" s="1420" t="s">
        <v>1234</v>
      </c>
      <c r="E13" s="1421"/>
      <c r="F13" s="20">
        <f>SUM(F14:F17)</f>
        <v>33</v>
      </c>
      <c r="G13" s="118">
        <f>SUM(G14:G17)</f>
        <v>111</v>
      </c>
      <c r="H13" s="44">
        <f>SUM(H14:H17)</f>
        <v>183</v>
      </c>
      <c r="I13" s="44">
        <f>SUM(I14:I17)</f>
        <v>183</v>
      </c>
      <c r="J13" s="44">
        <f>SUM(J14:J17)</f>
        <v>182</v>
      </c>
      <c r="K13" s="450"/>
    </row>
    <row r="14" spans="1:11" s="405" customFormat="1">
      <c r="A14" s="433"/>
      <c r="B14" s="292"/>
      <c r="C14" s="450"/>
      <c r="D14" s="450"/>
      <c r="E14" s="942" t="s">
        <v>390</v>
      </c>
      <c r="F14" s="462">
        <v>31</v>
      </c>
      <c r="G14" s="628">
        <v>108</v>
      </c>
      <c r="H14" s="628">
        <v>177</v>
      </c>
      <c r="I14" s="628">
        <v>178</v>
      </c>
      <c r="J14" s="628">
        <v>177</v>
      </c>
      <c r="K14" s="450"/>
    </row>
    <row r="15" spans="1:11" s="405" customFormat="1">
      <c r="A15" s="433"/>
      <c r="B15" s="292"/>
      <c r="C15" s="450"/>
      <c r="D15" s="450"/>
      <c r="E15" s="942" t="s">
        <v>930</v>
      </c>
      <c r="F15" s="943" t="s">
        <v>643</v>
      </c>
      <c r="G15" s="944" t="s">
        <v>643</v>
      </c>
      <c r="H15" s="944">
        <v>3</v>
      </c>
      <c r="I15" s="944">
        <v>3</v>
      </c>
      <c r="J15" s="944">
        <v>3</v>
      </c>
      <c r="K15" s="450"/>
    </row>
    <row r="16" spans="1:11" s="405" customFormat="1">
      <c r="A16" s="433"/>
      <c r="B16" s="292"/>
      <c r="C16" s="450"/>
      <c r="D16" s="450"/>
      <c r="E16" s="942" t="s">
        <v>5</v>
      </c>
      <c r="F16" s="462">
        <v>2</v>
      </c>
      <c r="G16" s="628">
        <v>3</v>
      </c>
      <c r="H16" s="628">
        <v>3</v>
      </c>
      <c r="I16" s="628">
        <v>2</v>
      </c>
      <c r="J16" s="628">
        <v>2</v>
      </c>
      <c r="K16" s="450"/>
    </row>
    <row r="17" spans="1:11" s="405" customFormat="1">
      <c r="A17" s="433"/>
      <c r="B17" s="292"/>
      <c r="C17" s="450"/>
      <c r="D17" s="450"/>
      <c r="E17" s="942" t="s">
        <v>1386</v>
      </c>
      <c r="F17" s="462" t="s">
        <v>643</v>
      </c>
      <c r="G17" s="628" t="s">
        <v>643</v>
      </c>
      <c r="H17" s="628" t="s">
        <v>643</v>
      </c>
      <c r="I17" s="992" t="s">
        <v>643</v>
      </c>
      <c r="J17" s="992" t="s">
        <v>643</v>
      </c>
      <c r="K17" s="450"/>
    </row>
    <row r="18" spans="1:11" s="405" customFormat="1" ht="25.5" customHeight="1">
      <c r="A18" s="433"/>
      <c r="B18" s="292"/>
      <c r="C18" s="941" t="s">
        <v>348</v>
      </c>
      <c r="D18" s="1420" t="s">
        <v>1235</v>
      </c>
      <c r="E18" s="1421"/>
      <c r="F18" s="20">
        <f>SUM(F19:F22)</f>
        <v>186</v>
      </c>
      <c r="G18" s="118">
        <f>SUM(G19:G22)</f>
        <v>183</v>
      </c>
      <c r="H18" s="44">
        <f>SUM(H19:H22)</f>
        <v>133</v>
      </c>
      <c r="I18" s="44">
        <f>SUM(I19:I22)</f>
        <v>116</v>
      </c>
      <c r="J18" s="44">
        <f>SUM(J19:J22)</f>
        <v>105</v>
      </c>
      <c r="K18" s="450"/>
    </row>
    <row r="19" spans="1:11" s="405" customFormat="1">
      <c r="A19" s="433"/>
      <c r="B19" s="292"/>
      <c r="C19" s="450"/>
      <c r="D19" s="450"/>
      <c r="E19" s="942" t="s">
        <v>390</v>
      </c>
      <c r="F19" s="462">
        <v>171</v>
      </c>
      <c r="G19" s="628">
        <v>168</v>
      </c>
      <c r="H19" s="628">
        <v>124</v>
      </c>
      <c r="I19" s="628">
        <v>106</v>
      </c>
      <c r="J19" s="628">
        <v>93</v>
      </c>
      <c r="K19" s="450"/>
    </row>
    <row r="20" spans="1:11" s="405" customFormat="1">
      <c r="A20" s="433"/>
      <c r="B20" s="292"/>
      <c r="C20" s="450"/>
      <c r="D20" s="450"/>
      <c r="E20" s="942" t="s">
        <v>931</v>
      </c>
      <c r="F20" s="462">
        <v>13</v>
      </c>
      <c r="G20" s="628">
        <v>13</v>
      </c>
      <c r="H20" s="628">
        <v>7</v>
      </c>
      <c r="I20" s="628">
        <v>8</v>
      </c>
      <c r="J20" s="628">
        <v>8</v>
      </c>
      <c r="K20" s="450"/>
    </row>
    <row r="21" spans="1:11" s="405" customFormat="1">
      <c r="A21" s="433"/>
      <c r="B21" s="292"/>
      <c r="C21" s="450"/>
      <c r="D21" s="450"/>
      <c r="E21" s="942" t="s">
        <v>5</v>
      </c>
      <c r="F21" s="462">
        <v>2</v>
      </c>
      <c r="G21" s="628">
        <v>2</v>
      </c>
      <c r="H21" s="628">
        <v>2</v>
      </c>
      <c r="I21" s="628">
        <v>2</v>
      </c>
      <c r="J21" s="628">
        <v>4</v>
      </c>
      <c r="K21" s="450"/>
    </row>
    <row r="22" spans="1:11" s="405" customFormat="1">
      <c r="A22" s="433"/>
      <c r="B22" s="292"/>
      <c r="C22" s="450"/>
      <c r="D22" s="450"/>
      <c r="E22" s="942" t="s">
        <v>1386</v>
      </c>
      <c r="F22" s="462" t="s">
        <v>643</v>
      </c>
      <c r="G22" s="628" t="s">
        <v>643</v>
      </c>
      <c r="H22" s="628" t="s">
        <v>643</v>
      </c>
      <c r="I22" s="992" t="s">
        <v>643</v>
      </c>
      <c r="J22" s="992" t="s">
        <v>643</v>
      </c>
      <c r="K22" s="450"/>
    </row>
    <row r="23" spans="1:11" s="405" customFormat="1" ht="25.5" customHeight="1">
      <c r="A23" s="433"/>
      <c r="B23" s="292"/>
      <c r="C23" s="941" t="s">
        <v>350</v>
      </c>
      <c r="D23" s="1420" t="s">
        <v>1236</v>
      </c>
      <c r="E23" s="1421"/>
      <c r="F23" s="20">
        <f>SUM(F24:F28)</f>
        <v>262</v>
      </c>
      <c r="G23" s="118">
        <f>SUM(G24:G28)</f>
        <v>276</v>
      </c>
      <c r="H23" s="44">
        <f>SUM(H24:H28)</f>
        <v>318</v>
      </c>
      <c r="I23" s="44">
        <f>SUM(I24:I28)</f>
        <v>340</v>
      </c>
      <c r="J23" s="44">
        <f>SUM(J24:J28)</f>
        <v>405</v>
      </c>
      <c r="K23" s="450"/>
    </row>
    <row r="24" spans="1:11" s="405" customFormat="1">
      <c r="A24" s="433"/>
      <c r="B24" s="292"/>
      <c r="C24" s="450"/>
      <c r="D24" s="450"/>
      <c r="E24" s="942" t="s">
        <v>1495</v>
      </c>
      <c r="F24" s="462">
        <v>248</v>
      </c>
      <c r="G24" s="628">
        <v>261</v>
      </c>
      <c r="H24" s="628">
        <v>298</v>
      </c>
      <c r="I24" s="628">
        <v>320</v>
      </c>
      <c r="J24" s="628">
        <v>337</v>
      </c>
      <c r="K24" s="450"/>
    </row>
    <row r="25" spans="1:11" s="405" customFormat="1">
      <c r="A25" s="433"/>
      <c r="B25" s="292"/>
      <c r="C25" s="450"/>
      <c r="D25" s="450"/>
      <c r="E25" s="942" t="s">
        <v>1496</v>
      </c>
      <c r="F25" s="462">
        <v>5</v>
      </c>
      <c r="G25" s="628">
        <v>6</v>
      </c>
      <c r="H25" s="628">
        <v>6</v>
      </c>
      <c r="I25" s="628">
        <v>6</v>
      </c>
      <c r="J25" s="992">
        <v>52</v>
      </c>
      <c r="K25" s="450"/>
    </row>
    <row r="26" spans="1:11" s="405" customFormat="1">
      <c r="A26" s="433"/>
      <c r="B26" s="292"/>
      <c r="C26" s="450"/>
      <c r="D26" s="450"/>
      <c r="E26" s="942" t="s">
        <v>5</v>
      </c>
      <c r="F26" s="462">
        <v>4</v>
      </c>
      <c r="G26" s="628">
        <v>4</v>
      </c>
      <c r="H26" s="628">
        <v>4</v>
      </c>
      <c r="I26" s="628">
        <v>5</v>
      </c>
      <c r="J26" s="628">
        <v>7</v>
      </c>
      <c r="K26" s="450"/>
    </row>
    <row r="27" spans="1:11" s="405" customFormat="1">
      <c r="A27" s="433"/>
      <c r="B27" s="292"/>
      <c r="C27" s="450"/>
      <c r="D27" s="450"/>
      <c r="E27" s="942" t="s">
        <v>1386</v>
      </c>
      <c r="F27" s="462" t="s">
        <v>643</v>
      </c>
      <c r="G27" s="628" t="s">
        <v>643</v>
      </c>
      <c r="H27" s="628" t="s">
        <v>643</v>
      </c>
      <c r="I27" s="992" t="s">
        <v>643</v>
      </c>
      <c r="J27" s="1072" t="s">
        <v>643</v>
      </c>
      <c r="K27" s="450"/>
    </row>
    <row r="28" spans="1:11" s="405" customFormat="1">
      <c r="A28" s="433"/>
      <c r="B28" s="292"/>
      <c r="C28" s="450"/>
      <c r="D28" s="450"/>
      <c r="E28" s="942" t="s">
        <v>932</v>
      </c>
      <c r="F28" s="462">
        <v>5</v>
      </c>
      <c r="G28" s="628">
        <v>5</v>
      </c>
      <c r="H28" s="628">
        <v>10</v>
      </c>
      <c r="I28" s="628">
        <v>9</v>
      </c>
      <c r="J28" s="628">
        <v>9</v>
      </c>
      <c r="K28" s="450"/>
    </row>
    <row r="29" spans="1:11" s="405" customFormat="1">
      <c r="A29" s="433"/>
      <c r="B29" s="945">
        <v>2</v>
      </c>
      <c r="C29" s="734" t="s">
        <v>1638</v>
      </c>
      <c r="D29" s="734"/>
      <c r="E29" s="946"/>
      <c r="F29" s="185">
        <v>19</v>
      </c>
      <c r="G29" s="137">
        <v>19</v>
      </c>
      <c r="H29" s="79">
        <v>19</v>
      </c>
      <c r="I29" s="79">
        <v>19</v>
      </c>
      <c r="J29" s="79">
        <v>18</v>
      </c>
      <c r="K29" s="450"/>
    </row>
    <row r="30" spans="1:11" s="405" customFormat="1" ht="25.5" customHeight="1">
      <c r="A30" s="433"/>
      <c r="B30" s="947">
        <v>3</v>
      </c>
      <c r="C30" s="1420" t="s">
        <v>712</v>
      </c>
      <c r="D30" s="1422"/>
      <c r="E30" s="1423"/>
      <c r="F30" s="185">
        <v>1</v>
      </c>
      <c r="G30" s="137">
        <v>1</v>
      </c>
      <c r="H30" s="79">
        <v>1</v>
      </c>
      <c r="I30" s="79">
        <v>1</v>
      </c>
      <c r="J30" s="79">
        <v>1</v>
      </c>
      <c r="K30" s="450"/>
    </row>
    <row r="31" spans="1:11" s="405" customFormat="1">
      <c r="A31" s="433"/>
      <c r="B31" s="948">
        <v>4</v>
      </c>
      <c r="C31" s="1426" t="s">
        <v>157</v>
      </c>
      <c r="D31" s="1426"/>
      <c r="E31" s="1427"/>
      <c r="F31" s="342">
        <v>7</v>
      </c>
      <c r="G31" s="168">
        <v>6</v>
      </c>
      <c r="H31" s="875">
        <v>6</v>
      </c>
      <c r="I31" s="875">
        <v>6</v>
      </c>
      <c r="J31" s="875">
        <v>6</v>
      </c>
      <c r="K31" s="450"/>
    </row>
    <row r="32" spans="1:11">
      <c r="A32" s="433"/>
      <c r="B32" s="949"/>
      <c r="C32" s="949"/>
      <c r="D32" s="949"/>
      <c r="E32" s="282"/>
      <c r="F32" s="950" t="s">
        <v>324</v>
      </c>
      <c r="G32" s="949" t="s">
        <v>6</v>
      </c>
      <c r="H32" s="949"/>
      <c r="I32" s="949"/>
      <c r="J32" s="949"/>
      <c r="K32" s="428"/>
    </row>
    <row r="33" spans="1:10">
      <c r="A33" s="435"/>
      <c r="B33" s="949"/>
      <c r="C33" s="949"/>
      <c r="D33" s="949"/>
      <c r="F33" s="949"/>
      <c r="G33" s="949" t="s">
        <v>7</v>
      </c>
      <c r="H33" s="949"/>
      <c r="I33" s="949"/>
      <c r="J33" s="949"/>
    </row>
    <row r="34" spans="1:10">
      <c r="A34" s="435"/>
      <c r="B34" s="949"/>
      <c r="C34" s="949"/>
      <c r="D34" s="949"/>
      <c r="E34" s="949"/>
      <c r="F34" s="949"/>
      <c r="G34" s="1419" t="s">
        <v>8</v>
      </c>
      <c r="H34" s="1419"/>
      <c r="I34" s="1419"/>
      <c r="J34" s="1419"/>
    </row>
    <row r="35" spans="1:10">
      <c r="A35" s="435"/>
      <c r="B35" s="949"/>
      <c r="C35" s="949"/>
      <c r="D35" s="949"/>
      <c r="E35" s="949"/>
      <c r="F35" s="949"/>
      <c r="G35" s="951" t="s">
        <v>9</v>
      </c>
      <c r="H35" s="951"/>
      <c r="I35" s="951"/>
      <c r="J35" s="951"/>
    </row>
    <row r="36" spans="1:10">
      <c r="A36" s="435"/>
      <c r="B36" s="949"/>
      <c r="C36" s="949"/>
      <c r="D36" s="949"/>
      <c r="E36" s="949"/>
      <c r="F36" s="949"/>
      <c r="G36" s="949" t="s">
        <v>1497</v>
      </c>
      <c r="H36" s="949"/>
      <c r="I36" s="949"/>
      <c r="J36" s="949"/>
    </row>
    <row r="37" spans="1:10">
      <c r="A37" s="435"/>
      <c r="B37" s="949"/>
      <c r="C37" s="949"/>
      <c r="D37" s="949"/>
      <c r="E37" s="949"/>
      <c r="F37" s="949"/>
      <c r="G37" s="949" t="s">
        <v>352</v>
      </c>
      <c r="H37" s="949"/>
      <c r="I37" s="949"/>
      <c r="J37" s="949"/>
    </row>
    <row r="38" spans="1:10">
      <c r="A38" s="435"/>
      <c r="B38" s="949"/>
      <c r="C38" s="949"/>
      <c r="D38" s="949"/>
      <c r="E38" s="949"/>
      <c r="F38" s="949"/>
      <c r="G38" s="949" t="s">
        <v>1498</v>
      </c>
      <c r="H38" s="949"/>
      <c r="I38" s="949"/>
      <c r="J38" s="949"/>
    </row>
    <row r="39" spans="1:10">
      <c r="B39" s="894"/>
      <c r="C39" s="894"/>
      <c r="D39" s="894"/>
      <c r="E39" s="894"/>
      <c r="F39" s="894"/>
      <c r="G39" s="894"/>
      <c r="H39" s="894"/>
      <c r="I39" s="894"/>
      <c r="J39" s="894"/>
    </row>
    <row r="40" spans="1:10">
      <c r="B40" s="894"/>
      <c r="C40" s="894"/>
      <c r="D40" s="894"/>
      <c r="E40" s="894"/>
      <c r="F40" s="894"/>
      <c r="G40" s="894"/>
      <c r="H40" s="894"/>
      <c r="I40" s="894"/>
      <c r="J40" s="894"/>
    </row>
    <row r="41" spans="1:10">
      <c r="B41" s="894"/>
      <c r="C41" s="894"/>
      <c r="D41" s="894"/>
      <c r="E41" s="894"/>
      <c r="F41" s="894"/>
      <c r="G41" s="894"/>
      <c r="H41" s="894"/>
      <c r="I41" s="894"/>
      <c r="J41" s="894"/>
    </row>
    <row r="42" spans="1:10">
      <c r="B42" s="894"/>
      <c r="C42" s="894"/>
      <c r="D42" s="894"/>
      <c r="E42" s="894"/>
      <c r="F42" s="894"/>
      <c r="G42" s="894"/>
      <c r="H42" s="894"/>
      <c r="I42" s="894"/>
      <c r="J42" s="894"/>
    </row>
    <row r="43" spans="1:10">
      <c r="B43" s="894"/>
      <c r="C43" s="894"/>
      <c r="D43" s="894"/>
      <c r="E43" s="894"/>
      <c r="F43" s="894"/>
      <c r="G43" s="894"/>
      <c r="H43" s="894"/>
      <c r="I43" s="894"/>
      <c r="J43" s="894"/>
    </row>
    <row r="44" spans="1:10">
      <c r="B44" s="894"/>
      <c r="C44" s="894"/>
      <c r="D44" s="894"/>
      <c r="E44" s="894"/>
      <c r="F44" s="894"/>
      <c r="G44" s="894"/>
      <c r="H44" s="894"/>
      <c r="I44" s="894"/>
      <c r="J44" s="894"/>
    </row>
  </sheetData>
  <mergeCells count="13">
    <mergeCell ref="B1:J1"/>
    <mergeCell ref="C7:E7"/>
    <mergeCell ref="C31:E31"/>
    <mergeCell ref="B2:J2"/>
    <mergeCell ref="B6:E6"/>
    <mergeCell ref="B4:E5"/>
    <mergeCell ref="F4:J4"/>
    <mergeCell ref="D8:E8"/>
    <mergeCell ref="G34:J34"/>
    <mergeCell ref="D13:E13"/>
    <mergeCell ref="D18:E18"/>
    <mergeCell ref="D23:E23"/>
    <mergeCell ref="C30:E30"/>
  </mergeCells>
  <phoneticPr fontId="0" type="noConversion"/>
  <pageMargins left="0.1" right="0.1" top="0.44" bottom="0.22" header="0.32" footer="0.14000000000000001"/>
  <pageSetup paperSize="9" orientation="landscape" blackAndWhite="1" r:id="rId1"/>
  <headerFooter alignWithMargins="0"/>
</worksheet>
</file>

<file path=xl/worksheets/sheet3.xml><?xml version="1.0" encoding="utf-8"?>
<worksheet xmlns="http://schemas.openxmlformats.org/spreadsheetml/2006/main" xmlns:r="http://schemas.openxmlformats.org/officeDocument/2006/relationships">
  <dimension ref="A3:J41"/>
  <sheetViews>
    <sheetView showGridLines="0" workbookViewId="0">
      <selection activeCell="A40" sqref="A40:C40"/>
    </sheetView>
  </sheetViews>
  <sheetFormatPr defaultRowHeight="12.75"/>
  <sheetData>
    <row r="3" spans="1:10">
      <c r="J3" s="17"/>
    </row>
    <row r="4" spans="1:10">
      <c r="J4" s="17"/>
    </row>
    <row r="5" spans="1:10" ht="35.25">
      <c r="A5" s="1232" t="s">
        <v>289</v>
      </c>
      <c r="B5" s="1232"/>
      <c r="C5" s="1232"/>
      <c r="D5" s="1232"/>
      <c r="E5" s="1232"/>
      <c r="F5" s="1232"/>
      <c r="G5" s="1232"/>
      <c r="H5" s="1232"/>
      <c r="I5" s="86"/>
      <c r="J5" s="17"/>
    </row>
    <row r="6" spans="1:10">
      <c r="J6" s="17"/>
    </row>
    <row r="7" spans="1:10">
      <c r="J7" s="17"/>
    </row>
    <row r="8" spans="1:10">
      <c r="J8" s="17"/>
    </row>
    <row r="9" spans="1:10" ht="18.75">
      <c r="A9" s="1234" t="s">
        <v>911</v>
      </c>
      <c r="B9" s="1235"/>
      <c r="C9" s="1235"/>
      <c r="D9" s="1235"/>
      <c r="E9" s="1235"/>
      <c r="F9" s="1235"/>
      <c r="G9" s="1235"/>
      <c r="H9" s="1235"/>
      <c r="I9" s="87"/>
      <c r="J9" s="17"/>
    </row>
    <row r="10" spans="1:10" ht="18.75">
      <c r="A10" s="1235"/>
      <c r="B10" s="1235"/>
      <c r="C10" s="1235"/>
      <c r="D10" s="1235"/>
      <c r="E10" s="1235"/>
      <c r="F10" s="1235"/>
      <c r="G10" s="1235"/>
      <c r="H10" s="1235"/>
      <c r="I10" s="87"/>
      <c r="J10" s="17"/>
    </row>
    <row r="11" spans="1:10" ht="18.75">
      <c r="A11" s="1235"/>
      <c r="B11" s="1235"/>
      <c r="C11" s="1235"/>
      <c r="D11" s="1235"/>
      <c r="E11" s="1235"/>
      <c r="F11" s="1235"/>
      <c r="G11" s="1235"/>
      <c r="H11" s="1235"/>
      <c r="I11" s="87"/>
    </row>
    <row r="12" spans="1:10" ht="18.75">
      <c r="A12" s="1235"/>
      <c r="B12" s="1235"/>
      <c r="C12" s="1235"/>
      <c r="D12" s="1235"/>
      <c r="E12" s="1235"/>
      <c r="F12" s="1235"/>
      <c r="G12" s="1235"/>
      <c r="H12" s="1235"/>
      <c r="I12" s="87"/>
    </row>
    <row r="13" spans="1:10" ht="18.75">
      <c r="A13" s="1235"/>
      <c r="B13" s="1235"/>
      <c r="C13" s="1235"/>
      <c r="D13" s="1235"/>
      <c r="E13" s="1235"/>
      <c r="F13" s="1235"/>
      <c r="G13" s="1235"/>
      <c r="H13" s="1235"/>
      <c r="I13" s="87"/>
    </row>
    <row r="14" spans="1:10">
      <c r="A14" s="1235"/>
      <c r="B14" s="1235"/>
      <c r="C14" s="1235"/>
      <c r="D14" s="1235"/>
      <c r="E14" s="1235"/>
      <c r="F14" s="1235"/>
      <c r="G14" s="1235"/>
      <c r="H14" s="1235"/>
      <c r="I14" s="88"/>
    </row>
    <row r="15" spans="1:10">
      <c r="A15" s="1235"/>
      <c r="B15" s="1235"/>
      <c r="C15" s="1235"/>
      <c r="D15" s="1235"/>
      <c r="E15" s="1235"/>
      <c r="F15" s="1235"/>
      <c r="G15" s="1235"/>
      <c r="H15" s="1235"/>
      <c r="I15" s="88"/>
    </row>
    <row r="16" spans="1:10">
      <c r="A16" s="1235"/>
      <c r="B16" s="1235"/>
      <c r="C16" s="1235"/>
      <c r="D16" s="1235"/>
      <c r="E16" s="1235"/>
      <c r="F16" s="1235"/>
      <c r="G16" s="1235"/>
      <c r="H16" s="1235"/>
    </row>
    <row r="17" spans="1:9">
      <c r="A17" s="1235"/>
      <c r="B17" s="1235"/>
      <c r="C17" s="1235"/>
      <c r="D17" s="1235"/>
      <c r="E17" s="1235"/>
      <c r="F17" s="1235"/>
      <c r="G17" s="1235"/>
      <c r="H17" s="1235"/>
    </row>
    <row r="18" spans="1:9" ht="14.1" customHeight="1">
      <c r="A18" s="1235"/>
      <c r="B18" s="1235"/>
      <c r="C18" s="1235"/>
      <c r="D18" s="1235"/>
      <c r="E18" s="1235"/>
      <c r="F18" s="1235"/>
      <c r="G18" s="1235"/>
      <c r="H18" s="1235"/>
      <c r="I18" s="87"/>
    </row>
    <row r="19" spans="1:9" ht="18.75">
      <c r="A19" s="1235"/>
      <c r="B19" s="1235"/>
      <c r="C19" s="1235"/>
      <c r="D19" s="1235"/>
      <c r="E19" s="1235"/>
      <c r="F19" s="1235"/>
      <c r="G19" s="1235"/>
      <c r="H19" s="1235"/>
      <c r="I19" s="87"/>
    </row>
    <row r="20" spans="1:9" ht="18.75">
      <c r="A20" s="1235"/>
      <c r="B20" s="1235"/>
      <c r="C20" s="1235"/>
      <c r="D20" s="1235"/>
      <c r="E20" s="1235"/>
      <c r="F20" s="1235"/>
      <c r="G20" s="1235"/>
      <c r="H20" s="1235"/>
      <c r="I20" s="87"/>
    </row>
    <row r="21" spans="1:9" ht="18.75">
      <c r="A21" s="1235"/>
      <c r="B21" s="1235"/>
      <c r="C21" s="1235"/>
      <c r="D21" s="1235"/>
      <c r="E21" s="1235"/>
      <c r="F21" s="1235"/>
      <c r="G21" s="1235"/>
      <c r="H21" s="1235"/>
      <c r="I21" s="87"/>
    </row>
    <row r="22" spans="1:9" ht="18.75">
      <c r="A22" s="1235"/>
      <c r="B22" s="1235"/>
      <c r="C22" s="1235"/>
      <c r="D22" s="1235"/>
      <c r="E22" s="1235"/>
      <c r="F22" s="1235"/>
      <c r="G22" s="1235"/>
      <c r="H22" s="1235"/>
      <c r="I22" s="87"/>
    </row>
    <row r="23" spans="1:9" ht="18.75">
      <c r="A23" s="1235"/>
      <c r="B23" s="1235"/>
      <c r="C23" s="1235"/>
      <c r="D23" s="1235"/>
      <c r="E23" s="1235"/>
      <c r="F23" s="1235"/>
      <c r="G23" s="1235"/>
      <c r="H23" s="1235"/>
      <c r="I23" s="87"/>
    </row>
    <row r="24" spans="1:9" ht="18.75">
      <c r="A24" s="1235"/>
      <c r="B24" s="1235"/>
      <c r="C24" s="1235"/>
      <c r="D24" s="1235"/>
      <c r="E24" s="1235"/>
      <c r="F24" s="1235"/>
      <c r="G24" s="1235"/>
      <c r="H24" s="1235"/>
      <c r="I24" s="89"/>
    </row>
    <row r="25" spans="1:9" ht="18.75">
      <c r="A25" s="1235"/>
      <c r="B25" s="1235"/>
      <c r="C25" s="1235"/>
      <c r="D25" s="1235"/>
      <c r="E25" s="1235"/>
      <c r="F25" s="1235"/>
      <c r="G25" s="1235"/>
      <c r="H25" s="1235"/>
      <c r="I25" s="89"/>
    </row>
    <row r="26" spans="1:9" ht="30" customHeight="1">
      <c r="A26" s="1235"/>
      <c r="B26" s="1235"/>
      <c r="C26" s="1235"/>
      <c r="D26" s="1235"/>
      <c r="E26" s="1235"/>
      <c r="F26" s="1235"/>
      <c r="G26" s="1235"/>
      <c r="H26" s="1235"/>
      <c r="I26" s="89"/>
    </row>
    <row r="27" spans="1:9" ht="18.75">
      <c r="A27" s="1235"/>
      <c r="B27" s="1235"/>
      <c r="C27" s="1235"/>
      <c r="D27" s="1235"/>
      <c r="E27" s="1235"/>
      <c r="F27" s="1235"/>
      <c r="G27" s="1235"/>
      <c r="H27" s="1235"/>
      <c r="I27" s="89"/>
    </row>
    <row r="28" spans="1:9">
      <c r="A28" s="1236"/>
      <c r="B28" s="1236"/>
      <c r="C28" s="1236"/>
      <c r="D28" s="1236"/>
      <c r="E28" s="1236"/>
      <c r="F28" s="1236"/>
      <c r="G28" s="1236"/>
      <c r="H28" s="1236"/>
    </row>
    <row r="29" spans="1:9">
      <c r="A29" s="1236"/>
      <c r="B29" s="1236"/>
      <c r="C29" s="1236"/>
      <c r="D29" s="1236"/>
      <c r="E29" s="1236"/>
      <c r="F29" s="1236"/>
      <c r="G29" s="1236"/>
      <c r="H29" s="1236"/>
    </row>
    <row r="30" spans="1:9">
      <c r="A30" s="1237"/>
      <c r="B30" s="1237"/>
      <c r="C30" s="1237"/>
      <c r="D30" s="1237"/>
      <c r="E30" s="1237"/>
      <c r="F30" s="1237"/>
      <c r="G30" s="1237"/>
      <c r="H30" s="1237"/>
    </row>
    <row r="31" spans="1:9">
      <c r="A31" s="1237"/>
      <c r="B31" s="1237"/>
      <c r="C31" s="1237"/>
      <c r="D31" s="1237"/>
      <c r="E31" s="1237"/>
      <c r="F31" s="1237"/>
      <c r="G31" s="1237"/>
      <c r="H31" s="1237"/>
    </row>
    <row r="32" spans="1:9">
      <c r="A32" s="1237"/>
      <c r="B32" s="1237"/>
      <c r="C32" s="1237"/>
      <c r="D32" s="1237"/>
      <c r="E32" s="1237"/>
      <c r="F32" s="1237"/>
      <c r="G32" s="1237"/>
      <c r="H32" s="1237"/>
    </row>
    <row r="33" spans="1:9">
      <c r="A33" s="1237"/>
      <c r="B33" s="1237"/>
      <c r="C33" s="1237"/>
      <c r="D33" s="1237"/>
      <c r="E33" s="1237"/>
      <c r="F33" s="1237"/>
      <c r="G33" s="1237"/>
      <c r="H33" s="1237"/>
    </row>
    <row r="34" spans="1:9">
      <c r="A34" s="1237"/>
      <c r="B34" s="1237"/>
      <c r="C34" s="1237"/>
      <c r="D34" s="1237"/>
      <c r="E34" s="1237"/>
      <c r="F34" s="1237"/>
      <c r="G34" s="1237"/>
      <c r="H34" s="1237"/>
    </row>
    <row r="36" spans="1:9">
      <c r="D36" s="1233"/>
      <c r="E36" s="1233"/>
      <c r="F36" s="1233"/>
      <c r="G36" s="1233"/>
      <c r="H36" s="1233"/>
      <c r="I36" s="91"/>
    </row>
    <row r="37" spans="1:9">
      <c r="D37" s="91"/>
      <c r="E37" s="91"/>
      <c r="F37" s="91"/>
      <c r="G37" s="91"/>
      <c r="H37" s="91"/>
      <c r="I37" s="91"/>
    </row>
    <row r="38" spans="1:9" ht="15.75">
      <c r="A38" s="323"/>
      <c r="B38" s="323"/>
      <c r="C38" s="323"/>
      <c r="D38" s="1224"/>
      <c r="E38" s="1224"/>
      <c r="F38" s="1224"/>
      <c r="G38" s="1224"/>
      <c r="H38" s="1224"/>
      <c r="I38" s="90"/>
    </row>
    <row r="39" spans="1:9" ht="15.75">
      <c r="A39" s="1238" t="s">
        <v>290</v>
      </c>
      <c r="B39" s="1238"/>
      <c r="C39" s="323"/>
      <c r="D39" s="1224" t="s">
        <v>33</v>
      </c>
      <c r="E39" s="1224"/>
      <c r="F39" s="1224"/>
      <c r="G39" s="1224"/>
      <c r="H39" s="1224"/>
      <c r="I39" s="90"/>
    </row>
    <row r="40" spans="1:9" ht="15.75">
      <c r="A40" s="1238" t="s">
        <v>1712</v>
      </c>
      <c r="B40" s="1238"/>
      <c r="C40" s="1238"/>
      <c r="D40" s="1224" t="s">
        <v>291</v>
      </c>
      <c r="E40" s="1224"/>
      <c r="F40" s="1224"/>
      <c r="G40" s="1224"/>
      <c r="H40" s="1224"/>
      <c r="I40" s="90"/>
    </row>
    <row r="41" spans="1:9" ht="15.75">
      <c r="A41" s="323"/>
      <c r="B41" s="323"/>
      <c r="C41" s="323"/>
      <c r="D41" s="1224" t="s">
        <v>292</v>
      </c>
      <c r="E41" s="1224"/>
      <c r="F41" s="1224"/>
      <c r="G41" s="1224"/>
      <c r="H41" s="1224"/>
      <c r="I41" s="90"/>
    </row>
  </sheetData>
  <mergeCells count="9">
    <mergeCell ref="A5:H5"/>
    <mergeCell ref="D38:H38"/>
    <mergeCell ref="D36:H36"/>
    <mergeCell ref="A9:H34"/>
    <mergeCell ref="D41:H41"/>
    <mergeCell ref="A39:B39"/>
    <mergeCell ref="D39:H39"/>
    <mergeCell ref="D40:H40"/>
    <mergeCell ref="A40:C40"/>
  </mergeCells>
  <phoneticPr fontId="0" type="noConversion"/>
  <pageMargins left="1.35" right="0.81" top="1" bottom="1" header="0.5" footer="0.5"/>
  <pageSetup paperSize="9" orientation="portrait" blackAndWhite="1" horizontalDpi="4294967295" r:id="rId1"/>
  <headerFooter alignWithMargins="0"/>
</worksheet>
</file>

<file path=xl/worksheets/sheet30.xml><?xml version="1.0" encoding="utf-8"?>
<worksheet xmlns="http://schemas.openxmlformats.org/spreadsheetml/2006/main" xmlns:r="http://schemas.openxmlformats.org/officeDocument/2006/relationships">
  <sheetPr codeName="Sheet27"/>
  <dimension ref="B1:L42"/>
  <sheetViews>
    <sheetView workbookViewId="0">
      <selection activeCell="I31" sqref="I31"/>
    </sheetView>
  </sheetViews>
  <sheetFormatPr defaultRowHeight="12.75"/>
  <cols>
    <col min="1" max="1" width="9.28515625" style="405" customWidth="1"/>
    <col min="2" max="2" width="2.140625" style="405" customWidth="1"/>
    <col min="3" max="3" width="3.140625" style="405" customWidth="1"/>
    <col min="4" max="4" width="1" style="405" customWidth="1"/>
    <col min="5" max="5" width="56" style="405" customWidth="1"/>
    <col min="6" max="10" width="13.5703125" style="405" customWidth="1"/>
    <col min="11" max="16384" width="9.140625" style="405"/>
  </cols>
  <sheetData>
    <row r="1" spans="2:11" ht="12.75" customHeight="1">
      <c r="B1" s="765"/>
      <c r="C1" s="1435" t="s">
        <v>440</v>
      </c>
      <c r="D1" s="1435"/>
      <c r="E1" s="1435"/>
      <c r="F1" s="1435"/>
      <c r="G1" s="1435"/>
      <c r="H1" s="1435"/>
      <c r="I1" s="1435"/>
      <c r="J1" s="1435"/>
    </row>
    <row r="2" spans="2:11" s="412" customFormat="1" ht="16.5">
      <c r="B2" s="1350" t="str">
        <f>CONCATENATE("Professional &amp; Technical Educational Institutions by type in the district of ",District!A1)</f>
        <v>Professional &amp; Technical Educational Institutions by type in the district of Nadia</v>
      </c>
      <c r="C2" s="1350"/>
      <c r="D2" s="1350"/>
      <c r="E2" s="1350"/>
      <c r="F2" s="1350"/>
      <c r="G2" s="1350"/>
      <c r="H2" s="1350"/>
      <c r="I2" s="1350"/>
      <c r="J2" s="1350"/>
    </row>
    <row r="3" spans="2:11" ht="11.25" customHeight="1">
      <c r="B3" s="412"/>
      <c r="C3" s="412"/>
      <c r="D3" s="412"/>
      <c r="E3" s="412"/>
      <c r="F3" s="412"/>
      <c r="G3" s="412"/>
      <c r="H3" s="412"/>
      <c r="I3" s="412"/>
      <c r="J3" s="429" t="s">
        <v>223</v>
      </c>
    </row>
    <row r="4" spans="2:11" s="5" customFormat="1" ht="12.75" customHeight="1">
      <c r="B4" s="1268" t="s">
        <v>1092</v>
      </c>
      <c r="C4" s="1265"/>
      <c r="D4" s="1265"/>
      <c r="E4" s="1266"/>
      <c r="F4" s="1314" t="s">
        <v>107</v>
      </c>
      <c r="G4" s="1312"/>
      <c r="H4" s="1312"/>
      <c r="I4" s="1312"/>
      <c r="J4" s="1313"/>
    </row>
    <row r="5" spans="2:11" s="5" customFormat="1" ht="12.75" customHeight="1">
      <c r="B5" s="1399"/>
      <c r="C5" s="1290"/>
      <c r="D5" s="1290"/>
      <c r="E5" s="1325"/>
      <c r="F5" s="698" t="str">
        <f>District!C8</f>
        <v>2009-10</v>
      </c>
      <c r="G5" s="698" t="str">
        <f>District!D8</f>
        <v>2010-11</v>
      </c>
      <c r="H5" s="698" t="str">
        <f>District!E8</f>
        <v>2011-12</v>
      </c>
      <c r="I5" s="698" t="str">
        <f>District!F8</f>
        <v>2012-13</v>
      </c>
      <c r="J5" s="698" t="str">
        <f>District!G8</f>
        <v>2013-14</v>
      </c>
    </row>
    <row r="6" spans="2:11" ht="12.75" customHeight="1">
      <c r="B6" s="1436" t="s">
        <v>163</v>
      </c>
      <c r="C6" s="1437"/>
      <c r="D6" s="1437"/>
      <c r="E6" s="1438"/>
      <c r="F6" s="954" t="s">
        <v>164</v>
      </c>
      <c r="G6" s="952" t="s">
        <v>165</v>
      </c>
      <c r="H6" s="954" t="s">
        <v>166</v>
      </c>
      <c r="I6" s="953" t="s">
        <v>167</v>
      </c>
      <c r="J6" s="953" t="s">
        <v>168</v>
      </c>
    </row>
    <row r="7" spans="2:11" s="6" customFormat="1" ht="12.75" customHeight="1">
      <c r="B7" s="955">
        <v>1</v>
      </c>
      <c r="C7" s="1439" t="s">
        <v>1181</v>
      </c>
      <c r="D7" s="1439"/>
      <c r="E7" s="1440"/>
      <c r="F7" s="118">
        <f>SUM(F8,F13,F16)</f>
        <v>176</v>
      </c>
      <c r="G7" s="118">
        <f>SUM(G8,G13,G16)</f>
        <v>176</v>
      </c>
      <c r="H7" s="118">
        <f>SUM(H8,H13,H16)</f>
        <v>176</v>
      </c>
      <c r="I7" s="118">
        <f>SUM(I8,I13,I16)</f>
        <v>186</v>
      </c>
      <c r="J7" s="118">
        <f>SUM(J8,J13,J16)</f>
        <v>29</v>
      </c>
      <c r="K7" s="427"/>
    </row>
    <row r="8" spans="2:11" ht="12.75" customHeight="1">
      <c r="B8" s="629"/>
      <c r="C8" s="956" t="s">
        <v>349</v>
      </c>
      <c r="D8" s="1431" t="s">
        <v>189</v>
      </c>
      <c r="E8" s="1432"/>
      <c r="F8" s="118">
        <f>SUM(F9:F12)</f>
        <v>6</v>
      </c>
      <c r="G8" s="118">
        <f>SUM(G9:G12)</f>
        <v>6</v>
      </c>
      <c r="H8" s="118">
        <f>SUM(H9:H12)</f>
        <v>7</v>
      </c>
      <c r="I8" s="118">
        <f>SUM(I9:I12)</f>
        <v>7</v>
      </c>
      <c r="J8" s="118">
        <f>SUM(J9:J12)</f>
        <v>7</v>
      </c>
    </row>
    <row r="9" spans="2:11" ht="12.75" customHeight="1">
      <c r="B9" s="629"/>
      <c r="C9" s="957"/>
      <c r="D9" s="957"/>
      <c r="E9" s="958" t="s">
        <v>353</v>
      </c>
      <c r="F9" s="462">
        <v>1</v>
      </c>
      <c r="G9" s="628">
        <v>1</v>
      </c>
      <c r="H9" s="628">
        <v>1</v>
      </c>
      <c r="I9" s="628">
        <v>1</v>
      </c>
      <c r="J9" s="1072" t="s">
        <v>643</v>
      </c>
    </row>
    <row r="10" spans="2:11" ht="12.75" customHeight="1">
      <c r="B10" s="629"/>
      <c r="C10" s="957"/>
      <c r="D10" s="957"/>
      <c r="E10" s="958" t="s">
        <v>29</v>
      </c>
      <c r="F10" s="943" t="s">
        <v>643</v>
      </c>
      <c r="G10" s="628" t="s">
        <v>643</v>
      </c>
      <c r="H10" s="628" t="s">
        <v>643</v>
      </c>
      <c r="I10" s="992" t="s">
        <v>643</v>
      </c>
      <c r="J10" s="992" t="s">
        <v>643</v>
      </c>
    </row>
    <row r="11" spans="2:11" ht="12.75" customHeight="1">
      <c r="B11" s="629"/>
      <c r="C11" s="957"/>
      <c r="D11" s="957"/>
      <c r="E11" s="958" t="s">
        <v>1501</v>
      </c>
      <c r="F11" s="462">
        <v>3</v>
      </c>
      <c r="G11" s="628">
        <v>3</v>
      </c>
      <c r="H11" s="628">
        <v>3</v>
      </c>
      <c r="I11" s="628">
        <v>4</v>
      </c>
      <c r="J11" s="628">
        <v>7</v>
      </c>
    </row>
    <row r="12" spans="2:11" ht="12.75" customHeight="1">
      <c r="B12" s="629"/>
      <c r="C12" s="957"/>
      <c r="D12" s="957"/>
      <c r="E12" s="958" t="s">
        <v>1502</v>
      </c>
      <c r="F12" s="293">
        <v>2</v>
      </c>
      <c r="G12" s="164">
        <v>2</v>
      </c>
      <c r="H12" s="164">
        <v>3</v>
      </c>
      <c r="I12" s="164">
        <v>2</v>
      </c>
      <c r="J12" s="294" t="s">
        <v>643</v>
      </c>
    </row>
    <row r="13" spans="2:11" ht="12.75" customHeight="1">
      <c r="B13" s="629"/>
      <c r="C13" s="956" t="s">
        <v>347</v>
      </c>
      <c r="D13" s="1431" t="s">
        <v>354</v>
      </c>
      <c r="E13" s="1432"/>
      <c r="F13" s="118">
        <f>SUM(F14:F15)</f>
        <v>10</v>
      </c>
      <c r="G13" s="118">
        <f>SUM(G14:G15)</f>
        <v>10</v>
      </c>
      <c r="H13" s="118">
        <f>SUM(H14:H15)</f>
        <v>9</v>
      </c>
      <c r="I13" s="118">
        <f>SUM(I14:I15)</f>
        <v>21</v>
      </c>
      <c r="J13" s="118">
        <v>22</v>
      </c>
    </row>
    <row r="14" spans="2:11" ht="12.75" customHeight="1">
      <c r="B14" s="629"/>
      <c r="C14" s="957"/>
      <c r="D14" s="957"/>
      <c r="E14" s="958" t="s">
        <v>1503</v>
      </c>
      <c r="F14" s="462">
        <v>8</v>
      </c>
      <c r="G14" s="628">
        <v>8</v>
      </c>
      <c r="H14" s="628">
        <v>7</v>
      </c>
      <c r="I14" s="628">
        <v>19</v>
      </c>
      <c r="J14" s="628">
        <v>19</v>
      </c>
    </row>
    <row r="15" spans="2:11" ht="12.75" customHeight="1">
      <c r="B15" s="629"/>
      <c r="C15" s="957"/>
      <c r="D15" s="957"/>
      <c r="E15" s="958" t="s">
        <v>355</v>
      </c>
      <c r="F15" s="462">
        <v>2</v>
      </c>
      <c r="G15" s="628">
        <v>2</v>
      </c>
      <c r="H15" s="628">
        <v>2</v>
      </c>
      <c r="I15" s="628">
        <v>2</v>
      </c>
      <c r="J15" s="628">
        <v>3</v>
      </c>
    </row>
    <row r="16" spans="2:11" ht="26.25" customHeight="1">
      <c r="B16" s="629"/>
      <c r="C16" s="959" t="s">
        <v>348</v>
      </c>
      <c r="D16" s="1431" t="s">
        <v>1504</v>
      </c>
      <c r="E16" s="1432"/>
      <c r="F16" s="137">
        <v>160</v>
      </c>
      <c r="G16" s="79">
        <v>160</v>
      </c>
      <c r="H16" s="79">
        <v>160</v>
      </c>
      <c r="I16" s="79">
        <v>158</v>
      </c>
      <c r="J16" s="79" t="s">
        <v>1170</v>
      </c>
    </row>
    <row r="17" spans="2:12" ht="12.75" customHeight="1">
      <c r="B17" s="720">
        <v>2</v>
      </c>
      <c r="C17" s="1431" t="s">
        <v>1182</v>
      </c>
      <c r="D17" s="1431"/>
      <c r="E17" s="1432"/>
      <c r="F17" s="118">
        <f>SUM(F18,F25,F28)</f>
        <v>20</v>
      </c>
      <c r="G17" s="118">
        <f>SUM(G18,G25,G28)</f>
        <v>21</v>
      </c>
      <c r="H17" s="118">
        <f>SUM(H18,H25,H28)</f>
        <v>22</v>
      </c>
      <c r="I17" s="118">
        <f>SUM(I18,I25,I28)</f>
        <v>30</v>
      </c>
      <c r="J17" s="118">
        <f>SUM(J18,J25,J28)</f>
        <v>32</v>
      </c>
    </row>
    <row r="18" spans="2:12" ht="12.75" customHeight="1">
      <c r="B18" s="629"/>
      <c r="C18" s="956" t="s">
        <v>349</v>
      </c>
      <c r="D18" s="1431" t="s">
        <v>188</v>
      </c>
      <c r="E18" s="1432"/>
      <c r="F18" s="118">
        <f>SUM(F19:F24)</f>
        <v>13</v>
      </c>
      <c r="G18" s="118">
        <f>SUM(G19:G24)</f>
        <v>14</v>
      </c>
      <c r="H18" s="118">
        <f>SUM(H19:H24)</f>
        <v>15</v>
      </c>
      <c r="I18" s="118">
        <f>SUM(I19:I24)</f>
        <v>17</v>
      </c>
      <c r="J18" s="118">
        <f>SUM(J19:J24)</f>
        <v>17</v>
      </c>
    </row>
    <row r="19" spans="2:12" ht="15" customHeight="1">
      <c r="B19" s="629"/>
      <c r="C19" s="957"/>
      <c r="D19" s="957"/>
      <c r="E19" s="958" t="s">
        <v>19</v>
      </c>
      <c r="F19" s="462" t="s">
        <v>643</v>
      </c>
      <c r="G19" s="628">
        <v>1</v>
      </c>
      <c r="H19" s="628">
        <v>1</v>
      </c>
      <c r="I19" s="628">
        <v>1</v>
      </c>
      <c r="J19" s="628">
        <v>1</v>
      </c>
    </row>
    <row r="20" spans="2:12" ht="12.75" customHeight="1">
      <c r="B20" s="629"/>
      <c r="C20" s="957"/>
      <c r="D20" s="957"/>
      <c r="E20" s="958" t="s">
        <v>20</v>
      </c>
      <c r="F20" s="462">
        <v>5</v>
      </c>
      <c r="G20" s="628">
        <v>5</v>
      </c>
      <c r="H20" s="628">
        <v>5</v>
      </c>
      <c r="I20" s="628">
        <v>5</v>
      </c>
      <c r="J20" s="628">
        <v>5</v>
      </c>
    </row>
    <row r="21" spans="2:12" ht="12.75" customHeight="1">
      <c r="B21" s="629"/>
      <c r="C21" s="957"/>
      <c r="D21" s="957"/>
      <c r="E21" s="958" t="s">
        <v>21</v>
      </c>
      <c r="F21" s="462">
        <v>5</v>
      </c>
      <c r="G21" s="628">
        <v>5</v>
      </c>
      <c r="H21" s="628">
        <v>6</v>
      </c>
      <c r="I21" s="628">
        <v>7</v>
      </c>
      <c r="J21" s="628">
        <v>7</v>
      </c>
    </row>
    <row r="22" spans="2:12" ht="12.75" customHeight="1">
      <c r="B22" s="629"/>
      <c r="C22" s="957"/>
      <c r="D22" s="957"/>
      <c r="E22" s="958" t="s">
        <v>22</v>
      </c>
      <c r="F22" s="462">
        <v>1</v>
      </c>
      <c r="G22" s="628">
        <v>1</v>
      </c>
      <c r="H22" s="628">
        <v>1</v>
      </c>
      <c r="I22" s="628">
        <v>2</v>
      </c>
      <c r="J22" s="628">
        <v>2</v>
      </c>
    </row>
    <row r="23" spans="2:12" ht="12.75" customHeight="1">
      <c r="B23" s="629"/>
      <c r="C23" s="957"/>
      <c r="D23" s="957"/>
      <c r="E23" s="958" t="s">
        <v>23</v>
      </c>
      <c r="F23" s="462">
        <v>2</v>
      </c>
      <c r="G23" s="628">
        <v>2</v>
      </c>
      <c r="H23" s="628">
        <v>2</v>
      </c>
      <c r="I23" s="628">
        <v>2</v>
      </c>
      <c r="J23" s="628">
        <v>2</v>
      </c>
    </row>
    <row r="24" spans="2:12" ht="28.5" customHeight="1">
      <c r="B24" s="629"/>
      <c r="C24" s="957"/>
      <c r="D24" s="957"/>
      <c r="E24" s="958" t="s">
        <v>187</v>
      </c>
      <c r="F24" s="462" t="s">
        <v>643</v>
      </c>
      <c r="G24" s="628" t="s">
        <v>643</v>
      </c>
      <c r="H24" s="628" t="s">
        <v>643</v>
      </c>
      <c r="I24" s="992" t="s">
        <v>643</v>
      </c>
      <c r="J24" s="992" t="s">
        <v>643</v>
      </c>
    </row>
    <row r="25" spans="2:12" ht="12.75" customHeight="1">
      <c r="B25" s="629"/>
      <c r="C25" s="956" t="s">
        <v>347</v>
      </c>
      <c r="D25" s="1431" t="s">
        <v>393</v>
      </c>
      <c r="E25" s="1432"/>
      <c r="F25" s="44">
        <f>SUM(F26:F27)</f>
        <v>5</v>
      </c>
      <c r="G25" s="44">
        <f>SUM(G26:G27)</f>
        <v>5</v>
      </c>
      <c r="H25" s="44">
        <f>SUM(H26:H27)</f>
        <v>5</v>
      </c>
      <c r="I25" s="44">
        <f>SUM(I26:I27)</f>
        <v>11</v>
      </c>
      <c r="J25" s="44">
        <f>SUM(J26:J27)</f>
        <v>13</v>
      </c>
    </row>
    <row r="26" spans="2:12" ht="12.75" customHeight="1">
      <c r="B26" s="629"/>
      <c r="C26" s="957"/>
      <c r="D26" s="957"/>
      <c r="E26" s="958" t="s">
        <v>25</v>
      </c>
      <c r="F26" s="462">
        <v>5</v>
      </c>
      <c r="G26" s="628">
        <v>5</v>
      </c>
      <c r="H26" s="628">
        <v>5</v>
      </c>
      <c r="I26" s="628">
        <v>11</v>
      </c>
      <c r="J26" s="628">
        <v>13</v>
      </c>
    </row>
    <row r="27" spans="2:12" ht="12.75" customHeight="1">
      <c r="B27" s="629"/>
      <c r="C27" s="957"/>
      <c r="D27" s="957"/>
      <c r="E27" s="958" t="s">
        <v>24</v>
      </c>
      <c r="F27" s="462" t="s">
        <v>643</v>
      </c>
      <c r="G27" s="628" t="s">
        <v>643</v>
      </c>
      <c r="H27" s="628" t="s">
        <v>643</v>
      </c>
      <c r="I27" s="992" t="s">
        <v>643</v>
      </c>
      <c r="J27" s="992" t="s">
        <v>643</v>
      </c>
    </row>
    <row r="28" spans="2:12" ht="12.75" customHeight="1">
      <c r="B28" s="629"/>
      <c r="C28" s="956" t="s">
        <v>348</v>
      </c>
      <c r="D28" s="1431" t="s">
        <v>190</v>
      </c>
      <c r="E28" s="1432"/>
      <c r="F28" s="118">
        <f>SUM(F29:F33)</f>
        <v>2</v>
      </c>
      <c r="G28" s="118">
        <f>SUM(G29:G33)</f>
        <v>2</v>
      </c>
      <c r="H28" s="118">
        <f>SUM(H29:H33)</f>
        <v>2</v>
      </c>
      <c r="I28" s="118">
        <f>SUM(I29:I33)</f>
        <v>2</v>
      </c>
      <c r="J28" s="118">
        <v>2</v>
      </c>
    </row>
    <row r="29" spans="2:12" ht="12.75" customHeight="1">
      <c r="B29" s="629"/>
      <c r="C29" s="957"/>
      <c r="D29" s="957"/>
      <c r="E29" s="958" t="s">
        <v>395</v>
      </c>
      <c r="F29" s="81">
        <v>2</v>
      </c>
      <c r="G29" s="46">
        <v>2</v>
      </c>
      <c r="H29" s="46">
        <v>2</v>
      </c>
      <c r="I29" s="46">
        <v>2</v>
      </c>
      <c r="J29" s="46">
        <v>2</v>
      </c>
    </row>
    <row r="30" spans="2:12" ht="12.75" customHeight="1">
      <c r="B30" s="629"/>
      <c r="C30" s="957"/>
      <c r="D30" s="957"/>
      <c r="E30" s="958" t="s">
        <v>396</v>
      </c>
      <c r="F30" s="118" t="s">
        <v>643</v>
      </c>
      <c r="G30" s="44" t="s">
        <v>643</v>
      </c>
      <c r="H30" s="44" t="s">
        <v>643</v>
      </c>
      <c r="I30" s="44" t="s">
        <v>643</v>
      </c>
      <c r="J30" s="44" t="s">
        <v>643</v>
      </c>
      <c r="L30" s="20"/>
    </row>
    <row r="31" spans="2:12" ht="12.75" customHeight="1">
      <c r="B31" s="629"/>
      <c r="C31" s="957"/>
      <c r="D31" s="957"/>
      <c r="E31" s="958" t="s">
        <v>405</v>
      </c>
      <c r="F31" s="118" t="s">
        <v>643</v>
      </c>
      <c r="G31" s="44" t="s">
        <v>643</v>
      </c>
      <c r="H31" s="44" t="s">
        <v>643</v>
      </c>
      <c r="I31" s="44" t="s">
        <v>643</v>
      </c>
      <c r="J31" s="44" t="s">
        <v>643</v>
      </c>
    </row>
    <row r="32" spans="2:12" ht="12.75" customHeight="1">
      <c r="B32" s="629"/>
      <c r="C32" s="957"/>
      <c r="D32" s="957"/>
      <c r="E32" s="958" t="s">
        <v>397</v>
      </c>
      <c r="F32" s="118" t="s">
        <v>643</v>
      </c>
      <c r="G32" s="44" t="s">
        <v>643</v>
      </c>
      <c r="H32" s="44" t="s">
        <v>643</v>
      </c>
      <c r="I32" s="44" t="s">
        <v>643</v>
      </c>
      <c r="J32" s="44" t="s">
        <v>643</v>
      </c>
    </row>
    <row r="33" spans="2:10" ht="12.75" customHeight="1">
      <c r="B33" s="629"/>
      <c r="C33" s="957"/>
      <c r="D33" s="957"/>
      <c r="E33" s="960" t="s">
        <v>404</v>
      </c>
      <c r="F33" s="118" t="s">
        <v>643</v>
      </c>
      <c r="G33" s="44" t="s">
        <v>643</v>
      </c>
      <c r="H33" s="44" t="s">
        <v>643</v>
      </c>
      <c r="I33" s="44" t="s">
        <v>643</v>
      </c>
      <c r="J33" s="44" t="s">
        <v>643</v>
      </c>
    </row>
    <row r="34" spans="2:10" ht="12.75" customHeight="1">
      <c r="B34" s="720">
        <v>3</v>
      </c>
      <c r="C34" s="1433" t="s">
        <v>1183</v>
      </c>
      <c r="D34" s="1433"/>
      <c r="E34" s="1434"/>
      <c r="F34" s="137">
        <v>1</v>
      </c>
      <c r="G34" s="79">
        <v>1</v>
      </c>
      <c r="H34" s="79">
        <v>1</v>
      </c>
      <c r="I34" s="79">
        <v>1</v>
      </c>
      <c r="J34" s="79">
        <v>1</v>
      </c>
    </row>
    <row r="35" spans="2:10" s="6" customFormat="1" ht="12.75" customHeight="1">
      <c r="B35" s="1384" t="s">
        <v>210</v>
      </c>
      <c r="C35" s="1385"/>
      <c r="D35" s="1385"/>
      <c r="E35" s="1386"/>
      <c r="F35" s="305">
        <f>SUM(F7,F17,F34)</f>
        <v>197</v>
      </c>
      <c r="G35" s="306">
        <f>SUM(G7,G17,G34)</f>
        <v>198</v>
      </c>
      <c r="H35" s="306">
        <f>SUM(H7,H17,H34)</f>
        <v>199</v>
      </c>
      <c r="I35" s="306">
        <f>SUM(I7,I17,I34)</f>
        <v>217</v>
      </c>
      <c r="J35" s="306">
        <f>SUM(J7,J17,J34)</f>
        <v>62</v>
      </c>
    </row>
    <row r="36" spans="2:10" ht="12.75" customHeight="1">
      <c r="B36" s="604"/>
      <c r="C36" s="604"/>
      <c r="D36" s="604"/>
      <c r="E36" s="1073"/>
      <c r="F36" s="604"/>
      <c r="G36" s="931"/>
      <c r="I36" s="961"/>
      <c r="J36" s="962" t="str">
        <f>CONCATENATE("Source : Heads of all Technical and Professional Institutions, ",District!A1)</f>
        <v>Source : Heads of all Technical and Professional Institutions, Nadia</v>
      </c>
    </row>
    <row r="37" spans="2:10">
      <c r="B37" s="604"/>
      <c r="C37" s="604"/>
      <c r="D37" s="604"/>
      <c r="E37" s="604"/>
      <c r="F37" s="604"/>
      <c r="G37" s="618"/>
      <c r="H37" s="963"/>
      <c r="I37" s="963"/>
      <c r="J37" s="963"/>
    </row>
    <row r="38" spans="2:10">
      <c r="B38" s="604"/>
      <c r="C38" s="604"/>
      <c r="D38" s="604"/>
      <c r="E38" s="604"/>
      <c r="F38" s="604"/>
      <c r="G38" s="604"/>
      <c r="H38" s="604"/>
      <c r="I38" s="604"/>
      <c r="J38" s="604"/>
    </row>
    <row r="39" spans="2:10">
      <c r="B39" s="604"/>
      <c r="C39" s="604"/>
      <c r="D39" s="604"/>
      <c r="E39" s="604"/>
      <c r="F39" s="604"/>
      <c r="G39" s="604"/>
      <c r="H39" s="604"/>
      <c r="I39" s="604"/>
      <c r="J39" s="604"/>
    </row>
    <row r="40" spans="2:10">
      <c r="B40" s="604"/>
      <c r="C40" s="604"/>
      <c r="D40" s="604"/>
      <c r="E40" s="604"/>
      <c r="F40" s="604"/>
      <c r="G40" s="604"/>
      <c r="H40" s="604"/>
      <c r="I40" s="604"/>
      <c r="J40" s="604"/>
    </row>
    <row r="41" spans="2:10">
      <c r="B41" s="604"/>
      <c r="C41" s="604"/>
      <c r="D41" s="604"/>
      <c r="E41" s="604"/>
      <c r="F41" s="604"/>
      <c r="G41" s="604"/>
      <c r="H41" s="604"/>
      <c r="I41" s="604"/>
      <c r="J41" s="604"/>
    </row>
    <row r="42" spans="2:10">
      <c r="B42" s="604"/>
      <c r="C42" s="604"/>
      <c r="D42" s="604"/>
      <c r="E42" s="604"/>
      <c r="F42" s="604"/>
      <c r="G42" s="604"/>
      <c r="H42" s="604"/>
      <c r="I42" s="604"/>
      <c r="J42" s="604"/>
    </row>
  </sheetData>
  <mergeCells count="15">
    <mergeCell ref="C1:J1"/>
    <mergeCell ref="F4:J4"/>
    <mergeCell ref="D28:E28"/>
    <mergeCell ref="D25:E25"/>
    <mergeCell ref="C17:E17"/>
    <mergeCell ref="D16:E16"/>
    <mergeCell ref="B4:E5"/>
    <mergeCell ref="B2:J2"/>
    <mergeCell ref="B6:E6"/>
    <mergeCell ref="C7:E7"/>
    <mergeCell ref="B35:E35"/>
    <mergeCell ref="D8:E8"/>
    <mergeCell ref="C34:E34"/>
    <mergeCell ref="D13:E13"/>
    <mergeCell ref="D18:E18"/>
  </mergeCells>
  <phoneticPr fontId="0" type="noConversion"/>
  <pageMargins left="0.1" right="0.1" top="0.6" bottom="0.1" header="0.14000000000000001" footer="0.1"/>
  <pageSetup paperSize="9" orientation="landscape" blackAndWhite="1" r:id="rId1"/>
  <headerFooter alignWithMargins="0"/>
</worksheet>
</file>

<file path=xl/worksheets/sheet31.xml><?xml version="1.0" encoding="utf-8"?>
<worksheet xmlns="http://schemas.openxmlformats.org/spreadsheetml/2006/main" xmlns:r="http://schemas.openxmlformats.org/officeDocument/2006/relationships">
  <sheetPr codeName="Sheet28"/>
  <dimension ref="A1:K35"/>
  <sheetViews>
    <sheetView workbookViewId="0">
      <selection activeCell="L17" sqref="L17"/>
    </sheetView>
  </sheetViews>
  <sheetFormatPr defaultRowHeight="12.75"/>
  <cols>
    <col min="1" max="1" width="10.7109375" style="405" customWidth="1"/>
    <col min="2" max="2" width="3.140625" style="405" customWidth="1"/>
    <col min="3" max="4" width="9.140625" style="405"/>
    <col min="5" max="5" width="26.7109375" style="405" customWidth="1"/>
    <col min="6" max="10" width="15.7109375" style="405" customWidth="1"/>
    <col min="11" max="16384" width="9.140625" style="405"/>
  </cols>
  <sheetData>
    <row r="1" spans="1:11" ht="12.75" customHeight="1">
      <c r="A1" s="432"/>
      <c r="B1" s="1435" t="s">
        <v>441</v>
      </c>
      <c r="C1" s="1435"/>
      <c r="D1" s="1435"/>
      <c r="E1" s="1435"/>
      <c r="F1" s="1435"/>
      <c r="G1" s="1435"/>
      <c r="H1" s="1435"/>
      <c r="I1" s="1435"/>
      <c r="J1" s="1435"/>
    </row>
    <row r="2" spans="1:11" s="412" customFormat="1" ht="15.95" customHeight="1">
      <c r="A2" s="433"/>
      <c r="B2" s="1338" t="str">
        <f>CONCATENATE("Special and Non-formal Educational Institutions by type in the district of ",District!A1)</f>
        <v>Special and Non-formal Educational Institutions by type in the district of Nadia</v>
      </c>
      <c r="C2" s="1338"/>
      <c r="D2" s="1338"/>
      <c r="E2" s="1338"/>
      <c r="F2" s="1338"/>
      <c r="G2" s="1338"/>
      <c r="H2" s="1338"/>
      <c r="I2" s="1338"/>
      <c r="J2" s="1338"/>
    </row>
    <row r="3" spans="1:11" ht="15.95" customHeight="1">
      <c r="A3" s="435"/>
      <c r="B3" s="412"/>
      <c r="C3" s="412"/>
      <c r="D3" s="412"/>
      <c r="E3" s="412"/>
      <c r="F3" s="412"/>
      <c r="G3" s="412"/>
      <c r="H3" s="412"/>
      <c r="I3" s="412"/>
      <c r="J3" s="429" t="s">
        <v>223</v>
      </c>
      <c r="K3" s="450"/>
    </row>
    <row r="4" spans="1:11" ht="15.95" customHeight="1">
      <c r="A4" s="433"/>
      <c r="B4" s="1268" t="s">
        <v>1092</v>
      </c>
      <c r="C4" s="1265"/>
      <c r="D4" s="1265"/>
      <c r="E4" s="1266"/>
      <c r="F4" s="1253" t="s">
        <v>107</v>
      </c>
      <c r="G4" s="1251"/>
      <c r="H4" s="1251"/>
      <c r="I4" s="1265"/>
      <c r="J4" s="1252"/>
    </row>
    <row r="5" spans="1:11" ht="15.95" customHeight="1">
      <c r="A5" s="433"/>
      <c r="B5" s="1399"/>
      <c r="C5" s="1290"/>
      <c r="D5" s="1290"/>
      <c r="E5" s="1325"/>
      <c r="F5" s="698" t="str">
        <f>District!C8</f>
        <v>2009-10</v>
      </c>
      <c r="G5" s="698" t="str">
        <f>District!D8</f>
        <v>2010-11</v>
      </c>
      <c r="H5" s="698" t="str">
        <f>District!E8</f>
        <v>2011-12</v>
      </c>
      <c r="I5" s="698" t="str">
        <f>District!F8</f>
        <v>2012-13</v>
      </c>
      <c r="J5" s="698" t="str">
        <f>District!G8</f>
        <v>2013-14</v>
      </c>
    </row>
    <row r="6" spans="1:11" ht="15.95" customHeight="1">
      <c r="A6" s="433"/>
      <c r="B6" s="1259" t="s">
        <v>163</v>
      </c>
      <c r="C6" s="1327"/>
      <c r="D6" s="1327"/>
      <c r="E6" s="1260"/>
      <c r="F6" s="225" t="s">
        <v>164</v>
      </c>
      <c r="G6" s="226" t="s">
        <v>165</v>
      </c>
      <c r="H6" s="225" t="s">
        <v>166</v>
      </c>
      <c r="I6" s="224" t="s">
        <v>167</v>
      </c>
      <c r="J6" s="224" t="s">
        <v>168</v>
      </c>
    </row>
    <row r="7" spans="1:11" ht="17.25" customHeight="1">
      <c r="A7" s="433"/>
      <c r="B7" s="204">
        <v>1</v>
      </c>
      <c r="C7" s="1449" t="s">
        <v>406</v>
      </c>
      <c r="D7" s="1449"/>
      <c r="E7" s="1450"/>
      <c r="F7" s="628">
        <v>555</v>
      </c>
      <c r="G7" s="628">
        <v>555</v>
      </c>
      <c r="H7" s="628">
        <v>555</v>
      </c>
      <c r="I7" s="628">
        <v>554</v>
      </c>
      <c r="J7" s="628">
        <v>554</v>
      </c>
    </row>
    <row r="8" spans="1:11" ht="17.25" customHeight="1">
      <c r="A8" s="433"/>
      <c r="B8" s="81">
        <v>2</v>
      </c>
      <c r="C8" s="291" t="s">
        <v>72</v>
      </c>
      <c r="D8" s="291"/>
      <c r="E8" s="627"/>
      <c r="F8" s="628">
        <v>106</v>
      </c>
      <c r="G8" s="628">
        <v>106</v>
      </c>
      <c r="H8" s="628">
        <v>106</v>
      </c>
      <c r="I8" s="628">
        <v>106</v>
      </c>
      <c r="J8" s="628">
        <v>106</v>
      </c>
    </row>
    <row r="9" spans="1:11" ht="17.25" customHeight="1">
      <c r="A9" s="433"/>
      <c r="B9" s="81">
        <v>3</v>
      </c>
      <c r="C9" s="1441" t="s">
        <v>407</v>
      </c>
      <c r="D9" s="1441"/>
      <c r="E9" s="1442"/>
      <c r="F9" s="628">
        <v>1</v>
      </c>
      <c r="G9" s="628">
        <v>1</v>
      </c>
      <c r="H9" s="628">
        <v>1</v>
      </c>
      <c r="I9" s="992" t="s">
        <v>643</v>
      </c>
      <c r="J9" s="992" t="s">
        <v>643</v>
      </c>
    </row>
    <row r="10" spans="1:11" ht="17.25" customHeight="1">
      <c r="A10" s="433"/>
      <c r="B10" s="81">
        <v>4</v>
      </c>
      <c r="C10" s="1441" t="s">
        <v>418</v>
      </c>
      <c r="D10" s="1441"/>
      <c r="E10" s="1442"/>
      <c r="F10" s="628">
        <v>83</v>
      </c>
      <c r="G10" s="628">
        <v>79</v>
      </c>
      <c r="H10" s="79" t="s">
        <v>1170</v>
      </c>
      <c r="I10" s="79" t="s">
        <v>643</v>
      </c>
      <c r="J10" s="79">
        <v>8</v>
      </c>
    </row>
    <row r="11" spans="1:11" ht="17.25" customHeight="1">
      <c r="A11" s="433"/>
      <c r="B11" s="81">
        <v>5</v>
      </c>
      <c r="C11" s="1441" t="s">
        <v>158</v>
      </c>
      <c r="D11" s="1441"/>
      <c r="E11" s="1442"/>
      <c r="F11" s="628">
        <v>15</v>
      </c>
      <c r="G11" s="628">
        <v>15</v>
      </c>
      <c r="H11" s="628" t="s">
        <v>643</v>
      </c>
      <c r="I11" s="628">
        <v>12</v>
      </c>
      <c r="J11" s="628">
        <v>22</v>
      </c>
    </row>
    <row r="12" spans="1:11" ht="17.25" customHeight="1">
      <c r="A12" s="433"/>
      <c r="B12" s="81">
        <v>6</v>
      </c>
      <c r="C12" s="1441" t="s">
        <v>408</v>
      </c>
      <c r="D12" s="1441"/>
      <c r="E12" s="1442"/>
      <c r="F12" s="628" t="s">
        <v>643</v>
      </c>
      <c r="G12" s="628" t="s">
        <v>643</v>
      </c>
      <c r="H12" s="628" t="s">
        <v>643</v>
      </c>
      <c r="I12" s="992" t="s">
        <v>643</v>
      </c>
      <c r="J12" s="992" t="s">
        <v>643</v>
      </c>
    </row>
    <row r="13" spans="1:11" ht="26.25" customHeight="1">
      <c r="A13" s="433"/>
      <c r="B13" s="964">
        <v>7</v>
      </c>
      <c r="C13" s="1447" t="s">
        <v>1400</v>
      </c>
      <c r="D13" s="1447"/>
      <c r="E13" s="1448"/>
      <c r="F13" s="628">
        <v>5</v>
      </c>
      <c r="G13" s="628">
        <v>5</v>
      </c>
      <c r="H13" s="628">
        <v>5</v>
      </c>
      <c r="I13" s="628">
        <v>6</v>
      </c>
      <c r="J13" s="628">
        <v>6</v>
      </c>
    </row>
    <row r="14" spans="1:11" ht="18" customHeight="1">
      <c r="A14" s="433"/>
      <c r="B14" s="81">
        <v>8</v>
      </c>
      <c r="C14" s="1441" t="s">
        <v>413</v>
      </c>
      <c r="D14" s="1441"/>
      <c r="E14" s="1442"/>
      <c r="F14" s="628">
        <v>1</v>
      </c>
      <c r="G14" s="628">
        <v>1</v>
      </c>
      <c r="H14" s="628">
        <v>1</v>
      </c>
      <c r="I14" s="628">
        <v>1</v>
      </c>
      <c r="J14" s="628">
        <v>1</v>
      </c>
    </row>
    <row r="15" spans="1:11" ht="18" customHeight="1">
      <c r="A15" s="433"/>
      <c r="B15" s="81">
        <v>9</v>
      </c>
      <c r="C15" s="1441" t="s">
        <v>27</v>
      </c>
      <c r="D15" s="1441"/>
      <c r="E15" s="1442"/>
      <c r="F15" s="628">
        <v>6560</v>
      </c>
      <c r="G15" s="628">
        <v>6612</v>
      </c>
      <c r="H15" s="628">
        <v>6620</v>
      </c>
      <c r="I15" s="628">
        <v>6620</v>
      </c>
      <c r="J15" s="628">
        <v>6620</v>
      </c>
    </row>
    <row r="16" spans="1:11" ht="18" customHeight="1">
      <c r="A16" s="433"/>
      <c r="B16" s="81">
        <v>10</v>
      </c>
      <c r="C16" s="1441" t="s">
        <v>28</v>
      </c>
      <c r="D16" s="1441"/>
      <c r="E16" s="1442"/>
      <c r="F16" s="628">
        <v>7</v>
      </c>
      <c r="G16" s="628">
        <v>7</v>
      </c>
      <c r="H16" s="628">
        <v>7</v>
      </c>
      <c r="I16" s="628">
        <v>7</v>
      </c>
      <c r="J16" s="1072" t="s">
        <v>643</v>
      </c>
    </row>
    <row r="17" spans="1:10" ht="39.75" customHeight="1">
      <c r="A17" s="433"/>
      <c r="B17" s="964">
        <v>11</v>
      </c>
      <c r="C17" s="1443" t="s">
        <v>924</v>
      </c>
      <c r="D17" s="1422"/>
      <c r="E17" s="1423"/>
      <c r="F17" s="628" t="s">
        <v>643</v>
      </c>
      <c r="G17" s="628" t="s">
        <v>643</v>
      </c>
      <c r="H17" s="628" t="s">
        <v>643</v>
      </c>
      <c r="I17" s="992" t="s">
        <v>643</v>
      </c>
      <c r="J17" s="992" t="s">
        <v>643</v>
      </c>
    </row>
    <row r="18" spans="1:10" ht="18" customHeight="1">
      <c r="A18" s="433"/>
      <c r="B18" s="129">
        <v>12</v>
      </c>
      <c r="C18" s="1444" t="s">
        <v>73</v>
      </c>
      <c r="D18" s="1445"/>
      <c r="E18" s="1446"/>
      <c r="F18" s="628" t="s">
        <v>643</v>
      </c>
      <c r="G18" s="628" t="s">
        <v>643</v>
      </c>
      <c r="H18" s="628" t="s">
        <v>643</v>
      </c>
      <c r="I18" s="992" t="s">
        <v>643</v>
      </c>
      <c r="J18" s="992" t="s">
        <v>643</v>
      </c>
    </row>
    <row r="19" spans="1:10" s="6" customFormat="1" ht="18" customHeight="1">
      <c r="A19" s="598"/>
      <c r="B19" s="1384" t="s">
        <v>210</v>
      </c>
      <c r="C19" s="1385"/>
      <c r="D19" s="1385"/>
      <c r="E19" s="1386"/>
      <c r="F19" s="306">
        <f>SUM(F7:F18)</f>
        <v>7333</v>
      </c>
      <c r="G19" s="306">
        <f>SUM(G7:G18)</f>
        <v>7381</v>
      </c>
      <c r="H19" s="306">
        <f>SUM(H7:H18)</f>
        <v>7295</v>
      </c>
      <c r="I19" s="306">
        <f>SUM(I7:I18)</f>
        <v>7306</v>
      </c>
      <c r="J19" s="306">
        <f>SUM(J7:J18)</f>
        <v>7317</v>
      </c>
    </row>
    <row r="20" spans="1:10">
      <c r="A20" s="433"/>
      <c r="B20" s="604"/>
      <c r="C20" s="604"/>
      <c r="D20" s="604"/>
      <c r="G20" s="608" t="s">
        <v>600</v>
      </c>
      <c r="H20" s="288" t="s">
        <v>936</v>
      </c>
      <c r="I20" s="18"/>
      <c r="J20" s="6"/>
    </row>
    <row r="21" spans="1:10">
      <c r="A21" s="433"/>
      <c r="B21" s="604"/>
      <c r="C21" s="604"/>
      <c r="D21" s="604"/>
      <c r="G21" s="288"/>
      <c r="H21" s="288" t="s">
        <v>977</v>
      </c>
      <c r="I21" s="18"/>
      <c r="J21" s="6"/>
    </row>
    <row r="22" spans="1:10">
      <c r="A22" s="433"/>
      <c r="B22" s="604"/>
      <c r="C22" s="604"/>
      <c r="D22" s="604"/>
      <c r="G22" s="288"/>
      <c r="H22" s="288" t="s">
        <v>978</v>
      </c>
      <c r="I22" s="18"/>
      <c r="J22" s="6"/>
    </row>
    <row r="23" spans="1:10">
      <c r="A23" s="433"/>
      <c r="B23" s="604"/>
      <c r="C23" s="604"/>
      <c r="D23" s="604"/>
      <c r="G23" s="288"/>
      <c r="H23" s="288" t="s">
        <v>979</v>
      </c>
      <c r="I23" s="18"/>
      <c r="J23" s="6"/>
    </row>
    <row r="24" spans="1:10">
      <c r="A24" s="433"/>
      <c r="B24" s="604"/>
      <c r="C24" s="604"/>
      <c r="D24" s="604"/>
      <c r="G24" s="288"/>
      <c r="H24" s="288" t="s">
        <v>980</v>
      </c>
      <c r="I24" s="18"/>
      <c r="J24" s="6"/>
    </row>
    <row r="25" spans="1:10">
      <c r="A25" s="433"/>
      <c r="B25" s="604"/>
      <c r="C25" s="604"/>
      <c r="D25" s="604"/>
      <c r="G25" s="288"/>
      <c r="H25" s="288" t="s">
        <v>981</v>
      </c>
      <c r="I25" s="18"/>
      <c r="J25" s="6"/>
    </row>
    <row r="26" spans="1:10">
      <c r="A26" s="433"/>
      <c r="B26" s="604"/>
      <c r="C26" s="604"/>
      <c r="D26" s="604"/>
      <c r="G26" s="288"/>
      <c r="H26" s="288" t="s">
        <v>1263</v>
      </c>
      <c r="I26" s="18"/>
      <c r="J26" s="18"/>
    </row>
    <row r="27" spans="1:10">
      <c r="A27" s="433"/>
      <c r="B27" s="604"/>
      <c r="C27" s="604"/>
      <c r="D27" s="604"/>
      <c r="G27" s="288"/>
      <c r="H27" s="288" t="s">
        <v>511</v>
      </c>
      <c r="I27" s="18"/>
      <c r="J27" s="6"/>
    </row>
    <row r="28" spans="1:10">
      <c r="A28" s="433"/>
      <c r="B28" s="604"/>
      <c r="C28" s="604"/>
      <c r="D28" s="604"/>
      <c r="G28" s="288"/>
      <c r="H28" s="288" t="s">
        <v>512</v>
      </c>
      <c r="I28" s="18"/>
      <c r="J28" s="6"/>
    </row>
    <row r="29" spans="1:10">
      <c r="A29" s="433"/>
      <c r="B29" s="604"/>
      <c r="C29" s="604"/>
      <c r="D29" s="604"/>
      <c r="E29" s="604"/>
      <c r="F29" s="604"/>
      <c r="G29" s="604"/>
      <c r="H29" s="604"/>
      <c r="I29" s="604"/>
      <c r="J29" s="604"/>
    </row>
    <row r="30" spans="1:10">
      <c r="B30" s="604"/>
      <c r="C30" s="604"/>
      <c r="D30" s="604"/>
      <c r="E30" s="604"/>
      <c r="F30" s="604"/>
      <c r="G30" s="604"/>
      <c r="H30" s="604"/>
      <c r="I30" s="604"/>
      <c r="J30" s="604"/>
    </row>
    <row r="31" spans="1:10">
      <c r="B31" s="604"/>
      <c r="C31" s="604"/>
      <c r="D31" s="604"/>
      <c r="E31" s="604"/>
      <c r="F31" s="604"/>
      <c r="G31" s="604"/>
      <c r="H31" s="604"/>
      <c r="I31" s="604"/>
      <c r="J31" s="604"/>
    </row>
    <row r="32" spans="1:10">
      <c r="B32" s="604"/>
      <c r="C32" s="604"/>
      <c r="D32" s="604"/>
      <c r="E32" s="604"/>
      <c r="F32" s="604"/>
      <c r="G32" s="604"/>
      <c r="H32" s="604"/>
      <c r="I32" s="604"/>
      <c r="J32" s="604"/>
    </row>
    <row r="33" spans="2:10">
      <c r="B33" s="604"/>
      <c r="C33" s="604"/>
      <c r="D33" s="604"/>
      <c r="E33" s="604"/>
      <c r="F33" s="604"/>
      <c r="G33" s="604"/>
      <c r="H33" s="604"/>
      <c r="I33" s="604"/>
      <c r="J33" s="604"/>
    </row>
    <row r="34" spans="2:10">
      <c r="B34" s="604"/>
      <c r="C34" s="604"/>
      <c r="D34" s="604"/>
      <c r="E34" s="604"/>
      <c r="F34" s="604"/>
      <c r="G34" s="604"/>
      <c r="H34" s="604"/>
      <c r="I34" s="604"/>
      <c r="J34" s="604"/>
    </row>
    <row r="35" spans="2:10">
      <c r="B35" s="604"/>
      <c r="C35" s="604"/>
      <c r="D35" s="604"/>
      <c r="E35" s="604"/>
      <c r="F35" s="604"/>
      <c r="G35" s="604"/>
      <c r="H35" s="604"/>
      <c r="I35" s="604"/>
      <c r="J35" s="604"/>
    </row>
  </sheetData>
  <mergeCells count="17">
    <mergeCell ref="C9:E9"/>
    <mergeCell ref="C10:E10"/>
    <mergeCell ref="C11:E11"/>
    <mergeCell ref="B1:J1"/>
    <mergeCell ref="B2:J2"/>
    <mergeCell ref="B6:E6"/>
    <mergeCell ref="C7:E7"/>
    <mergeCell ref="B4:E5"/>
    <mergeCell ref="F4:J4"/>
    <mergeCell ref="C12:E12"/>
    <mergeCell ref="B19:E19"/>
    <mergeCell ref="C17:E17"/>
    <mergeCell ref="C18:E18"/>
    <mergeCell ref="C13:E13"/>
    <mergeCell ref="C14:E14"/>
    <mergeCell ref="C15:E15"/>
    <mergeCell ref="C16:E16"/>
  </mergeCells>
  <phoneticPr fontId="0" type="noConversion"/>
  <pageMargins left="0.1" right="0.1" top="0.76" bottom="0.18" header="0.36" footer="0.16"/>
  <pageSetup paperSize="9" orientation="landscape" blackAndWhite="1" r:id="rId1"/>
  <headerFooter alignWithMargins="0"/>
</worksheet>
</file>

<file path=xl/worksheets/sheet32.xml><?xml version="1.0" encoding="utf-8"?>
<worksheet xmlns="http://schemas.openxmlformats.org/spreadsheetml/2006/main" xmlns:r="http://schemas.openxmlformats.org/officeDocument/2006/relationships">
  <sheetPr codeName="Sheet29"/>
  <dimension ref="A1:N45"/>
  <sheetViews>
    <sheetView workbookViewId="0">
      <selection activeCell="P34" sqref="P34"/>
    </sheetView>
  </sheetViews>
  <sheetFormatPr defaultRowHeight="12.75"/>
  <cols>
    <col min="1" max="1" width="2" style="405" customWidth="1"/>
    <col min="2" max="2" width="2.85546875" style="405" customWidth="1"/>
    <col min="3" max="3" width="1.140625" style="405" customWidth="1"/>
    <col min="4" max="4" width="47.85546875" style="405" customWidth="1"/>
    <col min="5" max="14" width="8.42578125" style="405" customWidth="1"/>
    <col min="15" max="16384" width="9.140625" style="405"/>
  </cols>
  <sheetData>
    <row r="1" spans="1:14" ht="12.75" customHeight="1">
      <c r="A1" s="1250" t="s">
        <v>442</v>
      </c>
      <c r="B1" s="1250"/>
      <c r="C1" s="1250"/>
      <c r="D1" s="1250"/>
      <c r="E1" s="1250"/>
      <c r="F1" s="1250"/>
      <c r="G1" s="1250"/>
      <c r="H1" s="1250"/>
      <c r="I1" s="1250"/>
      <c r="J1" s="1250"/>
      <c r="K1" s="1250"/>
      <c r="L1" s="1250"/>
      <c r="M1" s="1250"/>
      <c r="N1" s="1250"/>
    </row>
    <row r="2" spans="1:14" s="412" customFormat="1" ht="16.5">
      <c r="A2" s="1350" t="str">
        <f>CONCATENATE("Students by sex in different type of General Educational Institutions in the district of ",District!A1)</f>
        <v>Students by sex in different type of General Educational Institutions in the district of Nadia</v>
      </c>
      <c r="B2" s="1350"/>
      <c r="C2" s="1350"/>
      <c r="D2" s="1350"/>
      <c r="E2" s="1350"/>
      <c r="F2" s="1350"/>
      <c r="G2" s="1350"/>
      <c r="H2" s="1350"/>
      <c r="I2" s="1350"/>
      <c r="J2" s="1350"/>
      <c r="K2" s="1350"/>
      <c r="L2" s="1350"/>
      <c r="M2" s="1350"/>
      <c r="N2" s="1350"/>
    </row>
    <row r="3" spans="1:14">
      <c r="A3" s="412"/>
      <c r="B3" s="436"/>
      <c r="C3" s="436"/>
      <c r="D3" s="436"/>
      <c r="E3" s="436"/>
      <c r="F3" s="436"/>
      <c r="G3" s="436"/>
      <c r="H3" s="436"/>
      <c r="I3" s="436"/>
      <c r="J3" s="436"/>
      <c r="K3" s="436"/>
      <c r="L3" s="436"/>
      <c r="M3" s="436"/>
      <c r="N3" s="451" t="s">
        <v>223</v>
      </c>
    </row>
    <row r="4" spans="1:14">
      <c r="A4" s="1268" t="s">
        <v>1092</v>
      </c>
      <c r="B4" s="1265"/>
      <c r="C4" s="1265"/>
      <c r="D4" s="1266"/>
      <c r="E4" s="1253" t="s">
        <v>107</v>
      </c>
      <c r="F4" s="1251"/>
      <c r="G4" s="1251"/>
      <c r="H4" s="1251"/>
      <c r="I4" s="1251"/>
      <c r="J4" s="1251"/>
      <c r="K4" s="1251"/>
      <c r="L4" s="1251"/>
      <c r="M4" s="1251"/>
      <c r="N4" s="1252"/>
    </row>
    <row r="5" spans="1:14">
      <c r="A5" s="1351"/>
      <c r="B5" s="1404"/>
      <c r="C5" s="1404"/>
      <c r="D5" s="1398"/>
      <c r="E5" s="1253" t="str">
        <f>District!C11</f>
        <v>2009-10</v>
      </c>
      <c r="F5" s="1252"/>
      <c r="G5" s="1253" t="str">
        <f>District!E11</f>
        <v>2010-11</v>
      </c>
      <c r="H5" s="1252"/>
      <c r="I5" s="1253" t="str">
        <f>District!G11</f>
        <v>2011-12</v>
      </c>
      <c r="J5" s="1252"/>
      <c r="K5" s="1253" t="str">
        <f>District!I11</f>
        <v>2012-13</v>
      </c>
      <c r="L5" s="1252"/>
      <c r="M5" s="1253" t="str">
        <f>District!K11</f>
        <v>2013-14</v>
      </c>
      <c r="N5" s="1252"/>
    </row>
    <row r="6" spans="1:14">
      <c r="A6" s="1399"/>
      <c r="B6" s="1290"/>
      <c r="C6" s="1290"/>
      <c r="D6" s="1325"/>
      <c r="E6" s="221" t="s">
        <v>246</v>
      </c>
      <c r="F6" s="393" t="s">
        <v>249</v>
      </c>
      <c r="G6" s="221" t="s">
        <v>246</v>
      </c>
      <c r="H6" s="452" t="s">
        <v>249</v>
      </c>
      <c r="I6" s="221" t="s">
        <v>246</v>
      </c>
      <c r="J6" s="393" t="s">
        <v>249</v>
      </c>
      <c r="K6" s="221" t="s">
        <v>246</v>
      </c>
      <c r="L6" s="393" t="s">
        <v>249</v>
      </c>
      <c r="M6" s="221" t="s">
        <v>246</v>
      </c>
      <c r="N6" s="393" t="s">
        <v>249</v>
      </c>
    </row>
    <row r="7" spans="1:14">
      <c r="A7" s="1259" t="s">
        <v>163</v>
      </c>
      <c r="B7" s="1327"/>
      <c r="C7" s="1327"/>
      <c r="D7" s="1260"/>
      <c r="E7" s="225" t="s">
        <v>164</v>
      </c>
      <c r="F7" s="224" t="s">
        <v>165</v>
      </c>
      <c r="G7" s="304" t="s">
        <v>166</v>
      </c>
      <c r="H7" s="226" t="s">
        <v>167</v>
      </c>
      <c r="I7" s="225" t="s">
        <v>168</v>
      </c>
      <c r="J7" s="224" t="s">
        <v>169</v>
      </c>
      <c r="K7" s="225" t="s">
        <v>211</v>
      </c>
      <c r="L7" s="224" t="s">
        <v>212</v>
      </c>
      <c r="M7" s="225" t="s">
        <v>213</v>
      </c>
      <c r="N7" s="224" t="s">
        <v>214</v>
      </c>
    </row>
    <row r="8" spans="1:14">
      <c r="A8" s="955">
        <v>1</v>
      </c>
      <c r="B8" s="1451" t="s">
        <v>1637</v>
      </c>
      <c r="C8" s="1451"/>
      <c r="D8" s="1452"/>
      <c r="E8" s="20">
        <f t="shared" ref="E8:H8" si="0">SUM(E9,E14,E19,E24)</f>
        <v>482017</v>
      </c>
      <c r="F8" s="193">
        <f t="shared" si="0"/>
        <v>470138</v>
      </c>
      <c r="G8" s="193">
        <f t="shared" si="0"/>
        <v>488942</v>
      </c>
      <c r="H8" s="112">
        <f t="shared" si="0"/>
        <v>479717</v>
      </c>
      <c r="I8" s="193">
        <f t="shared" ref="I8:N8" si="1">SUM(I9,I14,I19,I24)</f>
        <v>469283</v>
      </c>
      <c r="J8" s="112">
        <f t="shared" si="1"/>
        <v>461057</v>
      </c>
      <c r="K8" s="1003">
        <f t="shared" si="1"/>
        <v>440914</v>
      </c>
      <c r="L8" s="1004">
        <f t="shared" si="1"/>
        <v>433540</v>
      </c>
      <c r="M8" s="1003">
        <f t="shared" si="1"/>
        <v>438611</v>
      </c>
      <c r="N8" s="1004">
        <f t="shared" si="1"/>
        <v>428978</v>
      </c>
    </row>
    <row r="9" spans="1:14" ht="25.5" customHeight="1">
      <c r="A9" s="629"/>
      <c r="B9" s="941" t="s">
        <v>349</v>
      </c>
      <c r="C9" s="1431" t="s">
        <v>1233</v>
      </c>
      <c r="D9" s="1432"/>
      <c r="E9" s="20">
        <f t="shared" ref="E9:H9" si="2">SUM(E10:E13)</f>
        <v>180439</v>
      </c>
      <c r="F9" s="118">
        <f t="shared" si="2"/>
        <v>173319</v>
      </c>
      <c r="G9" s="118">
        <f t="shared" si="2"/>
        <v>171076</v>
      </c>
      <c r="H9" s="44">
        <f t="shared" si="2"/>
        <v>163727</v>
      </c>
      <c r="I9" s="118">
        <f t="shared" ref="I9:N9" si="3">SUM(I10:I13)</f>
        <v>153029</v>
      </c>
      <c r="J9" s="44">
        <f t="shared" si="3"/>
        <v>146159</v>
      </c>
      <c r="K9" s="118">
        <f t="shared" si="3"/>
        <v>122823</v>
      </c>
      <c r="L9" s="44">
        <f t="shared" si="3"/>
        <v>115879</v>
      </c>
      <c r="M9" s="118">
        <f t="shared" si="3"/>
        <v>119562</v>
      </c>
      <c r="N9" s="44">
        <f t="shared" si="3"/>
        <v>112403</v>
      </c>
    </row>
    <row r="10" spans="1:14">
      <c r="A10" s="629"/>
      <c r="B10" s="291"/>
      <c r="C10" s="291"/>
      <c r="D10" s="627" t="s">
        <v>345</v>
      </c>
      <c r="E10" s="174">
        <v>180012</v>
      </c>
      <c r="F10" s="164">
        <v>172894</v>
      </c>
      <c r="G10" s="174">
        <v>170416</v>
      </c>
      <c r="H10" s="164">
        <v>163369</v>
      </c>
      <c r="I10" s="174">
        <v>152484</v>
      </c>
      <c r="J10" s="164">
        <v>145798</v>
      </c>
      <c r="K10" s="174">
        <v>122380</v>
      </c>
      <c r="L10" s="164">
        <v>115415</v>
      </c>
      <c r="M10" s="174">
        <v>119274</v>
      </c>
      <c r="N10" s="164">
        <v>112109</v>
      </c>
    </row>
    <row r="11" spans="1:14">
      <c r="A11" s="629"/>
      <c r="B11" s="291"/>
      <c r="C11" s="291"/>
      <c r="D11" s="627" t="s">
        <v>1387</v>
      </c>
      <c r="E11" s="174">
        <v>336</v>
      </c>
      <c r="F11" s="164">
        <v>333</v>
      </c>
      <c r="G11" s="174">
        <v>522</v>
      </c>
      <c r="H11" s="164">
        <v>213</v>
      </c>
      <c r="I11" s="294">
        <v>408</v>
      </c>
      <c r="J11" s="294">
        <v>247</v>
      </c>
      <c r="K11" s="174">
        <v>319</v>
      </c>
      <c r="L11" s="164">
        <v>306</v>
      </c>
      <c r="M11" s="1070">
        <v>288</v>
      </c>
      <c r="N11" s="294">
        <v>294</v>
      </c>
    </row>
    <row r="12" spans="1:14">
      <c r="A12" s="629"/>
      <c r="B12" s="291"/>
      <c r="C12" s="291"/>
      <c r="D12" s="627" t="s">
        <v>5</v>
      </c>
      <c r="E12" s="293" t="s">
        <v>643</v>
      </c>
      <c r="F12" s="294" t="s">
        <v>643</v>
      </c>
      <c r="G12" s="174">
        <v>93</v>
      </c>
      <c r="H12" s="164">
        <v>94</v>
      </c>
      <c r="I12" s="174">
        <v>123</v>
      </c>
      <c r="J12" s="164">
        <v>86</v>
      </c>
      <c r="K12" s="174">
        <v>110</v>
      </c>
      <c r="L12" s="164">
        <v>130</v>
      </c>
      <c r="M12" s="1070" t="s">
        <v>643</v>
      </c>
      <c r="N12" s="294" t="s">
        <v>643</v>
      </c>
    </row>
    <row r="13" spans="1:14">
      <c r="A13" s="629"/>
      <c r="B13" s="291"/>
      <c r="C13" s="291"/>
      <c r="D13" s="627" t="s">
        <v>1386</v>
      </c>
      <c r="E13" s="174">
        <v>91</v>
      </c>
      <c r="F13" s="164">
        <v>92</v>
      </c>
      <c r="G13" s="174">
        <v>45</v>
      </c>
      <c r="H13" s="164">
        <v>51</v>
      </c>
      <c r="I13" s="174">
        <v>14</v>
      </c>
      <c r="J13" s="164">
        <v>28</v>
      </c>
      <c r="K13" s="174">
        <v>14</v>
      </c>
      <c r="L13" s="164">
        <v>28</v>
      </c>
      <c r="M13" s="1070" t="s">
        <v>643</v>
      </c>
      <c r="N13" s="294" t="s">
        <v>643</v>
      </c>
    </row>
    <row r="14" spans="1:14" ht="25.5" customHeight="1">
      <c r="A14" s="629"/>
      <c r="B14" s="941" t="s">
        <v>347</v>
      </c>
      <c r="C14" s="1453" t="s">
        <v>1234</v>
      </c>
      <c r="D14" s="1454"/>
      <c r="E14" s="20">
        <f t="shared" ref="E14:H14" si="4">SUM(E15:E18)</f>
        <v>4850</v>
      </c>
      <c r="F14" s="118">
        <f t="shared" si="4"/>
        <v>7061</v>
      </c>
      <c r="G14" s="118">
        <f t="shared" si="4"/>
        <v>5561</v>
      </c>
      <c r="H14" s="44">
        <f t="shared" si="4"/>
        <v>6717</v>
      </c>
      <c r="I14" s="118">
        <f t="shared" ref="I14:N14" si="5">SUM(I15:I18)</f>
        <v>10279</v>
      </c>
      <c r="J14" s="44">
        <f t="shared" si="5"/>
        <v>11380</v>
      </c>
      <c r="K14" s="118">
        <f t="shared" si="5"/>
        <v>12092</v>
      </c>
      <c r="L14" s="44">
        <f t="shared" si="5"/>
        <v>12786</v>
      </c>
      <c r="M14" s="118">
        <f t="shared" si="5"/>
        <v>12258</v>
      </c>
      <c r="N14" s="44">
        <f t="shared" si="5"/>
        <v>13286</v>
      </c>
    </row>
    <row r="15" spans="1:14">
      <c r="A15" s="629"/>
      <c r="B15" s="291"/>
      <c r="C15" s="291"/>
      <c r="D15" s="627" t="s">
        <v>390</v>
      </c>
      <c r="E15" s="174">
        <v>3824</v>
      </c>
      <c r="F15" s="164">
        <v>6461</v>
      </c>
      <c r="G15" s="174">
        <v>4449</v>
      </c>
      <c r="H15" s="164">
        <v>6051</v>
      </c>
      <c r="I15" s="174">
        <v>9047</v>
      </c>
      <c r="J15" s="164">
        <v>10463</v>
      </c>
      <c r="K15" s="174">
        <v>11063</v>
      </c>
      <c r="L15" s="164">
        <v>11914</v>
      </c>
      <c r="M15" s="174">
        <v>11774</v>
      </c>
      <c r="N15" s="164">
        <v>12781</v>
      </c>
    </row>
    <row r="16" spans="1:14">
      <c r="A16" s="629"/>
      <c r="B16" s="291"/>
      <c r="C16" s="291"/>
      <c r="D16" s="627" t="s">
        <v>930</v>
      </c>
      <c r="E16" s="293" t="s">
        <v>643</v>
      </c>
      <c r="F16" s="294" t="s">
        <v>643</v>
      </c>
      <c r="G16" s="174" t="s">
        <v>643</v>
      </c>
      <c r="H16" s="164" t="s">
        <v>643</v>
      </c>
      <c r="I16" s="174">
        <v>123</v>
      </c>
      <c r="J16" s="164">
        <v>219</v>
      </c>
      <c r="K16" s="174">
        <v>175</v>
      </c>
      <c r="L16" s="164">
        <v>277</v>
      </c>
      <c r="M16" s="174">
        <v>214</v>
      </c>
      <c r="N16" s="164">
        <v>296</v>
      </c>
    </row>
    <row r="17" spans="1:14">
      <c r="A17" s="629"/>
      <c r="B17" s="291"/>
      <c r="C17" s="291"/>
      <c r="D17" s="627" t="s">
        <v>5</v>
      </c>
      <c r="E17" s="174">
        <v>1026</v>
      </c>
      <c r="F17" s="164">
        <v>600</v>
      </c>
      <c r="G17" s="174">
        <v>1112</v>
      </c>
      <c r="H17" s="164">
        <v>666</v>
      </c>
      <c r="I17" s="174">
        <v>1109</v>
      </c>
      <c r="J17" s="164">
        <v>698</v>
      </c>
      <c r="K17" s="174">
        <v>854</v>
      </c>
      <c r="L17" s="164">
        <v>595</v>
      </c>
      <c r="M17" s="174">
        <v>270</v>
      </c>
      <c r="N17" s="164">
        <v>209</v>
      </c>
    </row>
    <row r="18" spans="1:14">
      <c r="A18" s="629"/>
      <c r="B18" s="291"/>
      <c r="C18" s="291"/>
      <c r="D18" s="627" t="s">
        <v>1386</v>
      </c>
      <c r="E18" s="174" t="s">
        <v>643</v>
      </c>
      <c r="F18" s="164" t="s">
        <v>643</v>
      </c>
      <c r="G18" s="174" t="s">
        <v>643</v>
      </c>
      <c r="H18" s="164" t="s">
        <v>643</v>
      </c>
      <c r="I18" s="174" t="s">
        <v>643</v>
      </c>
      <c r="J18" s="164" t="s">
        <v>643</v>
      </c>
      <c r="K18" s="174" t="s">
        <v>643</v>
      </c>
      <c r="L18" s="164" t="s">
        <v>643</v>
      </c>
      <c r="M18" s="174" t="s">
        <v>643</v>
      </c>
      <c r="N18" s="164" t="s">
        <v>643</v>
      </c>
    </row>
    <row r="19" spans="1:14" ht="25.5" customHeight="1">
      <c r="A19" s="629"/>
      <c r="B19" s="941" t="s">
        <v>348</v>
      </c>
      <c r="C19" s="1431" t="s">
        <v>1235</v>
      </c>
      <c r="D19" s="1432"/>
      <c r="E19" s="20">
        <f t="shared" ref="E19:H19" si="6">SUM(E20:E23)</f>
        <v>63456</v>
      </c>
      <c r="F19" s="118">
        <f t="shared" si="6"/>
        <v>97213</v>
      </c>
      <c r="G19" s="118">
        <f t="shared" si="6"/>
        <v>59617</v>
      </c>
      <c r="H19" s="44">
        <f t="shared" si="6"/>
        <v>93541</v>
      </c>
      <c r="I19" s="118">
        <f t="shared" ref="I19:N19" si="7">SUM(I20:I23)</f>
        <v>37024</v>
      </c>
      <c r="J19" s="44">
        <f t="shared" si="7"/>
        <v>58807</v>
      </c>
      <c r="K19" s="118">
        <f t="shared" si="7"/>
        <v>28897</v>
      </c>
      <c r="L19" s="44">
        <f t="shared" si="7"/>
        <v>49365</v>
      </c>
      <c r="M19" s="118">
        <f t="shared" si="7"/>
        <v>22171</v>
      </c>
      <c r="N19" s="44">
        <f t="shared" si="7"/>
        <v>37924</v>
      </c>
    </row>
    <row r="20" spans="1:14">
      <c r="A20" s="629"/>
      <c r="B20" s="291"/>
      <c r="C20" s="291"/>
      <c r="D20" s="627" t="s">
        <v>390</v>
      </c>
      <c r="E20" s="174">
        <v>59079</v>
      </c>
      <c r="F20" s="164">
        <v>91934</v>
      </c>
      <c r="G20" s="174">
        <v>54708</v>
      </c>
      <c r="H20" s="164">
        <v>87859</v>
      </c>
      <c r="I20" s="174">
        <v>33862</v>
      </c>
      <c r="J20" s="164">
        <v>55655</v>
      </c>
      <c r="K20" s="174">
        <v>25552</v>
      </c>
      <c r="L20" s="164">
        <v>46055</v>
      </c>
      <c r="M20" s="174">
        <v>19008</v>
      </c>
      <c r="N20" s="164">
        <v>34828</v>
      </c>
    </row>
    <row r="21" spans="1:14">
      <c r="A21" s="629"/>
      <c r="B21" s="291"/>
      <c r="C21" s="291"/>
      <c r="D21" s="627" t="s">
        <v>931</v>
      </c>
      <c r="E21" s="174">
        <v>3279</v>
      </c>
      <c r="F21" s="164">
        <v>4619</v>
      </c>
      <c r="G21" s="174">
        <v>3614</v>
      </c>
      <c r="H21" s="164">
        <v>4875</v>
      </c>
      <c r="I21" s="174">
        <v>1721</v>
      </c>
      <c r="J21" s="164">
        <v>2238</v>
      </c>
      <c r="K21" s="174">
        <v>2075</v>
      </c>
      <c r="L21" s="164">
        <v>2502</v>
      </c>
      <c r="M21" s="174">
        <v>2041</v>
      </c>
      <c r="N21" s="164">
        <v>2357</v>
      </c>
    </row>
    <row r="22" spans="1:14">
      <c r="A22" s="629"/>
      <c r="B22" s="291"/>
      <c r="C22" s="291"/>
      <c r="D22" s="627" t="s">
        <v>5</v>
      </c>
      <c r="E22" s="174">
        <v>1098</v>
      </c>
      <c r="F22" s="164">
        <v>660</v>
      </c>
      <c r="G22" s="174">
        <v>1295</v>
      </c>
      <c r="H22" s="164">
        <v>807</v>
      </c>
      <c r="I22" s="174">
        <v>1441</v>
      </c>
      <c r="J22" s="164">
        <v>914</v>
      </c>
      <c r="K22" s="174">
        <v>1270</v>
      </c>
      <c r="L22" s="164">
        <v>808</v>
      </c>
      <c r="M22" s="174">
        <v>1122</v>
      </c>
      <c r="N22" s="164">
        <v>739</v>
      </c>
    </row>
    <row r="23" spans="1:14">
      <c r="A23" s="629"/>
      <c r="B23" s="291"/>
      <c r="C23" s="291"/>
      <c r="D23" s="627" t="s">
        <v>1386</v>
      </c>
      <c r="E23" s="174" t="s">
        <v>643</v>
      </c>
      <c r="F23" s="164" t="s">
        <v>643</v>
      </c>
      <c r="G23" s="174" t="s">
        <v>643</v>
      </c>
      <c r="H23" s="164" t="s">
        <v>643</v>
      </c>
      <c r="I23" s="174" t="s">
        <v>643</v>
      </c>
      <c r="J23" s="164" t="s">
        <v>643</v>
      </c>
      <c r="K23" s="174" t="s">
        <v>643</v>
      </c>
      <c r="L23" s="164" t="s">
        <v>643</v>
      </c>
      <c r="M23" s="174" t="s">
        <v>643</v>
      </c>
      <c r="N23" s="164" t="s">
        <v>643</v>
      </c>
    </row>
    <row r="24" spans="1:14" ht="25.5" customHeight="1">
      <c r="A24" s="629"/>
      <c r="B24" s="941" t="s">
        <v>350</v>
      </c>
      <c r="C24" s="1431" t="s">
        <v>1236</v>
      </c>
      <c r="D24" s="1432"/>
      <c r="E24" s="20">
        <f t="shared" ref="E24:H24" si="8">SUM(E25:E29)</f>
        <v>233272</v>
      </c>
      <c r="F24" s="118">
        <f t="shared" si="8"/>
        <v>192545</v>
      </c>
      <c r="G24" s="118">
        <f t="shared" si="8"/>
        <v>252688</v>
      </c>
      <c r="H24" s="44">
        <f t="shared" si="8"/>
        <v>215732</v>
      </c>
      <c r="I24" s="118">
        <f t="shared" ref="I24:N24" si="9">SUM(I25:I29)</f>
        <v>268951</v>
      </c>
      <c r="J24" s="44">
        <f t="shared" si="9"/>
        <v>244711</v>
      </c>
      <c r="K24" s="118">
        <f t="shared" si="9"/>
        <v>277102</v>
      </c>
      <c r="L24" s="44">
        <f t="shared" si="9"/>
        <v>255510</v>
      </c>
      <c r="M24" s="118">
        <f t="shared" si="9"/>
        <v>284620</v>
      </c>
      <c r="N24" s="44">
        <f t="shared" si="9"/>
        <v>265365</v>
      </c>
    </row>
    <row r="25" spans="1:14">
      <c r="A25" s="629"/>
      <c r="B25" s="291"/>
      <c r="C25" s="291"/>
      <c r="D25" s="627" t="s">
        <v>1495</v>
      </c>
      <c r="E25" s="174">
        <v>226682</v>
      </c>
      <c r="F25" s="164">
        <v>186183</v>
      </c>
      <c r="G25" s="174">
        <v>246039</v>
      </c>
      <c r="H25" s="164">
        <v>209270</v>
      </c>
      <c r="I25" s="174">
        <v>258479</v>
      </c>
      <c r="J25" s="164">
        <v>235593</v>
      </c>
      <c r="K25" s="174">
        <v>267123</v>
      </c>
      <c r="L25" s="164">
        <v>245172</v>
      </c>
      <c r="M25" s="174">
        <v>270356</v>
      </c>
      <c r="N25" s="164">
        <v>253197</v>
      </c>
    </row>
    <row r="26" spans="1:14">
      <c r="A26" s="629"/>
      <c r="B26" s="291"/>
      <c r="C26" s="291"/>
      <c r="D26" s="627" t="s">
        <v>1496</v>
      </c>
      <c r="E26" s="174">
        <v>742</v>
      </c>
      <c r="F26" s="164">
        <v>352</v>
      </c>
      <c r="G26" s="174">
        <v>508</v>
      </c>
      <c r="H26" s="164">
        <v>200</v>
      </c>
      <c r="I26" s="1189">
        <v>545</v>
      </c>
      <c r="J26" s="164">
        <v>268</v>
      </c>
      <c r="K26" s="174">
        <v>355</v>
      </c>
      <c r="L26" s="164">
        <v>317</v>
      </c>
      <c r="M26" s="1070">
        <v>3262</v>
      </c>
      <c r="N26" s="294">
        <v>573</v>
      </c>
    </row>
    <row r="27" spans="1:14">
      <c r="A27" s="629"/>
      <c r="B27" s="291"/>
      <c r="C27" s="291"/>
      <c r="D27" s="627" t="s">
        <v>5</v>
      </c>
      <c r="E27" s="174">
        <v>2695</v>
      </c>
      <c r="F27" s="164">
        <v>1676</v>
      </c>
      <c r="G27" s="174">
        <v>2882</v>
      </c>
      <c r="H27" s="164">
        <v>1799</v>
      </c>
      <c r="I27" s="1189">
        <v>4661</v>
      </c>
      <c r="J27" s="164">
        <v>1586</v>
      </c>
      <c r="K27" s="174">
        <v>4518</v>
      </c>
      <c r="L27" s="164">
        <v>2520</v>
      </c>
      <c r="M27" s="174">
        <v>5713</v>
      </c>
      <c r="N27" s="164">
        <v>3741</v>
      </c>
    </row>
    <row r="28" spans="1:14">
      <c r="A28" s="629"/>
      <c r="B28" s="291"/>
      <c r="C28" s="291"/>
      <c r="D28" s="627" t="s">
        <v>1386</v>
      </c>
      <c r="E28" s="174" t="s">
        <v>643</v>
      </c>
      <c r="F28" s="164" t="s">
        <v>643</v>
      </c>
      <c r="G28" s="174" t="s">
        <v>643</v>
      </c>
      <c r="H28" s="164" t="s">
        <v>643</v>
      </c>
      <c r="I28" s="174" t="s">
        <v>643</v>
      </c>
      <c r="J28" s="164" t="s">
        <v>643</v>
      </c>
      <c r="K28" s="174" t="s">
        <v>643</v>
      </c>
      <c r="L28" s="164" t="s">
        <v>643</v>
      </c>
      <c r="M28" s="174" t="s">
        <v>643</v>
      </c>
      <c r="N28" s="164" t="s">
        <v>643</v>
      </c>
    </row>
    <row r="29" spans="1:14">
      <c r="A29" s="629"/>
      <c r="B29" s="291"/>
      <c r="C29" s="291"/>
      <c r="D29" s="627" t="s">
        <v>932</v>
      </c>
      <c r="E29" s="174">
        <v>3153</v>
      </c>
      <c r="F29" s="164">
        <v>4334</v>
      </c>
      <c r="G29" s="174">
        <v>3259</v>
      </c>
      <c r="H29" s="164">
        <v>4463</v>
      </c>
      <c r="I29" s="174">
        <v>5266</v>
      </c>
      <c r="J29" s="164">
        <v>7264</v>
      </c>
      <c r="K29" s="174">
        <v>5106</v>
      </c>
      <c r="L29" s="164">
        <v>7501</v>
      </c>
      <c r="M29" s="174">
        <v>5289</v>
      </c>
      <c r="N29" s="164">
        <v>7854</v>
      </c>
    </row>
    <row r="30" spans="1:14">
      <c r="A30" s="720">
        <v>2</v>
      </c>
      <c r="B30" s="1457" t="s">
        <v>1638</v>
      </c>
      <c r="C30" s="1457"/>
      <c r="D30" s="1458"/>
      <c r="E30" s="137">
        <v>22908</v>
      </c>
      <c r="F30" s="79">
        <v>17658</v>
      </c>
      <c r="G30" s="137">
        <v>29254</v>
      </c>
      <c r="H30" s="79">
        <v>21961</v>
      </c>
      <c r="I30" s="137">
        <v>31530</v>
      </c>
      <c r="J30" s="79">
        <v>25233</v>
      </c>
      <c r="K30" s="137">
        <v>35301</v>
      </c>
      <c r="L30" s="79">
        <v>28339</v>
      </c>
      <c r="M30" s="137">
        <v>39915</v>
      </c>
      <c r="N30" s="79">
        <v>31382</v>
      </c>
    </row>
    <row r="31" spans="1:14" ht="25.5" customHeight="1">
      <c r="A31" s="947">
        <v>3</v>
      </c>
      <c r="B31" s="1431" t="s">
        <v>1385</v>
      </c>
      <c r="C31" s="1447"/>
      <c r="D31" s="1448"/>
      <c r="E31" s="137">
        <v>1484</v>
      </c>
      <c r="F31" s="79">
        <v>1142</v>
      </c>
      <c r="G31" s="137">
        <v>1760</v>
      </c>
      <c r="H31" s="79">
        <v>1397</v>
      </c>
      <c r="I31" s="137">
        <v>2118</v>
      </c>
      <c r="J31" s="79">
        <v>1632</v>
      </c>
      <c r="K31" s="137">
        <v>1989</v>
      </c>
      <c r="L31" s="79">
        <v>1652</v>
      </c>
      <c r="M31" s="137">
        <v>1885</v>
      </c>
      <c r="N31" s="79">
        <v>1589</v>
      </c>
    </row>
    <row r="32" spans="1:14">
      <c r="A32" s="965">
        <v>4</v>
      </c>
      <c r="B32" s="1455" t="s">
        <v>157</v>
      </c>
      <c r="C32" s="1455"/>
      <c r="D32" s="1456"/>
      <c r="E32" s="168">
        <v>2757</v>
      </c>
      <c r="F32" s="875">
        <v>1884</v>
      </c>
      <c r="G32" s="168">
        <v>2221</v>
      </c>
      <c r="H32" s="875">
        <v>1598</v>
      </c>
      <c r="I32" s="168">
        <v>2173</v>
      </c>
      <c r="J32" s="875">
        <v>1656</v>
      </c>
      <c r="K32" s="168">
        <v>2103</v>
      </c>
      <c r="L32" s="875">
        <v>1479</v>
      </c>
      <c r="M32" s="168">
        <v>2489</v>
      </c>
      <c r="N32" s="875">
        <v>1643</v>
      </c>
    </row>
    <row r="33" spans="1:14" ht="11.25" customHeight="1">
      <c r="A33" s="604"/>
      <c r="B33" s="604"/>
      <c r="C33" s="604"/>
      <c r="D33" s="604"/>
      <c r="E33" s="604"/>
      <c r="F33" s="604"/>
      <c r="H33" s="608" t="s">
        <v>324</v>
      </c>
      <c r="I33" s="288" t="s">
        <v>6</v>
      </c>
      <c r="J33" s="288"/>
      <c r="K33" s="288"/>
      <c r="L33" s="618"/>
      <c r="M33" s="618"/>
      <c r="N33" s="618"/>
    </row>
    <row r="34" spans="1:14" ht="11.25" customHeight="1">
      <c r="A34" s="604"/>
      <c r="B34" s="604"/>
      <c r="C34" s="604"/>
      <c r="D34" s="604"/>
      <c r="E34" s="604"/>
      <c r="F34" s="604"/>
      <c r="H34" s="288"/>
      <c r="I34" s="288" t="s">
        <v>7</v>
      </c>
      <c r="J34" s="288"/>
      <c r="K34" s="288"/>
      <c r="L34" s="618"/>
      <c r="M34" s="618"/>
      <c r="N34" s="618"/>
    </row>
    <row r="35" spans="1:14" ht="11.25" customHeight="1">
      <c r="A35" s="604"/>
      <c r="B35" s="604"/>
      <c r="C35" s="604"/>
      <c r="D35" s="604"/>
      <c r="E35" s="604"/>
      <c r="F35" s="604"/>
      <c r="H35" s="288"/>
      <c r="I35" s="325" t="s">
        <v>8</v>
      </c>
      <c r="J35" s="325"/>
      <c r="K35" s="325"/>
      <c r="L35" s="966"/>
      <c r="M35" s="966"/>
      <c r="N35" s="966"/>
    </row>
    <row r="36" spans="1:14" ht="11.25" customHeight="1">
      <c r="A36" s="604"/>
      <c r="B36" s="604"/>
      <c r="C36" s="604"/>
      <c r="D36" s="604"/>
      <c r="E36" s="604"/>
      <c r="F36" s="604"/>
      <c r="H36" s="288"/>
      <c r="I36" s="325" t="s">
        <v>9</v>
      </c>
      <c r="J36" s="325"/>
      <c r="K36" s="325"/>
      <c r="L36" s="966"/>
      <c r="M36" s="966"/>
      <c r="N36" s="966"/>
    </row>
    <row r="37" spans="1:14" ht="11.25" customHeight="1">
      <c r="A37" s="604"/>
      <c r="B37" s="604"/>
      <c r="C37" s="604"/>
      <c r="D37" s="604"/>
      <c r="E37" s="604"/>
      <c r="F37" s="604"/>
      <c r="H37" s="288"/>
      <c r="I37" s="949" t="s">
        <v>1497</v>
      </c>
      <c r="J37" s="288"/>
      <c r="K37" s="288"/>
      <c r="L37" s="618"/>
      <c r="M37" s="618"/>
      <c r="N37" s="618"/>
    </row>
    <row r="38" spans="1:14" ht="11.25" customHeight="1">
      <c r="A38" s="604"/>
      <c r="B38" s="604"/>
      <c r="C38" s="604"/>
      <c r="D38" s="604"/>
      <c r="E38" s="604"/>
      <c r="F38" s="604"/>
      <c r="H38" s="288"/>
      <c r="I38" s="949" t="s">
        <v>352</v>
      </c>
      <c r="J38" s="288"/>
      <c r="K38" s="288"/>
      <c r="L38" s="618"/>
      <c r="M38" s="618"/>
      <c r="N38" s="618"/>
    </row>
    <row r="39" spans="1:14" ht="11.25" customHeight="1">
      <c r="A39" s="604"/>
      <c r="B39" s="604"/>
      <c r="C39" s="604"/>
      <c r="D39" s="604"/>
      <c r="E39" s="604"/>
      <c r="F39" s="604"/>
      <c r="H39" s="288"/>
      <c r="I39" s="949" t="s">
        <v>1498</v>
      </c>
      <c r="J39" s="288"/>
      <c r="K39" s="288"/>
      <c r="L39" s="618"/>
      <c r="M39" s="618"/>
      <c r="N39" s="618"/>
    </row>
    <row r="40" spans="1:14">
      <c r="A40" s="604"/>
      <c r="B40" s="604"/>
      <c r="C40" s="604"/>
      <c r="D40" s="604"/>
      <c r="E40" s="604"/>
      <c r="F40" s="604"/>
      <c r="G40" s="604"/>
      <c r="H40" s="604"/>
      <c r="I40" s="604"/>
      <c r="J40" s="604"/>
      <c r="K40" s="604"/>
      <c r="L40" s="604"/>
      <c r="M40" s="604"/>
      <c r="N40" s="604"/>
    </row>
    <row r="41" spans="1:14">
      <c r="A41" s="604"/>
      <c r="B41" s="604"/>
      <c r="C41" s="604"/>
      <c r="D41" s="604"/>
      <c r="E41" s="604"/>
      <c r="F41" s="604"/>
      <c r="G41" s="604"/>
      <c r="H41" s="604"/>
      <c r="I41" s="604"/>
      <c r="J41" s="604"/>
      <c r="K41" s="604"/>
      <c r="L41" s="604"/>
      <c r="M41" s="604"/>
      <c r="N41" s="604"/>
    </row>
    <row r="42" spans="1:14">
      <c r="A42" s="604"/>
      <c r="B42" s="604"/>
      <c r="C42" s="604"/>
      <c r="D42" s="604"/>
      <c r="E42" s="604"/>
      <c r="F42" s="604"/>
      <c r="G42" s="604"/>
      <c r="H42" s="604"/>
      <c r="I42" s="604"/>
      <c r="J42" s="604"/>
      <c r="K42" s="604"/>
      <c r="L42" s="604"/>
      <c r="M42" s="604"/>
      <c r="N42" s="604"/>
    </row>
    <row r="43" spans="1:14">
      <c r="A43" s="604"/>
      <c r="B43" s="604"/>
      <c r="C43" s="604"/>
      <c r="D43" s="604"/>
      <c r="E43" s="604"/>
      <c r="F43" s="604"/>
      <c r="G43" s="604"/>
      <c r="H43" s="604"/>
      <c r="I43" s="604"/>
      <c r="J43" s="604"/>
      <c r="K43" s="604"/>
      <c r="L43" s="604"/>
      <c r="M43" s="604"/>
      <c r="N43" s="604"/>
    </row>
    <row r="44" spans="1:14">
      <c r="A44" s="604"/>
      <c r="B44" s="604"/>
      <c r="C44" s="604"/>
      <c r="D44" s="604"/>
      <c r="E44" s="604"/>
      <c r="F44" s="604"/>
      <c r="G44" s="604"/>
      <c r="H44" s="604"/>
      <c r="I44" s="604"/>
      <c r="J44" s="604"/>
      <c r="K44" s="604"/>
      <c r="L44" s="604"/>
      <c r="M44" s="604"/>
      <c r="N44" s="604"/>
    </row>
    <row r="45" spans="1:14">
      <c r="A45" s="604"/>
      <c r="B45" s="604"/>
      <c r="C45" s="604"/>
      <c r="D45" s="604"/>
      <c r="E45" s="604"/>
      <c r="F45" s="604"/>
      <c r="G45" s="604"/>
      <c r="H45" s="604"/>
      <c r="I45" s="604"/>
      <c r="J45" s="604"/>
      <c r="K45" s="604"/>
      <c r="L45" s="604"/>
      <c r="M45" s="604"/>
      <c r="N45" s="604"/>
    </row>
  </sheetData>
  <mergeCells count="18">
    <mergeCell ref="M5:N5"/>
    <mergeCell ref="A1:N1"/>
    <mergeCell ref="A2:N2"/>
    <mergeCell ref="A7:D7"/>
    <mergeCell ref="A4:D6"/>
    <mergeCell ref="E4:N4"/>
    <mergeCell ref="K5:L5"/>
    <mergeCell ref="E5:F5"/>
    <mergeCell ref="G5:H5"/>
    <mergeCell ref="I5:J5"/>
    <mergeCell ref="B8:D8"/>
    <mergeCell ref="C9:D9"/>
    <mergeCell ref="C14:D14"/>
    <mergeCell ref="B32:D32"/>
    <mergeCell ref="C19:D19"/>
    <mergeCell ref="C24:D24"/>
    <mergeCell ref="B31:D31"/>
    <mergeCell ref="B30:D30"/>
  </mergeCells>
  <phoneticPr fontId="0" type="noConversion"/>
  <printOptions horizontalCentered="1"/>
  <pageMargins left="0.1" right="0.1" top="0.25" bottom="0.18" header="0.15" footer="0.14000000000000001"/>
  <pageSetup paperSize="9" orientation="landscape" blackAndWhite="1" r:id="rId1"/>
  <headerFooter alignWithMargins="0"/>
</worksheet>
</file>

<file path=xl/worksheets/sheet33.xml><?xml version="1.0" encoding="utf-8"?>
<worksheet xmlns="http://schemas.openxmlformats.org/spreadsheetml/2006/main" xmlns:r="http://schemas.openxmlformats.org/officeDocument/2006/relationships">
  <sheetPr codeName="Sheet30"/>
  <dimension ref="A1:P42"/>
  <sheetViews>
    <sheetView workbookViewId="0">
      <selection activeCell="Q15" sqref="Q15:Q16"/>
    </sheetView>
  </sheetViews>
  <sheetFormatPr defaultRowHeight="12.75"/>
  <cols>
    <col min="1" max="1" width="1.85546875" style="405" customWidth="1"/>
    <col min="2" max="2" width="2.85546875" style="405" customWidth="1"/>
    <col min="3" max="3" width="1.7109375" style="405" customWidth="1"/>
    <col min="4" max="4" width="52" style="405" customWidth="1"/>
    <col min="5" max="5" width="7.5703125" style="405" customWidth="1"/>
    <col min="6" max="6" width="7.42578125" style="405" customWidth="1"/>
    <col min="7" max="7" width="6.5703125" style="405" customWidth="1"/>
    <col min="8" max="8" width="7.28515625" style="405" customWidth="1"/>
    <col min="9" max="9" width="6.85546875" style="405" customWidth="1"/>
    <col min="10" max="10" width="7.140625" style="405" customWidth="1"/>
    <col min="11" max="11" width="7.28515625" style="405" customWidth="1"/>
    <col min="12" max="12" width="7.85546875" style="405" customWidth="1"/>
    <col min="13" max="13" width="7.28515625" style="405" customWidth="1"/>
    <col min="14" max="14" width="7.140625" style="405" customWidth="1"/>
    <col min="15" max="16384" width="9.140625" style="405"/>
  </cols>
  <sheetData>
    <row r="1" spans="1:16" ht="12.75" customHeight="1">
      <c r="A1" s="1435" t="s">
        <v>443</v>
      </c>
      <c r="B1" s="1435"/>
      <c r="C1" s="1435"/>
      <c r="D1" s="1435"/>
      <c r="E1" s="1435"/>
      <c r="F1" s="1435"/>
      <c r="G1" s="1435"/>
      <c r="H1" s="1435"/>
      <c r="I1" s="1435"/>
      <c r="J1" s="1435"/>
      <c r="K1" s="1435"/>
      <c r="L1" s="1435"/>
      <c r="M1" s="1435"/>
      <c r="N1" s="1435"/>
    </row>
    <row r="2" spans="1:16" s="412" customFormat="1" ht="13.5" customHeight="1">
      <c r="A2" s="1338" t="str">
        <f>CONCATENATE("Students by sex in different type of Professional &amp; Technical Educational Institutions in the district of ",District!A1)</f>
        <v>Students by sex in different type of Professional &amp; Technical Educational Institutions in the district of Nadia</v>
      </c>
      <c r="B2" s="1338"/>
      <c r="C2" s="1338"/>
      <c r="D2" s="1338"/>
      <c r="E2" s="1338"/>
      <c r="F2" s="1338"/>
      <c r="G2" s="1338"/>
      <c r="H2" s="1338"/>
      <c r="I2" s="1338"/>
      <c r="J2" s="1338"/>
      <c r="K2" s="1338"/>
      <c r="L2" s="1338"/>
      <c r="M2" s="1338"/>
      <c r="N2" s="1338"/>
    </row>
    <row r="3" spans="1:16">
      <c r="A3" s="412"/>
      <c r="B3" s="412"/>
      <c r="C3" s="412"/>
      <c r="D3" s="412"/>
      <c r="E3" s="412"/>
      <c r="F3" s="412"/>
      <c r="G3" s="412"/>
      <c r="H3" s="412"/>
      <c r="I3" s="412"/>
      <c r="J3" s="412"/>
      <c r="K3" s="412"/>
      <c r="L3" s="412"/>
      <c r="M3" s="412"/>
      <c r="N3" s="429" t="s">
        <v>223</v>
      </c>
    </row>
    <row r="4" spans="1:16" ht="12.75" customHeight="1">
      <c r="A4" s="1268" t="s">
        <v>1092</v>
      </c>
      <c r="B4" s="1265"/>
      <c r="C4" s="1265"/>
      <c r="D4" s="1266"/>
      <c r="E4" s="1253" t="s">
        <v>107</v>
      </c>
      <c r="F4" s="1251"/>
      <c r="G4" s="1251"/>
      <c r="H4" s="1251"/>
      <c r="I4" s="1251"/>
      <c r="J4" s="1251"/>
      <c r="K4" s="1251"/>
      <c r="L4" s="1251"/>
      <c r="M4" s="1251"/>
      <c r="N4" s="1252"/>
    </row>
    <row r="5" spans="1:16">
      <c r="A5" s="1351"/>
      <c r="B5" s="1404"/>
      <c r="C5" s="1404"/>
      <c r="D5" s="1398"/>
      <c r="E5" s="1253" t="str">
        <f>District!C11</f>
        <v>2009-10</v>
      </c>
      <c r="F5" s="1252"/>
      <c r="G5" s="1253" t="str">
        <f>District!E11</f>
        <v>2010-11</v>
      </c>
      <c r="H5" s="1252"/>
      <c r="I5" s="1253" t="str">
        <f>District!G11</f>
        <v>2011-12</v>
      </c>
      <c r="J5" s="1252"/>
      <c r="K5" s="1253" t="str">
        <f>District!I11</f>
        <v>2012-13</v>
      </c>
      <c r="L5" s="1252"/>
      <c r="M5" s="1253" t="str">
        <f>District!K11</f>
        <v>2013-14</v>
      </c>
      <c r="N5" s="1252"/>
    </row>
    <row r="6" spans="1:16">
      <c r="A6" s="1399"/>
      <c r="B6" s="1290"/>
      <c r="C6" s="1290"/>
      <c r="D6" s="1325"/>
      <c r="E6" s="221" t="s">
        <v>246</v>
      </c>
      <c r="F6" s="393" t="s">
        <v>249</v>
      </c>
      <c r="G6" s="452" t="s">
        <v>246</v>
      </c>
      <c r="H6" s="221" t="s">
        <v>249</v>
      </c>
      <c r="I6" s="221" t="s">
        <v>246</v>
      </c>
      <c r="J6" s="393" t="s">
        <v>249</v>
      </c>
      <c r="K6" s="221" t="s">
        <v>246</v>
      </c>
      <c r="L6" s="393" t="s">
        <v>249</v>
      </c>
      <c r="M6" s="221" t="s">
        <v>246</v>
      </c>
      <c r="N6" s="393" t="s">
        <v>249</v>
      </c>
    </row>
    <row r="7" spans="1:16">
      <c r="A7" s="1428" t="s">
        <v>163</v>
      </c>
      <c r="B7" s="1429"/>
      <c r="C7" s="1429"/>
      <c r="D7" s="1430"/>
      <c r="E7" s="225" t="s">
        <v>164</v>
      </c>
      <c r="F7" s="224" t="s">
        <v>165</v>
      </c>
      <c r="G7" s="226" t="s">
        <v>166</v>
      </c>
      <c r="H7" s="304" t="s">
        <v>167</v>
      </c>
      <c r="I7" s="304" t="s">
        <v>168</v>
      </c>
      <c r="J7" s="481" t="s">
        <v>169</v>
      </c>
      <c r="K7" s="225" t="s">
        <v>211</v>
      </c>
      <c r="L7" s="481" t="s">
        <v>212</v>
      </c>
      <c r="M7" s="225" t="s">
        <v>213</v>
      </c>
      <c r="N7" s="481" t="s">
        <v>214</v>
      </c>
    </row>
    <row r="8" spans="1:16" s="6" customFormat="1">
      <c r="A8" s="940">
        <v>1</v>
      </c>
      <c r="B8" s="1424" t="s">
        <v>1181</v>
      </c>
      <c r="C8" s="1424"/>
      <c r="D8" s="1425"/>
      <c r="E8" s="44">
        <f t="shared" ref="E8:H8" si="0">SUM(E9,E14,E17)</f>
        <v>8697</v>
      </c>
      <c r="F8" s="44">
        <f t="shared" si="0"/>
        <v>3332</v>
      </c>
      <c r="G8" s="44">
        <f t="shared" si="0"/>
        <v>9259</v>
      </c>
      <c r="H8" s="44">
        <f t="shared" si="0"/>
        <v>3556</v>
      </c>
      <c r="I8" s="44">
        <f t="shared" ref="I8:N8" si="1">SUM(I9,I14,I17)</f>
        <v>9420</v>
      </c>
      <c r="J8" s="44">
        <f t="shared" si="1"/>
        <v>4488</v>
      </c>
      <c r="K8" s="44">
        <f t="shared" si="1"/>
        <v>10322</v>
      </c>
      <c r="L8" s="44">
        <f t="shared" si="1"/>
        <v>6191</v>
      </c>
      <c r="M8" s="44">
        <f t="shared" si="1"/>
        <v>2349</v>
      </c>
      <c r="N8" s="44">
        <f t="shared" si="1"/>
        <v>1073</v>
      </c>
    </row>
    <row r="9" spans="1:16">
      <c r="A9" s="292"/>
      <c r="B9" s="24" t="s">
        <v>349</v>
      </c>
      <c r="C9" s="229" t="s">
        <v>10</v>
      </c>
      <c r="D9" s="24"/>
      <c r="E9" s="118">
        <f t="shared" ref="E9:H9" si="2">SUM(E10:E13)</f>
        <v>547</v>
      </c>
      <c r="F9" s="118">
        <f t="shared" si="2"/>
        <v>173</v>
      </c>
      <c r="G9" s="118">
        <f t="shared" si="2"/>
        <v>539</v>
      </c>
      <c r="H9" s="118">
        <f t="shared" si="2"/>
        <v>174</v>
      </c>
      <c r="I9" s="118">
        <f t="shared" ref="I9:N9" si="3">SUM(I10:I13)</f>
        <v>1142</v>
      </c>
      <c r="J9" s="118">
        <f t="shared" si="3"/>
        <v>230</v>
      </c>
      <c r="K9" s="118">
        <f t="shared" si="3"/>
        <v>1563</v>
      </c>
      <c r="L9" s="118">
        <f t="shared" si="3"/>
        <v>260</v>
      </c>
      <c r="M9" s="118">
        <f t="shared" si="3"/>
        <v>1367</v>
      </c>
      <c r="N9" s="118">
        <f t="shared" si="3"/>
        <v>217</v>
      </c>
    </row>
    <row r="10" spans="1:16">
      <c r="A10" s="292"/>
      <c r="B10" s="24"/>
      <c r="C10" s="24"/>
      <c r="D10" s="942" t="s">
        <v>353</v>
      </c>
      <c r="E10" s="174">
        <v>62</v>
      </c>
      <c r="F10" s="294" t="s">
        <v>643</v>
      </c>
      <c r="G10" s="174">
        <v>57</v>
      </c>
      <c r="H10" s="164" t="s">
        <v>643</v>
      </c>
      <c r="I10" s="174">
        <v>71</v>
      </c>
      <c r="J10" s="164" t="s">
        <v>643</v>
      </c>
      <c r="K10" s="174">
        <v>264</v>
      </c>
      <c r="L10" s="164">
        <v>16</v>
      </c>
      <c r="M10" s="1070" t="s">
        <v>643</v>
      </c>
      <c r="N10" s="294" t="s">
        <v>643</v>
      </c>
      <c r="P10" s="6"/>
    </row>
    <row r="11" spans="1:16">
      <c r="A11" s="292"/>
      <c r="B11" s="24"/>
      <c r="C11" s="24"/>
      <c r="D11" s="942" t="s">
        <v>29</v>
      </c>
      <c r="E11" s="293" t="s">
        <v>643</v>
      </c>
      <c r="F11" s="294" t="s">
        <v>643</v>
      </c>
      <c r="G11" s="174" t="s">
        <v>643</v>
      </c>
      <c r="H11" s="164" t="s">
        <v>643</v>
      </c>
      <c r="I11" s="174" t="s">
        <v>643</v>
      </c>
      <c r="J11" s="164" t="s">
        <v>643</v>
      </c>
      <c r="K11" s="174" t="s">
        <v>643</v>
      </c>
      <c r="L11" s="164" t="s">
        <v>643</v>
      </c>
      <c r="M11" s="174" t="s">
        <v>643</v>
      </c>
      <c r="N11" s="164" t="s">
        <v>643</v>
      </c>
    </row>
    <row r="12" spans="1:16">
      <c r="A12" s="292"/>
      <c r="B12" s="24"/>
      <c r="C12" s="24"/>
      <c r="D12" s="942" t="s">
        <v>1501</v>
      </c>
      <c r="E12" s="174">
        <v>427</v>
      </c>
      <c r="F12" s="164">
        <v>141</v>
      </c>
      <c r="G12" s="174">
        <v>407</v>
      </c>
      <c r="H12" s="164">
        <v>142</v>
      </c>
      <c r="I12" s="174">
        <v>869</v>
      </c>
      <c r="J12" s="164">
        <v>191</v>
      </c>
      <c r="K12" s="174">
        <v>1222</v>
      </c>
      <c r="L12" s="164">
        <v>207</v>
      </c>
      <c r="M12" s="174">
        <v>1367</v>
      </c>
      <c r="N12" s="164">
        <v>217</v>
      </c>
    </row>
    <row r="13" spans="1:16">
      <c r="A13" s="292"/>
      <c r="B13" s="24"/>
      <c r="C13" s="24"/>
      <c r="D13" s="942" t="s">
        <v>1502</v>
      </c>
      <c r="E13" s="164">
        <v>58</v>
      </c>
      <c r="F13" s="164">
        <v>32</v>
      </c>
      <c r="G13" s="164">
        <v>75</v>
      </c>
      <c r="H13" s="164">
        <v>32</v>
      </c>
      <c r="I13" s="164">
        <v>202</v>
      </c>
      <c r="J13" s="164">
        <v>39</v>
      </c>
      <c r="K13" s="164">
        <v>77</v>
      </c>
      <c r="L13" s="164">
        <v>37</v>
      </c>
      <c r="M13" s="294" t="s">
        <v>643</v>
      </c>
      <c r="N13" s="294" t="s">
        <v>643</v>
      </c>
    </row>
    <row r="14" spans="1:16">
      <c r="A14" s="292"/>
      <c r="B14" s="24" t="s">
        <v>347</v>
      </c>
      <c r="C14" s="229" t="s">
        <v>354</v>
      </c>
      <c r="D14" s="967"/>
      <c r="E14" s="118">
        <f t="shared" ref="E14:J14" si="4">SUM(E15:E16)</f>
        <v>257</v>
      </c>
      <c r="F14" s="118">
        <f t="shared" si="4"/>
        <v>354</v>
      </c>
      <c r="G14" s="118">
        <f t="shared" si="4"/>
        <v>326</v>
      </c>
      <c r="H14" s="118">
        <f t="shared" si="4"/>
        <v>359</v>
      </c>
      <c r="I14" s="118">
        <f t="shared" si="4"/>
        <v>199</v>
      </c>
      <c r="J14" s="118">
        <f t="shared" si="4"/>
        <v>279</v>
      </c>
      <c r="K14" s="118">
        <f>SUM(K15:K16)</f>
        <v>807</v>
      </c>
      <c r="L14" s="118">
        <f>SUM(L15:L16)</f>
        <v>621</v>
      </c>
      <c r="M14" s="118">
        <f>SUM(M15:M16)</f>
        <v>982</v>
      </c>
      <c r="N14" s="118">
        <f>SUM(N15:N16)</f>
        <v>856</v>
      </c>
    </row>
    <row r="15" spans="1:16" ht="12.75" customHeight="1">
      <c r="A15" s="292"/>
      <c r="B15" s="24"/>
      <c r="C15" s="24"/>
      <c r="D15" s="968" t="s">
        <v>1503</v>
      </c>
      <c r="E15" s="174">
        <v>257</v>
      </c>
      <c r="F15" s="164">
        <v>89</v>
      </c>
      <c r="G15" s="294">
        <v>326</v>
      </c>
      <c r="H15" s="164">
        <v>117</v>
      </c>
      <c r="I15" s="294">
        <v>199</v>
      </c>
      <c r="J15" s="164">
        <v>93</v>
      </c>
      <c r="K15" s="294">
        <v>807</v>
      </c>
      <c r="L15" s="164">
        <v>475</v>
      </c>
      <c r="M15" s="294">
        <v>982</v>
      </c>
      <c r="N15" s="164">
        <v>636</v>
      </c>
    </row>
    <row r="16" spans="1:16">
      <c r="A16" s="292"/>
      <c r="B16" s="24"/>
      <c r="C16" s="24"/>
      <c r="D16" s="942" t="s">
        <v>355</v>
      </c>
      <c r="E16" s="293" t="s">
        <v>643</v>
      </c>
      <c r="F16" s="164">
        <v>265</v>
      </c>
      <c r="G16" s="293" t="s">
        <v>643</v>
      </c>
      <c r="H16" s="164">
        <v>242</v>
      </c>
      <c r="I16" s="293" t="s">
        <v>643</v>
      </c>
      <c r="J16" s="164">
        <v>186</v>
      </c>
      <c r="K16" s="174" t="s">
        <v>643</v>
      </c>
      <c r="L16" s="164">
        <v>146</v>
      </c>
      <c r="M16" s="174" t="s">
        <v>643</v>
      </c>
      <c r="N16" s="164">
        <v>220</v>
      </c>
    </row>
    <row r="17" spans="1:14" ht="25.5" customHeight="1">
      <c r="A17" s="292"/>
      <c r="B17" s="941" t="s">
        <v>348</v>
      </c>
      <c r="C17" s="1420" t="s">
        <v>1505</v>
      </c>
      <c r="D17" s="1421"/>
      <c r="E17" s="137">
        <v>7893</v>
      </c>
      <c r="F17" s="79">
        <v>2805</v>
      </c>
      <c r="G17" s="137">
        <v>8394</v>
      </c>
      <c r="H17" s="79">
        <v>3023</v>
      </c>
      <c r="I17" s="137">
        <v>8079</v>
      </c>
      <c r="J17" s="79">
        <v>3979</v>
      </c>
      <c r="K17" s="137">
        <v>7952</v>
      </c>
      <c r="L17" s="79">
        <v>5310</v>
      </c>
      <c r="M17" s="167" t="s">
        <v>643</v>
      </c>
      <c r="N17" s="850" t="s">
        <v>643</v>
      </c>
    </row>
    <row r="18" spans="1:14">
      <c r="A18" s="945">
        <v>2</v>
      </c>
      <c r="B18" s="1459" t="s">
        <v>1182</v>
      </c>
      <c r="C18" s="1459"/>
      <c r="D18" s="1460"/>
      <c r="E18" s="118">
        <f t="shared" ref="E18:H18" si="5">SUM(E19,E26,E29)</f>
        <v>3387</v>
      </c>
      <c r="F18" s="118">
        <f t="shared" si="5"/>
        <v>1083</v>
      </c>
      <c r="G18" s="118">
        <f t="shared" si="5"/>
        <v>3235</v>
      </c>
      <c r="H18" s="118">
        <f t="shared" si="5"/>
        <v>1138</v>
      </c>
      <c r="I18" s="118">
        <f t="shared" ref="I18:N18" si="6">SUM(I19,I26,I29)</f>
        <v>3904</v>
      </c>
      <c r="J18" s="118">
        <f t="shared" si="6"/>
        <v>1189</v>
      </c>
      <c r="K18" s="118">
        <f t="shared" si="6"/>
        <v>7500</v>
      </c>
      <c r="L18" s="118">
        <f t="shared" si="6"/>
        <v>2399</v>
      </c>
      <c r="M18" s="118">
        <f t="shared" si="6"/>
        <v>8927</v>
      </c>
      <c r="N18" s="118">
        <f t="shared" si="6"/>
        <v>2367</v>
      </c>
    </row>
    <row r="19" spans="1:14">
      <c r="A19" s="292"/>
      <c r="B19" s="24" t="s">
        <v>349</v>
      </c>
      <c r="C19" s="229" t="s">
        <v>18</v>
      </c>
      <c r="D19" s="967"/>
      <c r="E19" s="118">
        <f t="shared" ref="E19:H19" si="7">SUM(E20:E25)</f>
        <v>2892</v>
      </c>
      <c r="F19" s="118">
        <f t="shared" si="7"/>
        <v>648</v>
      </c>
      <c r="G19" s="118">
        <f t="shared" si="7"/>
        <v>2731</v>
      </c>
      <c r="H19" s="118">
        <f t="shared" si="7"/>
        <v>672</v>
      </c>
      <c r="I19" s="118">
        <f t="shared" ref="I19:N19" si="8">SUM(I20:I25)</f>
        <v>3455</v>
      </c>
      <c r="J19" s="118">
        <f t="shared" si="8"/>
        <v>699</v>
      </c>
      <c r="K19" s="118">
        <f t="shared" si="8"/>
        <v>6741</v>
      </c>
      <c r="L19" s="118">
        <f t="shared" si="8"/>
        <v>1479</v>
      </c>
      <c r="M19" s="118">
        <f t="shared" si="8"/>
        <v>8072</v>
      </c>
      <c r="N19" s="118">
        <f t="shared" si="8"/>
        <v>1456</v>
      </c>
    </row>
    <row r="20" spans="1:14" ht="12.75" customHeight="1">
      <c r="A20" s="292"/>
      <c r="B20" s="24"/>
      <c r="C20" s="24"/>
      <c r="D20" s="969" t="s">
        <v>19</v>
      </c>
      <c r="E20" s="293" t="s">
        <v>643</v>
      </c>
      <c r="F20" s="164" t="s">
        <v>643</v>
      </c>
      <c r="G20" s="174">
        <v>63</v>
      </c>
      <c r="H20" s="164">
        <v>37</v>
      </c>
      <c r="I20" s="174">
        <v>129</v>
      </c>
      <c r="J20" s="164">
        <v>67</v>
      </c>
      <c r="K20" s="174">
        <v>64</v>
      </c>
      <c r="L20" s="164">
        <v>36</v>
      </c>
      <c r="M20" s="174">
        <v>316</v>
      </c>
      <c r="N20" s="164">
        <v>184</v>
      </c>
    </row>
    <row r="21" spans="1:14">
      <c r="A21" s="292"/>
      <c r="B21" s="24"/>
      <c r="C21" s="24"/>
      <c r="D21" s="942" t="s">
        <v>20</v>
      </c>
      <c r="E21" s="174">
        <v>1990</v>
      </c>
      <c r="F21" s="164">
        <v>371</v>
      </c>
      <c r="G21" s="174">
        <v>1756</v>
      </c>
      <c r="H21" s="164">
        <v>379</v>
      </c>
      <c r="I21" s="174">
        <v>2289</v>
      </c>
      <c r="J21" s="164">
        <v>422</v>
      </c>
      <c r="K21" s="174">
        <v>2472</v>
      </c>
      <c r="L21" s="164">
        <v>436</v>
      </c>
      <c r="M21" s="174">
        <v>2965</v>
      </c>
      <c r="N21" s="164">
        <v>563</v>
      </c>
    </row>
    <row r="22" spans="1:14">
      <c r="A22" s="292"/>
      <c r="B22" s="24"/>
      <c r="C22" s="24"/>
      <c r="D22" s="942" t="s">
        <v>21</v>
      </c>
      <c r="E22" s="174">
        <v>178</v>
      </c>
      <c r="F22" s="164">
        <v>133</v>
      </c>
      <c r="G22" s="174">
        <v>276</v>
      </c>
      <c r="H22" s="164">
        <v>122</v>
      </c>
      <c r="I22" s="174">
        <v>371</v>
      </c>
      <c r="J22" s="164">
        <v>87</v>
      </c>
      <c r="K22" s="174">
        <v>2680</v>
      </c>
      <c r="L22" s="164">
        <v>777</v>
      </c>
      <c r="M22" s="174">
        <v>2986</v>
      </c>
      <c r="N22" s="164">
        <v>498</v>
      </c>
    </row>
    <row r="23" spans="1:14">
      <c r="A23" s="292"/>
      <c r="B23" s="24"/>
      <c r="C23" s="24"/>
      <c r="D23" s="942" t="s">
        <v>22</v>
      </c>
      <c r="E23" s="174">
        <v>509</v>
      </c>
      <c r="F23" s="164">
        <v>95</v>
      </c>
      <c r="G23" s="174">
        <v>459</v>
      </c>
      <c r="H23" s="164">
        <v>97</v>
      </c>
      <c r="I23" s="174">
        <v>534</v>
      </c>
      <c r="J23" s="164">
        <v>102</v>
      </c>
      <c r="K23" s="174">
        <v>1364</v>
      </c>
      <c r="L23" s="164">
        <v>194</v>
      </c>
      <c r="M23" s="174">
        <v>1604</v>
      </c>
      <c r="N23" s="164">
        <v>163</v>
      </c>
    </row>
    <row r="24" spans="1:14">
      <c r="A24" s="292"/>
      <c r="B24" s="24"/>
      <c r="C24" s="24"/>
      <c r="D24" s="942" t="s">
        <v>23</v>
      </c>
      <c r="E24" s="174">
        <v>215</v>
      </c>
      <c r="F24" s="164">
        <v>49</v>
      </c>
      <c r="G24" s="174">
        <v>177</v>
      </c>
      <c r="H24" s="164">
        <v>37</v>
      </c>
      <c r="I24" s="174">
        <v>132</v>
      </c>
      <c r="J24" s="164">
        <v>21</v>
      </c>
      <c r="K24" s="174">
        <v>161</v>
      </c>
      <c r="L24" s="164">
        <v>36</v>
      </c>
      <c r="M24" s="174">
        <v>201</v>
      </c>
      <c r="N24" s="164">
        <v>48</v>
      </c>
    </row>
    <row r="25" spans="1:14" ht="39" customHeight="1">
      <c r="A25" s="292"/>
      <c r="B25" s="24"/>
      <c r="C25" s="24"/>
      <c r="D25" s="970" t="s">
        <v>988</v>
      </c>
      <c r="E25" s="293" t="s">
        <v>643</v>
      </c>
      <c r="F25" s="164" t="s">
        <v>643</v>
      </c>
      <c r="G25" s="174" t="s">
        <v>643</v>
      </c>
      <c r="H25" s="164" t="s">
        <v>643</v>
      </c>
      <c r="I25" s="174" t="s">
        <v>643</v>
      </c>
      <c r="J25" s="164" t="s">
        <v>643</v>
      </c>
      <c r="K25" s="174" t="s">
        <v>643</v>
      </c>
      <c r="L25" s="164" t="s">
        <v>643</v>
      </c>
      <c r="M25" s="174" t="s">
        <v>643</v>
      </c>
      <c r="N25" s="164" t="s">
        <v>643</v>
      </c>
    </row>
    <row r="26" spans="1:14">
      <c r="A26" s="292"/>
      <c r="B26" s="24" t="s">
        <v>347</v>
      </c>
      <c r="C26" s="229" t="s">
        <v>393</v>
      </c>
      <c r="D26" s="942"/>
      <c r="E26" s="44">
        <f t="shared" ref="E26:H26" si="9">SUM(E27:E28)</f>
        <v>305</v>
      </c>
      <c r="F26" s="44">
        <f t="shared" si="9"/>
        <v>267</v>
      </c>
      <c r="G26" s="44">
        <f t="shared" si="9"/>
        <v>315</v>
      </c>
      <c r="H26" s="44">
        <f t="shared" si="9"/>
        <v>273</v>
      </c>
      <c r="I26" s="44">
        <f t="shared" ref="I26:N26" si="10">SUM(I27:I28)</f>
        <v>232</v>
      </c>
      <c r="J26" s="44">
        <f t="shared" si="10"/>
        <v>268</v>
      </c>
      <c r="K26" s="44">
        <f t="shared" si="10"/>
        <v>543</v>
      </c>
      <c r="L26" s="44">
        <f t="shared" si="10"/>
        <v>663</v>
      </c>
      <c r="M26" s="44">
        <f t="shared" si="10"/>
        <v>634</v>
      </c>
      <c r="N26" s="44">
        <f t="shared" si="10"/>
        <v>660</v>
      </c>
    </row>
    <row r="27" spans="1:14">
      <c r="A27" s="292"/>
      <c r="B27" s="24"/>
      <c r="C27" s="24"/>
      <c r="D27" s="942" t="s">
        <v>30</v>
      </c>
      <c r="E27" s="174">
        <v>305</v>
      </c>
      <c r="F27" s="164">
        <v>267</v>
      </c>
      <c r="G27" s="174">
        <v>315</v>
      </c>
      <c r="H27" s="164">
        <v>273</v>
      </c>
      <c r="I27" s="174">
        <v>232</v>
      </c>
      <c r="J27" s="164">
        <v>268</v>
      </c>
      <c r="K27" s="174">
        <v>543</v>
      </c>
      <c r="L27" s="164">
        <v>663</v>
      </c>
      <c r="M27" s="174">
        <v>634</v>
      </c>
      <c r="N27" s="164">
        <v>660</v>
      </c>
    </row>
    <row r="28" spans="1:14">
      <c r="A28" s="292"/>
      <c r="B28" s="24"/>
      <c r="C28" s="24"/>
      <c r="D28" s="942" t="s">
        <v>24</v>
      </c>
      <c r="E28" s="174" t="s">
        <v>643</v>
      </c>
      <c r="F28" s="164" t="s">
        <v>643</v>
      </c>
      <c r="G28" s="174" t="s">
        <v>643</v>
      </c>
      <c r="H28" s="164" t="s">
        <v>643</v>
      </c>
      <c r="I28" s="174" t="s">
        <v>643</v>
      </c>
      <c r="J28" s="164" t="s">
        <v>643</v>
      </c>
      <c r="K28" s="174" t="s">
        <v>643</v>
      </c>
      <c r="L28" s="164" t="s">
        <v>643</v>
      </c>
      <c r="M28" s="174" t="s">
        <v>643</v>
      </c>
      <c r="N28" s="164" t="s">
        <v>643</v>
      </c>
    </row>
    <row r="29" spans="1:14">
      <c r="A29" s="292"/>
      <c r="B29" s="24" t="s">
        <v>348</v>
      </c>
      <c r="C29" s="229" t="s">
        <v>26</v>
      </c>
      <c r="D29" s="942"/>
      <c r="E29" s="391">
        <f t="shared" ref="E29:H29" si="11">SUM(E30:E34)</f>
        <v>190</v>
      </c>
      <c r="F29" s="391">
        <f t="shared" si="11"/>
        <v>168</v>
      </c>
      <c r="G29" s="118">
        <f t="shared" si="11"/>
        <v>189</v>
      </c>
      <c r="H29" s="118">
        <f t="shared" si="11"/>
        <v>193</v>
      </c>
      <c r="I29" s="118">
        <f t="shared" ref="I29:N29" si="12">SUM(I30:I34)</f>
        <v>217</v>
      </c>
      <c r="J29" s="118">
        <f t="shared" si="12"/>
        <v>222</v>
      </c>
      <c r="K29" s="118">
        <f t="shared" si="12"/>
        <v>216</v>
      </c>
      <c r="L29" s="118">
        <f t="shared" si="12"/>
        <v>257</v>
      </c>
      <c r="M29" s="118">
        <f t="shared" si="12"/>
        <v>221</v>
      </c>
      <c r="N29" s="118">
        <f t="shared" si="12"/>
        <v>251</v>
      </c>
    </row>
    <row r="30" spans="1:14">
      <c r="A30" s="292"/>
      <c r="B30" s="24"/>
      <c r="C30" s="24"/>
      <c r="D30" s="942" t="s">
        <v>395</v>
      </c>
      <c r="E30" s="293">
        <v>190</v>
      </c>
      <c r="F30" s="294">
        <v>168</v>
      </c>
      <c r="G30" s="293">
        <v>189</v>
      </c>
      <c r="H30" s="294">
        <v>193</v>
      </c>
      <c r="I30" s="293">
        <v>217</v>
      </c>
      <c r="J30" s="294">
        <v>222</v>
      </c>
      <c r="K30" s="293">
        <v>216</v>
      </c>
      <c r="L30" s="294">
        <v>257</v>
      </c>
      <c r="M30" s="293">
        <v>221</v>
      </c>
      <c r="N30" s="294">
        <v>251</v>
      </c>
    </row>
    <row r="31" spans="1:14">
      <c r="A31" s="292"/>
      <c r="B31" s="24"/>
      <c r="C31" s="24"/>
      <c r="D31" s="942" t="s">
        <v>396</v>
      </c>
      <c r="E31" s="174" t="s">
        <v>643</v>
      </c>
      <c r="F31" s="164" t="s">
        <v>643</v>
      </c>
      <c r="G31" s="174" t="s">
        <v>643</v>
      </c>
      <c r="H31" s="164" t="s">
        <v>643</v>
      </c>
      <c r="I31" s="174" t="s">
        <v>643</v>
      </c>
      <c r="J31" s="164" t="s">
        <v>643</v>
      </c>
      <c r="K31" s="174" t="s">
        <v>643</v>
      </c>
      <c r="L31" s="164" t="s">
        <v>643</v>
      </c>
      <c r="M31" s="174" t="s">
        <v>643</v>
      </c>
      <c r="N31" s="164" t="s">
        <v>643</v>
      </c>
    </row>
    <row r="32" spans="1:14">
      <c r="A32" s="292"/>
      <c r="B32" s="24"/>
      <c r="C32" s="24"/>
      <c r="D32" s="942" t="s">
        <v>405</v>
      </c>
      <c r="E32" s="174" t="s">
        <v>643</v>
      </c>
      <c r="F32" s="164" t="s">
        <v>643</v>
      </c>
      <c r="G32" s="174" t="s">
        <v>643</v>
      </c>
      <c r="H32" s="164" t="s">
        <v>643</v>
      </c>
      <c r="I32" s="174" t="s">
        <v>643</v>
      </c>
      <c r="J32" s="164" t="s">
        <v>643</v>
      </c>
      <c r="K32" s="174" t="s">
        <v>643</v>
      </c>
      <c r="L32" s="164" t="s">
        <v>643</v>
      </c>
      <c r="M32" s="174" t="s">
        <v>643</v>
      </c>
      <c r="N32" s="164" t="s">
        <v>643</v>
      </c>
    </row>
    <row r="33" spans="1:14">
      <c r="A33" s="292"/>
      <c r="B33" s="24"/>
      <c r="C33" s="24"/>
      <c r="D33" s="942" t="s">
        <v>397</v>
      </c>
      <c r="E33" s="174" t="s">
        <v>643</v>
      </c>
      <c r="F33" s="164" t="s">
        <v>643</v>
      </c>
      <c r="G33" s="174" t="s">
        <v>643</v>
      </c>
      <c r="H33" s="164" t="s">
        <v>643</v>
      </c>
      <c r="I33" s="174" t="s">
        <v>643</v>
      </c>
      <c r="J33" s="164" t="s">
        <v>643</v>
      </c>
      <c r="K33" s="174" t="s">
        <v>643</v>
      </c>
      <c r="L33" s="164" t="s">
        <v>643</v>
      </c>
      <c r="M33" s="174" t="s">
        <v>643</v>
      </c>
      <c r="N33" s="164" t="s">
        <v>643</v>
      </c>
    </row>
    <row r="34" spans="1:14" ht="12.75" customHeight="1">
      <c r="A34" s="292"/>
      <c r="B34" s="24"/>
      <c r="C34" s="24"/>
      <c r="D34" s="969" t="s">
        <v>404</v>
      </c>
      <c r="E34" s="174" t="s">
        <v>643</v>
      </c>
      <c r="F34" s="164" t="s">
        <v>643</v>
      </c>
      <c r="G34" s="174" t="s">
        <v>643</v>
      </c>
      <c r="H34" s="164" t="s">
        <v>643</v>
      </c>
      <c r="I34" s="174" t="s">
        <v>643</v>
      </c>
      <c r="J34" s="164" t="s">
        <v>643</v>
      </c>
      <c r="K34" s="174" t="s">
        <v>643</v>
      </c>
      <c r="L34" s="164" t="s">
        <v>643</v>
      </c>
      <c r="M34" s="174" t="s">
        <v>643</v>
      </c>
      <c r="N34" s="164" t="s">
        <v>643</v>
      </c>
    </row>
    <row r="35" spans="1:14">
      <c r="A35" s="945">
        <v>3</v>
      </c>
      <c r="B35" s="774" t="s">
        <v>1183</v>
      </c>
      <c r="C35" s="971"/>
      <c r="E35" s="137">
        <v>302</v>
      </c>
      <c r="F35" s="79">
        <v>111</v>
      </c>
      <c r="G35" s="137">
        <v>307</v>
      </c>
      <c r="H35" s="79">
        <v>130</v>
      </c>
      <c r="I35" s="137">
        <v>335</v>
      </c>
      <c r="J35" s="79">
        <v>134</v>
      </c>
      <c r="K35" s="137">
        <v>321</v>
      </c>
      <c r="L35" s="79">
        <v>167</v>
      </c>
      <c r="M35" s="137">
        <v>1252</v>
      </c>
      <c r="N35" s="79">
        <v>580</v>
      </c>
    </row>
    <row r="36" spans="1:14" ht="13.5" customHeight="1">
      <c r="A36" s="1461" t="s">
        <v>210</v>
      </c>
      <c r="B36" s="1462"/>
      <c r="C36" s="1462"/>
      <c r="D36" s="1462"/>
      <c r="E36" s="305">
        <f t="shared" ref="E36:N36" si="13">SUM(E8,E18,E35)</f>
        <v>12386</v>
      </c>
      <c r="F36" s="477">
        <f t="shared" si="13"/>
        <v>4526</v>
      </c>
      <c r="G36" s="305">
        <f t="shared" si="13"/>
        <v>12801</v>
      </c>
      <c r="H36" s="477">
        <f t="shared" si="13"/>
        <v>4824</v>
      </c>
      <c r="I36" s="305">
        <f t="shared" si="13"/>
        <v>13659</v>
      </c>
      <c r="J36" s="305">
        <f t="shared" si="13"/>
        <v>5811</v>
      </c>
      <c r="K36" s="422">
        <f t="shared" si="13"/>
        <v>18143</v>
      </c>
      <c r="L36" s="422">
        <f t="shared" si="13"/>
        <v>8757</v>
      </c>
      <c r="M36" s="422">
        <f t="shared" si="13"/>
        <v>12528</v>
      </c>
      <c r="N36" s="422">
        <f t="shared" si="13"/>
        <v>4020</v>
      </c>
    </row>
    <row r="37" spans="1:14">
      <c r="A37" s="604"/>
      <c r="B37" s="618"/>
      <c r="C37" s="618"/>
      <c r="D37" s="618"/>
      <c r="E37" s="604"/>
      <c r="F37" s="604"/>
      <c r="G37" s="604"/>
      <c r="H37" s="604"/>
      <c r="I37" s="604"/>
      <c r="J37" s="931"/>
      <c r="L37" s="961"/>
      <c r="M37" s="961"/>
      <c r="N37" s="962" t="str">
        <f>CONCATENATE("Source : Heads of all Technical and Professional Institutions, ",District!A1)</f>
        <v>Source : Heads of all Technical and Professional Institutions, Nadia</v>
      </c>
    </row>
    <row r="38" spans="1:14">
      <c r="A38" s="604"/>
      <c r="B38" s="604"/>
      <c r="C38" s="604"/>
      <c r="D38" s="604"/>
      <c r="E38" s="604"/>
      <c r="F38" s="604"/>
      <c r="G38" s="604"/>
      <c r="H38" s="604"/>
      <c r="I38" s="604"/>
      <c r="J38" s="618"/>
      <c r="K38" s="963"/>
      <c r="L38" s="963"/>
      <c r="M38" s="963"/>
      <c r="N38" s="963"/>
    </row>
    <row r="39" spans="1:14">
      <c r="A39" s="604"/>
      <c r="B39" s="604"/>
      <c r="C39" s="604"/>
      <c r="D39" s="604"/>
      <c r="E39" s="604"/>
      <c r="F39" s="604"/>
      <c r="G39" s="604"/>
      <c r="H39" s="604"/>
      <c r="I39" s="604"/>
      <c r="J39" s="604"/>
      <c r="K39" s="604"/>
      <c r="L39" s="604"/>
      <c r="M39" s="604"/>
      <c r="N39" s="604"/>
    </row>
    <row r="40" spans="1:14">
      <c r="A40" s="604"/>
      <c r="B40" s="604"/>
      <c r="C40" s="604"/>
      <c r="D40" s="604"/>
      <c r="E40" s="604"/>
      <c r="F40" s="604"/>
      <c r="G40" s="604"/>
      <c r="H40" s="604"/>
      <c r="I40" s="604"/>
      <c r="J40" s="604"/>
      <c r="K40" s="604"/>
      <c r="L40" s="604"/>
      <c r="M40" s="604"/>
      <c r="N40" s="604"/>
    </row>
    <row r="41" spans="1:14">
      <c r="A41" s="604"/>
      <c r="B41" s="604"/>
      <c r="C41" s="604"/>
      <c r="D41" s="604"/>
      <c r="E41" s="604"/>
      <c r="F41" s="604"/>
      <c r="G41" s="604"/>
      <c r="H41" s="604"/>
      <c r="I41" s="604"/>
      <c r="J41" s="604"/>
      <c r="K41" s="604"/>
      <c r="L41" s="604"/>
      <c r="M41" s="604"/>
      <c r="N41" s="604"/>
    </row>
    <row r="42" spans="1:14">
      <c r="A42" s="604"/>
      <c r="B42" s="604"/>
      <c r="C42" s="604"/>
      <c r="D42" s="604"/>
      <c r="E42" s="604"/>
      <c r="F42" s="604"/>
      <c r="G42" s="604"/>
      <c r="H42" s="604"/>
      <c r="I42" s="604"/>
      <c r="J42" s="604"/>
      <c r="K42" s="604"/>
      <c r="L42" s="604"/>
      <c r="M42" s="604"/>
      <c r="N42" s="604"/>
    </row>
  </sheetData>
  <mergeCells count="14">
    <mergeCell ref="B18:D18"/>
    <mergeCell ref="A36:D36"/>
    <mergeCell ref="A1:N1"/>
    <mergeCell ref="A2:N2"/>
    <mergeCell ref="A7:D7"/>
    <mergeCell ref="A4:D6"/>
    <mergeCell ref="E4:N4"/>
    <mergeCell ref="I5:J5"/>
    <mergeCell ref="M5:N5"/>
    <mergeCell ref="K5:L5"/>
    <mergeCell ref="B8:D8"/>
    <mergeCell ref="C17:D17"/>
    <mergeCell ref="E5:F5"/>
    <mergeCell ref="G5:H5"/>
  </mergeCells>
  <phoneticPr fontId="0" type="noConversion"/>
  <printOptions horizontalCentered="1"/>
  <pageMargins left="0.25" right="7.0000000000000007E-2" top="0.72" bottom="0.14000000000000001" header="0.25" footer="0.14000000000000001"/>
  <pageSetup paperSize="9" orientation="landscape" blackAndWhite="1" r:id="rId1"/>
  <headerFooter alignWithMargins="0"/>
</worksheet>
</file>

<file path=xl/worksheets/sheet34.xml><?xml version="1.0" encoding="utf-8"?>
<worksheet xmlns="http://schemas.openxmlformats.org/spreadsheetml/2006/main" xmlns:r="http://schemas.openxmlformats.org/officeDocument/2006/relationships">
  <sheetPr codeName="Sheet31"/>
  <dimension ref="A1:O32"/>
  <sheetViews>
    <sheetView workbookViewId="0">
      <selection activeCell="L16" sqref="L16"/>
    </sheetView>
  </sheetViews>
  <sheetFormatPr defaultRowHeight="12.75"/>
  <cols>
    <col min="1" max="1" width="3.42578125" style="405" customWidth="1"/>
    <col min="2" max="2" width="3.140625" style="405" customWidth="1"/>
    <col min="3" max="4" width="9.140625" style="405"/>
    <col min="5" max="5" width="20.85546875" style="405" customWidth="1"/>
    <col min="6" max="12" width="9.42578125" style="405" customWidth="1"/>
    <col min="13" max="13" width="10.5703125" style="405" customWidth="1"/>
    <col min="14" max="14" width="10.7109375" style="405" customWidth="1"/>
    <col min="15" max="15" width="10.5703125" style="405" customWidth="1"/>
    <col min="16" max="16384" width="9.140625" style="405"/>
  </cols>
  <sheetData>
    <row r="1" spans="1:15" ht="12.75" customHeight="1">
      <c r="A1" s="432"/>
      <c r="B1" s="1435" t="s">
        <v>444</v>
      </c>
      <c r="C1" s="1435"/>
      <c r="D1" s="1435"/>
      <c r="E1" s="1435"/>
      <c r="F1" s="1435"/>
      <c r="G1" s="1435"/>
      <c r="H1" s="1435"/>
      <c r="I1" s="1435"/>
      <c r="J1" s="1435"/>
      <c r="K1" s="1435"/>
      <c r="L1" s="1435"/>
      <c r="M1" s="1435"/>
      <c r="N1" s="1435"/>
      <c r="O1" s="1435"/>
    </row>
    <row r="2" spans="1:15" s="412" customFormat="1" ht="15.95" customHeight="1">
      <c r="A2" s="433"/>
      <c r="B2" s="1338" t="str">
        <f>CONCATENATE("Students by sex in different type of Special and Non-formal Educational Institutions in the district of ",District!A1)</f>
        <v>Students by sex in different type of Special and Non-formal Educational Institutions in the district of Nadia</v>
      </c>
      <c r="C2" s="1338"/>
      <c r="D2" s="1338"/>
      <c r="E2" s="1338"/>
      <c r="F2" s="1338"/>
      <c r="G2" s="1338"/>
      <c r="H2" s="1338"/>
      <c r="I2" s="1338"/>
      <c r="J2" s="1338"/>
      <c r="K2" s="1338"/>
      <c r="L2" s="1338"/>
      <c r="M2" s="1338"/>
      <c r="N2" s="1338"/>
      <c r="O2" s="1338"/>
    </row>
    <row r="3" spans="1:15" ht="15.95" customHeight="1">
      <c r="A3" s="435"/>
      <c r="B3" s="6"/>
      <c r="N3" s="708"/>
      <c r="O3" s="429" t="s">
        <v>223</v>
      </c>
    </row>
    <row r="4" spans="1:15" ht="15.95" customHeight="1">
      <c r="A4" s="433"/>
      <c r="B4" s="1268" t="s">
        <v>1092</v>
      </c>
      <c r="C4" s="1265"/>
      <c r="D4" s="1265"/>
      <c r="E4" s="1266"/>
      <c r="F4" s="1253" t="s">
        <v>107</v>
      </c>
      <c r="G4" s="1251"/>
      <c r="H4" s="1251"/>
      <c r="I4" s="1251"/>
      <c r="J4" s="1251"/>
      <c r="K4" s="1251"/>
      <c r="L4" s="1251"/>
      <c r="M4" s="1251"/>
      <c r="N4" s="1251"/>
      <c r="O4" s="1252"/>
    </row>
    <row r="5" spans="1:15" ht="15.95" customHeight="1">
      <c r="A5" s="433"/>
      <c r="B5" s="1351"/>
      <c r="C5" s="1404"/>
      <c r="D5" s="1404"/>
      <c r="E5" s="1398"/>
      <c r="F5" s="1253" t="str">
        <f>District!C11</f>
        <v>2009-10</v>
      </c>
      <c r="G5" s="1252"/>
      <c r="H5" s="1253" t="str">
        <f>District!E11</f>
        <v>2010-11</v>
      </c>
      <c r="I5" s="1252"/>
      <c r="J5" s="1253" t="str">
        <f>District!G11</f>
        <v>2011-12</v>
      </c>
      <c r="K5" s="1252"/>
      <c r="L5" s="1253" t="str">
        <f>District!I11</f>
        <v>2012-13</v>
      </c>
      <c r="M5" s="1252"/>
      <c r="N5" s="1253" t="str">
        <f>District!K11</f>
        <v>2013-14</v>
      </c>
      <c r="O5" s="1252"/>
    </row>
    <row r="6" spans="1:15" ht="15.95" customHeight="1">
      <c r="A6" s="433"/>
      <c r="B6" s="1399"/>
      <c r="C6" s="1290"/>
      <c r="D6" s="1290"/>
      <c r="E6" s="1325"/>
      <c r="F6" s="221" t="s">
        <v>246</v>
      </c>
      <c r="G6" s="393" t="s">
        <v>249</v>
      </c>
      <c r="H6" s="221" t="s">
        <v>246</v>
      </c>
      <c r="I6" s="393" t="s">
        <v>249</v>
      </c>
      <c r="J6" s="221" t="s">
        <v>246</v>
      </c>
      <c r="K6" s="393" t="s">
        <v>249</v>
      </c>
      <c r="L6" s="221" t="s">
        <v>246</v>
      </c>
      <c r="M6" s="393" t="s">
        <v>249</v>
      </c>
      <c r="N6" s="221" t="s">
        <v>246</v>
      </c>
      <c r="O6" s="393" t="s">
        <v>249</v>
      </c>
    </row>
    <row r="7" spans="1:15" ht="15.95" customHeight="1">
      <c r="A7" s="433"/>
      <c r="B7" s="1463" t="s">
        <v>163</v>
      </c>
      <c r="C7" s="1464"/>
      <c r="D7" s="1464"/>
      <c r="E7" s="1465"/>
      <c r="F7" s="417" t="s">
        <v>164</v>
      </c>
      <c r="G7" s="419" t="s">
        <v>165</v>
      </c>
      <c r="H7" s="417" t="s">
        <v>166</v>
      </c>
      <c r="I7" s="419" t="s">
        <v>167</v>
      </c>
      <c r="J7" s="417" t="s">
        <v>168</v>
      </c>
      <c r="K7" s="419" t="s">
        <v>169</v>
      </c>
      <c r="L7" s="417" t="s">
        <v>211</v>
      </c>
      <c r="M7" s="419" t="s">
        <v>212</v>
      </c>
      <c r="N7" s="417" t="s">
        <v>213</v>
      </c>
      <c r="O7" s="419" t="s">
        <v>214</v>
      </c>
    </row>
    <row r="8" spans="1:15" ht="18" customHeight="1">
      <c r="A8" s="433"/>
      <c r="B8" s="204">
        <v>1</v>
      </c>
      <c r="C8" s="1449" t="s">
        <v>406</v>
      </c>
      <c r="D8" s="1449"/>
      <c r="E8" s="1450"/>
      <c r="F8" s="615">
        <v>24412</v>
      </c>
      <c r="G8" s="972">
        <v>23708</v>
      </c>
      <c r="H8" s="615">
        <v>23801</v>
      </c>
      <c r="I8" s="972">
        <v>22938</v>
      </c>
      <c r="J8" s="615">
        <v>22409</v>
      </c>
      <c r="K8" s="972">
        <v>22174</v>
      </c>
      <c r="L8" s="615">
        <v>17140</v>
      </c>
      <c r="M8" s="972">
        <v>16476</v>
      </c>
      <c r="N8" s="615">
        <v>17140</v>
      </c>
      <c r="O8" s="972">
        <v>16476</v>
      </c>
    </row>
    <row r="9" spans="1:15" ht="18" customHeight="1">
      <c r="A9" s="433"/>
      <c r="B9" s="81">
        <v>2</v>
      </c>
      <c r="C9" s="291" t="s">
        <v>72</v>
      </c>
      <c r="D9" s="291"/>
      <c r="E9" s="627"/>
      <c r="F9" s="1126">
        <v>12828</v>
      </c>
      <c r="G9" s="973">
        <v>14614</v>
      </c>
      <c r="H9" s="1126">
        <v>13379</v>
      </c>
      <c r="I9" s="973">
        <v>14747</v>
      </c>
      <c r="J9" s="1126">
        <v>13591</v>
      </c>
      <c r="K9" s="973">
        <v>15006</v>
      </c>
      <c r="L9" s="1126">
        <v>11700</v>
      </c>
      <c r="M9" s="973">
        <v>12721</v>
      </c>
      <c r="N9" s="1126">
        <v>11700</v>
      </c>
      <c r="O9" s="973">
        <v>12721</v>
      </c>
    </row>
    <row r="10" spans="1:15" ht="18" customHeight="1">
      <c r="A10" s="433"/>
      <c r="B10" s="81">
        <v>3</v>
      </c>
      <c r="C10" s="1441" t="s">
        <v>407</v>
      </c>
      <c r="D10" s="1441"/>
      <c r="E10" s="1442"/>
      <c r="F10" s="1130">
        <v>14</v>
      </c>
      <c r="G10" s="482" t="s">
        <v>643</v>
      </c>
      <c r="H10" s="1130">
        <v>14</v>
      </c>
      <c r="I10" s="482" t="s">
        <v>643</v>
      </c>
      <c r="J10" s="137" t="s">
        <v>1170</v>
      </c>
      <c r="K10" s="482" t="s">
        <v>643</v>
      </c>
      <c r="L10" s="137" t="s">
        <v>643</v>
      </c>
      <c r="M10" s="1134" t="s">
        <v>643</v>
      </c>
      <c r="N10" s="137" t="s">
        <v>643</v>
      </c>
      <c r="O10" s="1134" t="s">
        <v>643</v>
      </c>
    </row>
    <row r="11" spans="1:15" ht="18" customHeight="1">
      <c r="A11" s="433"/>
      <c r="B11" s="81">
        <v>4</v>
      </c>
      <c r="C11" s="1441" t="s">
        <v>418</v>
      </c>
      <c r="D11" s="1441"/>
      <c r="E11" s="1442"/>
      <c r="F11" s="1130">
        <v>2337</v>
      </c>
      <c r="G11" s="628">
        <v>1963</v>
      </c>
      <c r="H11" s="1130">
        <v>1903</v>
      </c>
      <c r="I11" s="628">
        <v>1696</v>
      </c>
      <c r="J11" s="137" t="s">
        <v>1170</v>
      </c>
      <c r="K11" s="79" t="s">
        <v>1170</v>
      </c>
      <c r="L11" s="137" t="s">
        <v>643</v>
      </c>
      <c r="M11" s="79" t="s">
        <v>643</v>
      </c>
      <c r="N11" s="1130">
        <v>751</v>
      </c>
      <c r="O11" s="992">
        <v>767</v>
      </c>
    </row>
    <row r="12" spans="1:15" ht="18" customHeight="1">
      <c r="A12" s="433"/>
      <c r="B12" s="81">
        <v>5</v>
      </c>
      <c r="C12" s="1441" t="s">
        <v>158</v>
      </c>
      <c r="D12" s="1441"/>
      <c r="E12" s="1442"/>
      <c r="F12" s="1130">
        <v>475</v>
      </c>
      <c r="G12" s="944" t="s">
        <v>643</v>
      </c>
      <c r="H12" s="1130">
        <v>475</v>
      </c>
      <c r="I12" s="944" t="s">
        <v>643</v>
      </c>
      <c r="J12" s="1130">
        <v>460</v>
      </c>
      <c r="K12" s="944" t="s">
        <v>643</v>
      </c>
      <c r="L12" s="1130">
        <v>546</v>
      </c>
      <c r="M12" s="992" t="s">
        <v>643</v>
      </c>
      <c r="N12" s="992">
        <v>1188</v>
      </c>
      <c r="O12" s="992" t="s">
        <v>643</v>
      </c>
    </row>
    <row r="13" spans="1:15" ht="18" customHeight="1">
      <c r="A13" s="433"/>
      <c r="B13" s="81">
        <v>6</v>
      </c>
      <c r="C13" s="1441" t="s">
        <v>408</v>
      </c>
      <c r="D13" s="1441"/>
      <c r="E13" s="1442"/>
      <c r="F13" s="1130" t="s">
        <v>643</v>
      </c>
      <c r="G13" s="628" t="s">
        <v>643</v>
      </c>
      <c r="H13" s="1130" t="s">
        <v>643</v>
      </c>
      <c r="I13" s="628" t="s">
        <v>643</v>
      </c>
      <c r="J13" s="628" t="s">
        <v>643</v>
      </c>
      <c r="K13" s="628" t="s">
        <v>643</v>
      </c>
      <c r="L13" s="992" t="s">
        <v>643</v>
      </c>
      <c r="M13" s="992" t="s">
        <v>643</v>
      </c>
      <c r="N13" s="1132" t="s">
        <v>643</v>
      </c>
      <c r="O13" s="992" t="s">
        <v>643</v>
      </c>
    </row>
    <row r="14" spans="1:15" ht="26.25" customHeight="1">
      <c r="A14" s="433"/>
      <c r="B14" s="964">
        <v>7</v>
      </c>
      <c r="C14" s="1447" t="s">
        <v>1400</v>
      </c>
      <c r="D14" s="1447"/>
      <c r="E14" s="1448"/>
      <c r="F14" s="1130">
        <v>183</v>
      </c>
      <c r="G14" s="628">
        <v>149</v>
      </c>
      <c r="H14" s="1130">
        <v>160</v>
      </c>
      <c r="I14" s="628">
        <v>173</v>
      </c>
      <c r="J14" s="1130">
        <v>180</v>
      </c>
      <c r="K14" s="628">
        <v>167</v>
      </c>
      <c r="L14" s="1130">
        <v>245</v>
      </c>
      <c r="M14" s="628">
        <v>229</v>
      </c>
      <c r="N14" s="1130">
        <v>263</v>
      </c>
      <c r="O14" s="628">
        <v>241</v>
      </c>
    </row>
    <row r="15" spans="1:15" ht="18" customHeight="1">
      <c r="A15" s="433"/>
      <c r="B15" s="81">
        <v>8</v>
      </c>
      <c r="C15" s="1441" t="s">
        <v>413</v>
      </c>
      <c r="D15" s="1441"/>
      <c r="E15" s="1442"/>
      <c r="F15" s="1130">
        <v>45</v>
      </c>
      <c r="G15" s="628">
        <v>39</v>
      </c>
      <c r="H15" s="1130">
        <v>49</v>
      </c>
      <c r="I15" s="628">
        <v>42</v>
      </c>
      <c r="J15" s="1130">
        <v>50</v>
      </c>
      <c r="K15" s="628">
        <v>42</v>
      </c>
      <c r="L15" s="1130">
        <v>38</v>
      </c>
      <c r="M15" s="628">
        <v>40</v>
      </c>
      <c r="N15" s="1130">
        <v>40</v>
      </c>
      <c r="O15" s="628">
        <v>65</v>
      </c>
    </row>
    <row r="16" spans="1:15" ht="18" customHeight="1">
      <c r="A16" s="433"/>
      <c r="B16" s="81">
        <v>9</v>
      </c>
      <c r="C16" s="1441" t="s">
        <v>414</v>
      </c>
      <c r="D16" s="1441"/>
      <c r="E16" s="1442"/>
      <c r="F16" s="1130">
        <v>100923</v>
      </c>
      <c r="G16" s="628">
        <v>98972</v>
      </c>
      <c r="H16" s="1130">
        <v>92086</v>
      </c>
      <c r="I16" s="628">
        <v>91508</v>
      </c>
      <c r="J16" s="1130">
        <v>80015</v>
      </c>
      <c r="K16" s="628">
        <v>86973</v>
      </c>
      <c r="L16" s="1130">
        <v>85726</v>
      </c>
      <c r="M16" s="628">
        <v>83503</v>
      </c>
      <c r="N16" s="1130">
        <v>89031</v>
      </c>
      <c r="O16" s="628">
        <v>86965</v>
      </c>
    </row>
    <row r="17" spans="1:15" ht="18" customHeight="1">
      <c r="A17" s="433"/>
      <c r="B17" s="81">
        <v>10</v>
      </c>
      <c r="C17" s="1441" t="s">
        <v>28</v>
      </c>
      <c r="D17" s="1441"/>
      <c r="E17" s="1442"/>
      <c r="F17" s="1130">
        <v>216</v>
      </c>
      <c r="G17" s="628">
        <v>719</v>
      </c>
      <c r="H17" s="1130">
        <v>152</v>
      </c>
      <c r="I17" s="628">
        <v>390</v>
      </c>
      <c r="J17" s="1130">
        <v>182</v>
      </c>
      <c r="K17" s="628">
        <v>783</v>
      </c>
      <c r="L17" s="1130">
        <v>194</v>
      </c>
      <c r="M17" s="628">
        <v>360</v>
      </c>
      <c r="N17" s="992" t="s">
        <v>643</v>
      </c>
      <c r="O17" s="992" t="s">
        <v>643</v>
      </c>
    </row>
    <row r="18" spans="1:15" ht="50.25" customHeight="1">
      <c r="A18" s="433"/>
      <c r="B18" s="964">
        <v>11</v>
      </c>
      <c r="C18" s="1447" t="s">
        <v>924</v>
      </c>
      <c r="D18" s="1447"/>
      <c r="E18" s="1448"/>
      <c r="F18" s="1130" t="s">
        <v>643</v>
      </c>
      <c r="G18" s="628" t="s">
        <v>643</v>
      </c>
      <c r="H18" s="1130" t="s">
        <v>643</v>
      </c>
      <c r="I18" s="628" t="s">
        <v>643</v>
      </c>
      <c r="J18" s="1130" t="s">
        <v>643</v>
      </c>
      <c r="K18" s="628" t="s">
        <v>643</v>
      </c>
      <c r="L18" s="987" t="s">
        <v>643</v>
      </c>
      <c r="M18" s="992" t="s">
        <v>643</v>
      </c>
      <c r="N18" s="987" t="s">
        <v>643</v>
      </c>
      <c r="O18" s="992" t="s">
        <v>643</v>
      </c>
    </row>
    <row r="19" spans="1:15" ht="18" customHeight="1">
      <c r="A19" s="433"/>
      <c r="B19" s="129">
        <v>12</v>
      </c>
      <c r="C19" s="1444" t="s">
        <v>73</v>
      </c>
      <c r="D19" s="1445"/>
      <c r="E19" s="1446"/>
      <c r="F19" s="1130" t="s">
        <v>643</v>
      </c>
      <c r="G19" s="628" t="s">
        <v>643</v>
      </c>
      <c r="H19" s="1130" t="s">
        <v>643</v>
      </c>
      <c r="I19" s="628" t="s">
        <v>643</v>
      </c>
      <c r="J19" s="1130" t="s">
        <v>643</v>
      </c>
      <c r="K19" s="628" t="s">
        <v>643</v>
      </c>
      <c r="L19" s="987" t="s">
        <v>643</v>
      </c>
      <c r="M19" s="992" t="s">
        <v>643</v>
      </c>
      <c r="N19" s="987" t="s">
        <v>643</v>
      </c>
      <c r="O19" s="992" t="s">
        <v>643</v>
      </c>
    </row>
    <row r="20" spans="1:15" s="6" customFormat="1" ht="18" customHeight="1">
      <c r="A20" s="598"/>
      <c r="B20" s="1384" t="s">
        <v>210</v>
      </c>
      <c r="C20" s="1385"/>
      <c r="D20" s="1385"/>
      <c r="E20" s="1386"/>
      <c r="F20" s="305">
        <f t="shared" ref="F20:N20" si="0">SUM(F8:F19)</f>
        <v>141433</v>
      </c>
      <c r="G20" s="1133">
        <f t="shared" si="0"/>
        <v>140164</v>
      </c>
      <c r="H20" s="305">
        <f t="shared" si="0"/>
        <v>132019</v>
      </c>
      <c r="I20" s="1133">
        <f t="shared" si="0"/>
        <v>131494</v>
      </c>
      <c r="J20" s="305">
        <f t="shared" si="0"/>
        <v>116887</v>
      </c>
      <c r="K20" s="1133">
        <f t="shared" si="0"/>
        <v>125145</v>
      </c>
      <c r="L20" s="305">
        <f t="shared" si="0"/>
        <v>115589</v>
      </c>
      <c r="M20" s="1133">
        <f t="shared" si="0"/>
        <v>113329</v>
      </c>
      <c r="N20" s="305">
        <f t="shared" si="0"/>
        <v>120113</v>
      </c>
      <c r="O20" s="1133">
        <v>117235</v>
      </c>
    </row>
    <row r="21" spans="1:15">
      <c r="A21" s="433"/>
      <c r="B21" s="618"/>
      <c r="C21" s="604"/>
      <c r="D21" s="604"/>
      <c r="E21" s="604"/>
      <c r="F21" s="604"/>
      <c r="G21" s="604"/>
      <c r="K21" s="608" t="s">
        <v>1461</v>
      </c>
      <c r="L21" s="288" t="s">
        <v>936</v>
      </c>
      <c r="M21" s="618"/>
      <c r="N21" s="604"/>
      <c r="O21" s="604"/>
    </row>
    <row r="22" spans="1:15">
      <c r="A22" s="433"/>
      <c r="B22" s="604"/>
      <c r="C22" s="604"/>
      <c r="D22" s="604"/>
      <c r="E22" s="604"/>
      <c r="F22" s="604"/>
      <c r="G22" s="604"/>
      <c r="K22" s="288"/>
      <c r="L22" s="288" t="s">
        <v>977</v>
      </c>
      <c r="M22" s="618"/>
      <c r="N22" s="604"/>
      <c r="O22" s="604"/>
    </row>
    <row r="23" spans="1:15">
      <c r="A23" s="433"/>
      <c r="B23" s="604"/>
      <c r="C23" s="604"/>
      <c r="D23" s="604"/>
      <c r="E23" s="604"/>
      <c r="F23" s="604"/>
      <c r="G23" s="604"/>
      <c r="K23" s="288"/>
      <c r="L23" s="288" t="s">
        <v>978</v>
      </c>
      <c r="M23" s="618"/>
      <c r="N23" s="604"/>
      <c r="O23" s="604"/>
    </row>
    <row r="24" spans="1:15">
      <c r="A24" s="433"/>
      <c r="B24" s="604"/>
      <c r="C24" s="604"/>
      <c r="D24" s="604"/>
      <c r="E24" s="604"/>
      <c r="F24" s="604"/>
      <c r="G24" s="604"/>
      <c r="K24" s="288"/>
      <c r="L24" s="288" t="s">
        <v>979</v>
      </c>
      <c r="M24" s="618"/>
      <c r="N24" s="604"/>
      <c r="O24" s="604"/>
    </row>
    <row r="25" spans="1:15">
      <c r="A25" s="433"/>
      <c r="B25" s="604"/>
      <c r="C25" s="604"/>
      <c r="D25" s="604"/>
      <c r="E25" s="604"/>
      <c r="F25" s="604"/>
      <c r="G25" s="604"/>
      <c r="K25" s="288"/>
      <c r="L25" s="288" t="s">
        <v>980</v>
      </c>
      <c r="M25" s="618"/>
      <c r="N25" s="604"/>
      <c r="O25" s="604"/>
    </row>
    <row r="26" spans="1:15">
      <c r="A26" s="433"/>
      <c r="B26" s="604"/>
      <c r="C26" s="604"/>
      <c r="D26" s="604"/>
      <c r="E26" s="604"/>
      <c r="F26" s="604"/>
      <c r="G26" s="604"/>
      <c r="K26" s="288"/>
      <c r="L26" s="288" t="s">
        <v>981</v>
      </c>
      <c r="M26" s="618"/>
      <c r="N26" s="604"/>
      <c r="O26" s="604"/>
    </row>
    <row r="27" spans="1:15">
      <c r="A27" s="433"/>
      <c r="B27" s="604"/>
      <c r="C27" s="604"/>
      <c r="D27" s="604"/>
      <c r="E27" s="604"/>
      <c r="F27" s="604"/>
      <c r="G27" s="604"/>
      <c r="K27" s="288"/>
      <c r="L27" s="288" t="s">
        <v>1263</v>
      </c>
      <c r="M27" s="618"/>
      <c r="N27" s="604"/>
      <c r="O27" s="604"/>
    </row>
    <row r="28" spans="1:15">
      <c r="A28" s="433"/>
      <c r="B28" s="604"/>
      <c r="C28" s="604"/>
      <c r="D28" s="604"/>
      <c r="E28" s="604"/>
      <c r="F28" s="604"/>
      <c r="G28" s="604"/>
      <c r="K28" s="288"/>
      <c r="L28" s="288" t="s">
        <v>511</v>
      </c>
      <c r="M28" s="618"/>
      <c r="N28" s="604"/>
      <c r="O28" s="604"/>
    </row>
    <row r="29" spans="1:15">
      <c r="A29" s="433"/>
      <c r="B29" s="604"/>
      <c r="C29" s="604"/>
      <c r="D29" s="604"/>
      <c r="E29" s="604"/>
      <c r="F29" s="604"/>
      <c r="G29" s="604"/>
      <c r="K29" s="288"/>
      <c r="L29" s="288" t="s">
        <v>512</v>
      </c>
      <c r="M29" s="618"/>
      <c r="N29" s="604"/>
      <c r="O29" s="604"/>
    </row>
    <row r="30" spans="1:15">
      <c r="A30" s="433"/>
      <c r="B30" s="604"/>
      <c r="C30" s="604"/>
      <c r="D30" s="604"/>
      <c r="E30" s="604"/>
      <c r="F30" s="604"/>
      <c r="G30" s="604"/>
      <c r="H30" s="618"/>
      <c r="I30" s="618"/>
      <c r="J30" s="618"/>
      <c r="K30" s="618"/>
      <c r="L30" s="618"/>
      <c r="M30" s="618"/>
      <c r="N30" s="604"/>
      <c r="O30" s="604"/>
    </row>
    <row r="31" spans="1:15">
      <c r="A31" s="433"/>
      <c r="B31" s="604"/>
      <c r="C31" s="604"/>
      <c r="D31" s="604"/>
      <c r="E31" s="604"/>
      <c r="F31" s="604"/>
      <c r="G31" s="604"/>
      <c r="H31" s="618"/>
      <c r="I31" s="618"/>
      <c r="J31" s="618"/>
      <c r="K31" s="618"/>
      <c r="L31" s="618"/>
      <c r="M31" s="618"/>
      <c r="N31" s="604"/>
      <c r="O31" s="604"/>
    </row>
    <row r="32" spans="1:15">
      <c r="B32" s="604"/>
      <c r="C32" s="604"/>
      <c r="D32" s="604"/>
      <c r="E32" s="604"/>
      <c r="F32" s="604"/>
      <c r="G32" s="604"/>
      <c r="H32" s="618"/>
      <c r="I32" s="618"/>
      <c r="J32" s="618"/>
      <c r="K32" s="618"/>
      <c r="L32" s="618"/>
      <c r="M32" s="618"/>
      <c r="N32" s="604"/>
      <c r="O32" s="604"/>
    </row>
  </sheetData>
  <mergeCells count="22">
    <mergeCell ref="B20:E20"/>
    <mergeCell ref="C12:E12"/>
    <mergeCell ref="B7:E7"/>
    <mergeCell ref="C8:E8"/>
    <mergeCell ref="C19:E19"/>
    <mergeCell ref="C16:E16"/>
    <mergeCell ref="C17:E17"/>
    <mergeCell ref="C18:E18"/>
    <mergeCell ref="C11:E11"/>
    <mergeCell ref="C15:E15"/>
    <mergeCell ref="C14:E14"/>
    <mergeCell ref="C13:E13"/>
    <mergeCell ref="C10:E10"/>
    <mergeCell ref="B1:O1"/>
    <mergeCell ref="L5:M5"/>
    <mergeCell ref="J5:K5"/>
    <mergeCell ref="B2:O2"/>
    <mergeCell ref="F4:O4"/>
    <mergeCell ref="H5:I5"/>
    <mergeCell ref="F5:G5"/>
    <mergeCell ref="B4:E6"/>
    <mergeCell ref="N5:O5"/>
  </mergeCells>
  <phoneticPr fontId="0" type="noConversion"/>
  <pageMargins left="0.1" right="0.1" top="0.75" bottom="0.18" header="0.19" footer="0.16"/>
  <pageSetup paperSize="9" orientation="landscape" blackAndWhite="1" r:id="rId1"/>
  <headerFooter alignWithMargins="0"/>
</worksheet>
</file>

<file path=xl/worksheets/sheet35.xml><?xml version="1.0" encoding="utf-8"?>
<worksheet xmlns="http://schemas.openxmlformats.org/spreadsheetml/2006/main" xmlns:r="http://schemas.openxmlformats.org/officeDocument/2006/relationships">
  <sheetPr codeName="Sheet32"/>
  <dimension ref="A1:I42"/>
  <sheetViews>
    <sheetView workbookViewId="0">
      <selection activeCell="J25" sqref="J25"/>
    </sheetView>
  </sheetViews>
  <sheetFormatPr defaultRowHeight="12.75"/>
  <cols>
    <col min="1" max="1" width="1.7109375" style="405" customWidth="1"/>
    <col min="2" max="2" width="3.140625" style="405" customWidth="1"/>
    <col min="3" max="3" width="0.5703125" style="405" customWidth="1"/>
    <col min="4" max="4" width="47.85546875" style="405" customWidth="1"/>
    <col min="5" max="7" width="15.5703125" style="405" customWidth="1"/>
    <col min="8" max="8" width="17.85546875" style="405" customWidth="1"/>
    <col min="9" max="9" width="17.140625" style="405" customWidth="1"/>
    <col min="10" max="16384" width="9.140625" style="405"/>
  </cols>
  <sheetData>
    <row r="1" spans="1:9" ht="12.75" customHeight="1">
      <c r="A1" s="1250" t="s">
        <v>446</v>
      </c>
      <c r="B1" s="1250"/>
      <c r="C1" s="1250"/>
      <c r="D1" s="1250"/>
      <c r="E1" s="1250"/>
      <c r="F1" s="1250"/>
      <c r="G1" s="1250"/>
      <c r="H1" s="1250"/>
      <c r="I1" s="1250"/>
    </row>
    <row r="2" spans="1:9" s="412" customFormat="1" ht="16.5">
      <c r="A2" s="1350" t="str">
        <f>CONCATENATE("Teachers in different type of General Educational Institutions in the district of ",District!A1)</f>
        <v>Teachers in different type of General Educational Institutions in the district of Nadia</v>
      </c>
      <c r="B2" s="1350"/>
      <c r="C2" s="1350"/>
      <c r="D2" s="1350"/>
      <c r="E2" s="1350"/>
      <c r="F2" s="1350"/>
      <c r="G2" s="1350"/>
      <c r="H2" s="1350"/>
      <c r="I2" s="1350"/>
    </row>
    <row r="3" spans="1:9">
      <c r="A3" s="1468"/>
      <c r="B3" s="1468"/>
      <c r="C3" s="1468"/>
      <c r="D3" s="1468"/>
      <c r="E3" s="1468"/>
      <c r="F3" s="1468"/>
      <c r="G3" s="1468"/>
      <c r="H3" s="1468"/>
      <c r="I3" s="451" t="s">
        <v>223</v>
      </c>
    </row>
    <row r="4" spans="1:9" s="5" customFormat="1">
      <c r="A4" s="1268" t="s">
        <v>1092</v>
      </c>
      <c r="B4" s="1265"/>
      <c r="C4" s="1265"/>
      <c r="D4" s="1266"/>
      <c r="E4" s="1253" t="s">
        <v>107</v>
      </c>
      <c r="F4" s="1251"/>
      <c r="G4" s="1251"/>
      <c r="H4" s="1251"/>
      <c r="I4" s="1252"/>
    </row>
    <row r="5" spans="1:9" s="5" customFormat="1">
      <c r="A5" s="1399"/>
      <c r="B5" s="1290"/>
      <c r="C5" s="1290"/>
      <c r="D5" s="1325"/>
      <c r="E5" s="698" t="str">
        <f>District!C8</f>
        <v>2009-10</v>
      </c>
      <c r="F5" s="698" t="str">
        <f>District!D8</f>
        <v>2010-11</v>
      </c>
      <c r="G5" s="698" t="str">
        <f>District!E8</f>
        <v>2011-12</v>
      </c>
      <c r="H5" s="698" t="str">
        <f>District!F8</f>
        <v>2012-13</v>
      </c>
      <c r="I5" s="698" t="str">
        <f>District!G8</f>
        <v>2013-14</v>
      </c>
    </row>
    <row r="6" spans="1:9">
      <c r="A6" s="1428" t="s">
        <v>163</v>
      </c>
      <c r="B6" s="1429"/>
      <c r="C6" s="1429"/>
      <c r="D6" s="1430"/>
      <c r="E6" s="225" t="s">
        <v>164</v>
      </c>
      <c r="F6" s="226" t="s">
        <v>165</v>
      </c>
      <c r="G6" s="225" t="s">
        <v>166</v>
      </c>
      <c r="H6" s="398" t="s">
        <v>167</v>
      </c>
      <c r="I6" s="398" t="s">
        <v>168</v>
      </c>
    </row>
    <row r="7" spans="1:9">
      <c r="A7" s="940">
        <v>1</v>
      </c>
      <c r="B7" s="1424" t="s">
        <v>1637</v>
      </c>
      <c r="C7" s="1424"/>
      <c r="D7" s="1425"/>
      <c r="E7" s="20">
        <f>SUM(E8,E13,E18,E23)</f>
        <v>19843</v>
      </c>
      <c r="F7" s="193">
        <f>SUM(F8,F13,F18,F23)</f>
        <v>21923</v>
      </c>
      <c r="G7" s="193">
        <f>SUM(G8,G13,G18,G23)</f>
        <v>23558</v>
      </c>
      <c r="H7" s="193">
        <f>SUM(H8,H13,H18,H23)</f>
        <v>22998</v>
      </c>
      <c r="I7" s="193">
        <f>SUM(I8,I13,I18,I23)</f>
        <v>25246</v>
      </c>
    </row>
    <row r="8" spans="1:9" ht="25.5" customHeight="1">
      <c r="A8" s="292"/>
      <c r="B8" s="941" t="s">
        <v>349</v>
      </c>
      <c r="C8" s="1420" t="s">
        <v>1233</v>
      </c>
      <c r="D8" s="1421"/>
      <c r="E8" s="20">
        <f>SUM(E9:E12)</f>
        <v>9060</v>
      </c>
      <c r="F8" s="118">
        <f>SUM(F9:F12)</f>
        <v>10044</v>
      </c>
      <c r="G8" s="118">
        <f>SUM(G9:G12)</f>
        <v>10776</v>
      </c>
      <c r="H8" s="118">
        <f>SUM(H9:H12)</f>
        <v>10308</v>
      </c>
      <c r="I8" s="118">
        <f>SUM(I9:I12)</f>
        <v>11229</v>
      </c>
    </row>
    <row r="9" spans="1:9">
      <c r="A9" s="292"/>
      <c r="B9" s="24"/>
      <c r="C9" s="24"/>
      <c r="D9" s="942" t="s">
        <v>31</v>
      </c>
      <c r="E9" s="174">
        <v>9041</v>
      </c>
      <c r="F9" s="174">
        <v>10005</v>
      </c>
      <c r="G9" s="174">
        <v>10745</v>
      </c>
      <c r="H9" s="174">
        <v>10275</v>
      </c>
      <c r="I9" s="174">
        <v>11218</v>
      </c>
    </row>
    <row r="10" spans="1:9">
      <c r="A10" s="292"/>
      <c r="B10" s="24"/>
      <c r="C10" s="24"/>
      <c r="D10" s="942" t="s">
        <v>32</v>
      </c>
      <c r="E10" s="174">
        <v>14</v>
      </c>
      <c r="F10" s="174">
        <v>21</v>
      </c>
      <c r="G10" s="174">
        <v>17</v>
      </c>
      <c r="H10" s="174">
        <v>11</v>
      </c>
      <c r="I10" s="174">
        <v>9</v>
      </c>
    </row>
    <row r="11" spans="1:9">
      <c r="A11" s="292"/>
      <c r="B11" s="24"/>
      <c r="C11" s="24"/>
      <c r="D11" s="942" t="s">
        <v>5</v>
      </c>
      <c r="E11" s="293" t="s">
        <v>643</v>
      </c>
      <c r="F11" s="174">
        <v>13</v>
      </c>
      <c r="G11" s="174">
        <v>12</v>
      </c>
      <c r="H11" s="174">
        <v>20</v>
      </c>
      <c r="I11" s="1071" t="s">
        <v>643</v>
      </c>
    </row>
    <row r="12" spans="1:9">
      <c r="A12" s="292"/>
      <c r="B12" s="24"/>
      <c r="C12" s="24"/>
      <c r="D12" s="942" t="s">
        <v>409</v>
      </c>
      <c r="E12" s="174">
        <v>5</v>
      </c>
      <c r="F12" s="174">
        <v>5</v>
      </c>
      <c r="G12" s="174">
        <v>2</v>
      </c>
      <c r="H12" s="174">
        <v>2</v>
      </c>
      <c r="I12" s="174">
        <v>2</v>
      </c>
    </row>
    <row r="13" spans="1:9" ht="25.5" customHeight="1">
      <c r="A13" s="292"/>
      <c r="B13" s="941" t="s">
        <v>347</v>
      </c>
      <c r="C13" s="1466" t="s">
        <v>1234</v>
      </c>
      <c r="D13" s="1467"/>
      <c r="E13" s="20">
        <f>SUM(E14:E17)</f>
        <v>335</v>
      </c>
      <c r="F13" s="118">
        <f>SUM(F14:F17)</f>
        <v>436</v>
      </c>
      <c r="G13" s="118">
        <f>SUM(G14:G17)</f>
        <v>633</v>
      </c>
      <c r="H13" s="118">
        <f>SUM(H14:H17)</f>
        <v>597</v>
      </c>
      <c r="I13" s="118">
        <f>SUM(I14:I17)</f>
        <v>678</v>
      </c>
    </row>
    <row r="14" spans="1:9">
      <c r="A14" s="292"/>
      <c r="B14" s="24"/>
      <c r="C14" s="24"/>
      <c r="D14" s="942" t="s">
        <v>390</v>
      </c>
      <c r="E14" s="174">
        <v>276</v>
      </c>
      <c r="F14" s="174">
        <v>364</v>
      </c>
      <c r="G14" s="174">
        <v>544</v>
      </c>
      <c r="H14" s="174">
        <v>516</v>
      </c>
      <c r="I14" s="174">
        <v>617</v>
      </c>
    </row>
    <row r="15" spans="1:9">
      <c r="A15" s="292"/>
      <c r="B15" s="24"/>
      <c r="C15" s="24"/>
      <c r="D15" s="942" t="s">
        <v>930</v>
      </c>
      <c r="E15" s="293" t="s">
        <v>643</v>
      </c>
      <c r="F15" s="174" t="s">
        <v>643</v>
      </c>
      <c r="G15" s="174">
        <v>21</v>
      </c>
      <c r="H15" s="174">
        <v>21</v>
      </c>
      <c r="I15" s="174">
        <v>20</v>
      </c>
    </row>
    <row r="16" spans="1:9">
      <c r="A16" s="292"/>
      <c r="B16" s="24"/>
      <c r="C16" s="24"/>
      <c r="D16" s="942" t="s">
        <v>5</v>
      </c>
      <c r="E16" s="174">
        <v>59</v>
      </c>
      <c r="F16" s="174">
        <v>72</v>
      </c>
      <c r="G16" s="174">
        <v>68</v>
      </c>
      <c r="H16" s="174">
        <v>60</v>
      </c>
      <c r="I16" s="174">
        <v>41</v>
      </c>
    </row>
    <row r="17" spans="1:9">
      <c r="A17" s="292"/>
      <c r="B17" s="24"/>
      <c r="C17" s="24"/>
      <c r="D17" s="942" t="s">
        <v>1386</v>
      </c>
      <c r="E17" s="174" t="s">
        <v>643</v>
      </c>
      <c r="F17" s="174" t="s">
        <v>643</v>
      </c>
      <c r="G17" s="174" t="s">
        <v>643</v>
      </c>
      <c r="H17" s="174" t="s">
        <v>643</v>
      </c>
      <c r="I17" s="174" t="s">
        <v>643</v>
      </c>
    </row>
    <row r="18" spans="1:9" ht="25.5" customHeight="1">
      <c r="A18" s="292"/>
      <c r="B18" s="941" t="s">
        <v>348</v>
      </c>
      <c r="C18" s="1420" t="s">
        <v>1235</v>
      </c>
      <c r="D18" s="1421"/>
      <c r="E18" s="20">
        <f>SUM(E19:E22)</f>
        <v>3289</v>
      </c>
      <c r="F18" s="118">
        <f>SUM(F19:F22)</f>
        <v>3245</v>
      </c>
      <c r="G18" s="118">
        <f>SUM(G19:G22)</f>
        <v>2355</v>
      </c>
      <c r="H18" s="118">
        <f>SUM(H19:H22)</f>
        <v>1928</v>
      </c>
      <c r="I18" s="118">
        <f>SUM(I19:I22)</f>
        <v>1641</v>
      </c>
    </row>
    <row r="19" spans="1:9">
      <c r="A19" s="292"/>
      <c r="B19" s="24"/>
      <c r="C19" s="24"/>
      <c r="D19" s="942" t="s">
        <v>390</v>
      </c>
      <c r="E19" s="174">
        <v>3080</v>
      </c>
      <c r="F19" s="174">
        <v>3005</v>
      </c>
      <c r="G19" s="174">
        <v>2203</v>
      </c>
      <c r="H19" s="174">
        <v>1766</v>
      </c>
      <c r="I19" s="174">
        <v>1462</v>
      </c>
    </row>
    <row r="20" spans="1:9">
      <c r="A20" s="292"/>
      <c r="B20" s="24"/>
      <c r="C20" s="24"/>
      <c r="D20" s="942" t="s">
        <v>931</v>
      </c>
      <c r="E20" s="174">
        <v>154</v>
      </c>
      <c r="F20" s="174">
        <v>177</v>
      </c>
      <c r="G20" s="174">
        <v>87</v>
      </c>
      <c r="H20" s="174">
        <v>96</v>
      </c>
      <c r="I20" s="174">
        <v>94</v>
      </c>
    </row>
    <row r="21" spans="1:9">
      <c r="A21" s="292"/>
      <c r="B21" s="24"/>
      <c r="C21" s="24"/>
      <c r="D21" s="942" t="s">
        <v>5</v>
      </c>
      <c r="E21" s="174">
        <v>55</v>
      </c>
      <c r="F21" s="174">
        <v>63</v>
      </c>
      <c r="G21" s="174">
        <v>65</v>
      </c>
      <c r="H21" s="174">
        <v>66</v>
      </c>
      <c r="I21" s="174">
        <v>85</v>
      </c>
    </row>
    <row r="22" spans="1:9">
      <c r="A22" s="292"/>
      <c r="B22" s="24"/>
      <c r="C22" s="24"/>
      <c r="D22" s="942" t="s">
        <v>1386</v>
      </c>
      <c r="E22" s="174" t="s">
        <v>643</v>
      </c>
      <c r="F22" s="174" t="s">
        <v>643</v>
      </c>
      <c r="G22" s="174" t="s">
        <v>643</v>
      </c>
      <c r="H22" s="174" t="s">
        <v>643</v>
      </c>
      <c r="I22" s="174" t="s">
        <v>643</v>
      </c>
    </row>
    <row r="23" spans="1:9" ht="25.5" customHeight="1">
      <c r="A23" s="292"/>
      <c r="B23" s="941" t="s">
        <v>350</v>
      </c>
      <c r="C23" s="1420" t="s">
        <v>1237</v>
      </c>
      <c r="D23" s="1421"/>
      <c r="E23" s="20">
        <f>SUM(E24:E28)</f>
        <v>7159</v>
      </c>
      <c r="F23" s="118">
        <f>SUM(F24:F28)</f>
        <v>8198</v>
      </c>
      <c r="G23" s="118">
        <f>SUM(G24:G28)</f>
        <v>9794</v>
      </c>
      <c r="H23" s="118">
        <f>SUM(H24:H28)</f>
        <v>10165</v>
      </c>
      <c r="I23" s="118">
        <f>SUM(I24:I28)</f>
        <v>11698</v>
      </c>
    </row>
    <row r="24" spans="1:9">
      <c r="A24" s="292"/>
      <c r="B24" s="24"/>
      <c r="C24" s="24"/>
      <c r="D24" s="942" t="s">
        <v>1495</v>
      </c>
      <c r="E24" s="174">
        <v>6772</v>
      </c>
      <c r="F24" s="174">
        <v>7808</v>
      </c>
      <c r="G24" s="174">
        <v>9282</v>
      </c>
      <c r="H24" s="174">
        <v>9613</v>
      </c>
      <c r="I24" s="174">
        <v>10652</v>
      </c>
    </row>
    <row r="25" spans="1:9">
      <c r="A25" s="292"/>
      <c r="B25" s="24"/>
      <c r="C25" s="24"/>
      <c r="D25" s="942" t="s">
        <v>1496</v>
      </c>
      <c r="E25" s="174">
        <v>64</v>
      </c>
      <c r="F25" s="174">
        <v>37</v>
      </c>
      <c r="G25" s="174">
        <v>38</v>
      </c>
      <c r="H25" s="174">
        <v>34</v>
      </c>
      <c r="I25" s="1071">
        <v>432</v>
      </c>
    </row>
    <row r="26" spans="1:9">
      <c r="A26" s="292"/>
      <c r="B26" s="24"/>
      <c r="C26" s="24"/>
      <c r="D26" s="942" t="s">
        <v>5</v>
      </c>
      <c r="E26" s="174">
        <v>176</v>
      </c>
      <c r="F26" s="174">
        <v>179</v>
      </c>
      <c r="G26" s="174">
        <v>210</v>
      </c>
      <c r="H26" s="174">
        <v>267</v>
      </c>
      <c r="I26" s="174">
        <v>364</v>
      </c>
    </row>
    <row r="27" spans="1:9">
      <c r="A27" s="292"/>
      <c r="B27" s="24"/>
      <c r="C27" s="24"/>
      <c r="D27" s="942" t="s">
        <v>1386</v>
      </c>
      <c r="E27" s="174" t="s">
        <v>643</v>
      </c>
      <c r="F27" s="174" t="s">
        <v>643</v>
      </c>
      <c r="G27" s="174" t="s">
        <v>643</v>
      </c>
      <c r="H27" s="174" t="s">
        <v>643</v>
      </c>
      <c r="I27" s="174" t="s">
        <v>643</v>
      </c>
    </row>
    <row r="28" spans="1:9">
      <c r="A28" s="292"/>
      <c r="B28" s="24"/>
      <c r="C28" s="24"/>
      <c r="D28" s="942" t="s">
        <v>932</v>
      </c>
      <c r="E28" s="81">
        <v>147</v>
      </c>
      <c r="F28" s="81">
        <v>174</v>
      </c>
      <c r="G28" s="81">
        <v>264</v>
      </c>
      <c r="H28" s="81">
        <v>251</v>
      </c>
      <c r="I28" s="81">
        <v>250</v>
      </c>
    </row>
    <row r="29" spans="1:9">
      <c r="A29" s="945">
        <v>2</v>
      </c>
      <c r="B29" s="1459" t="s">
        <v>1638</v>
      </c>
      <c r="C29" s="1459"/>
      <c r="D29" s="1460"/>
      <c r="E29" s="137">
        <v>577</v>
      </c>
      <c r="F29" s="137">
        <v>673</v>
      </c>
      <c r="G29" s="137">
        <v>632</v>
      </c>
      <c r="H29" s="137">
        <v>609</v>
      </c>
      <c r="I29" s="137">
        <v>588</v>
      </c>
    </row>
    <row r="30" spans="1:9" ht="25.5" customHeight="1">
      <c r="A30" s="947">
        <v>3</v>
      </c>
      <c r="B30" s="1420" t="s">
        <v>1385</v>
      </c>
      <c r="C30" s="1422"/>
      <c r="D30" s="1423"/>
      <c r="E30" s="137">
        <v>131</v>
      </c>
      <c r="F30" s="137">
        <v>188</v>
      </c>
      <c r="G30" s="137">
        <v>183</v>
      </c>
      <c r="H30" s="137">
        <v>210</v>
      </c>
      <c r="I30" s="137">
        <v>207</v>
      </c>
    </row>
    <row r="31" spans="1:9">
      <c r="A31" s="948">
        <v>4</v>
      </c>
      <c r="B31" s="1426" t="s">
        <v>157</v>
      </c>
      <c r="C31" s="1426"/>
      <c r="D31" s="1427"/>
      <c r="E31" s="168">
        <v>65</v>
      </c>
      <c r="F31" s="168">
        <v>65</v>
      </c>
      <c r="G31" s="168">
        <v>86</v>
      </c>
      <c r="H31" s="168">
        <v>78</v>
      </c>
      <c r="I31" s="168">
        <v>80</v>
      </c>
    </row>
    <row r="32" spans="1:9">
      <c r="C32" s="604"/>
      <c r="D32" s="604"/>
      <c r="F32" s="608" t="s">
        <v>600</v>
      </c>
      <c r="G32" s="288" t="s">
        <v>6</v>
      </c>
      <c r="H32" s="618"/>
      <c r="I32" s="652"/>
    </row>
    <row r="33" spans="3:9">
      <c r="C33" s="604"/>
      <c r="D33" s="604"/>
      <c r="F33" s="288"/>
      <c r="G33" s="288" t="s">
        <v>7</v>
      </c>
      <c r="H33" s="618"/>
      <c r="I33" s="618"/>
    </row>
    <row r="34" spans="3:9">
      <c r="C34" s="604"/>
      <c r="D34" s="604"/>
      <c r="F34" s="288"/>
      <c r="G34" s="325" t="s">
        <v>8</v>
      </c>
      <c r="H34" s="966"/>
      <c r="I34" s="966"/>
    </row>
    <row r="35" spans="3:9">
      <c r="C35" s="604"/>
      <c r="D35" s="604"/>
      <c r="F35" s="288"/>
      <c r="G35" s="325" t="s">
        <v>9</v>
      </c>
      <c r="H35" s="966"/>
      <c r="I35" s="966"/>
    </row>
    <row r="36" spans="3:9">
      <c r="C36" s="604"/>
      <c r="D36" s="604"/>
      <c r="F36" s="288"/>
      <c r="G36" s="949" t="s">
        <v>1497</v>
      </c>
      <c r="H36" s="618"/>
      <c r="I36" s="618"/>
    </row>
    <row r="37" spans="3:9">
      <c r="C37" s="604"/>
      <c r="D37" s="604"/>
      <c r="F37" s="288"/>
      <c r="G37" s="949" t="s">
        <v>352</v>
      </c>
      <c r="H37" s="618"/>
      <c r="I37" s="618"/>
    </row>
    <row r="38" spans="3:9">
      <c r="C38" s="604"/>
      <c r="D38" s="604"/>
      <c r="F38" s="288"/>
      <c r="G38" s="949" t="s">
        <v>1498</v>
      </c>
      <c r="H38" s="618"/>
      <c r="I38" s="618"/>
    </row>
    <row r="39" spans="3:9">
      <c r="C39" s="604"/>
      <c r="D39" s="604"/>
      <c r="E39" s="604"/>
      <c r="F39" s="604"/>
      <c r="G39" s="604"/>
      <c r="H39" s="604"/>
      <c r="I39" s="604"/>
    </row>
    <row r="40" spans="3:9">
      <c r="C40" s="604"/>
      <c r="D40" s="604"/>
      <c r="E40" s="604"/>
      <c r="F40" s="604"/>
      <c r="G40" s="604"/>
      <c r="H40" s="604"/>
      <c r="I40" s="604"/>
    </row>
    <row r="41" spans="3:9">
      <c r="C41" s="604"/>
      <c r="D41" s="604"/>
      <c r="E41" s="604"/>
      <c r="F41" s="604"/>
      <c r="G41" s="604"/>
      <c r="H41" s="604"/>
      <c r="I41" s="604"/>
    </row>
    <row r="42" spans="3:9">
      <c r="C42" s="604"/>
      <c r="D42" s="604"/>
      <c r="E42" s="604"/>
      <c r="F42" s="604"/>
      <c r="G42" s="604"/>
      <c r="H42" s="604"/>
      <c r="I42" s="604"/>
    </row>
  </sheetData>
  <mergeCells count="14">
    <mergeCell ref="C23:D23"/>
    <mergeCell ref="B31:D31"/>
    <mergeCell ref="B30:D30"/>
    <mergeCell ref="B29:D29"/>
    <mergeCell ref="A1:I1"/>
    <mergeCell ref="C8:D8"/>
    <mergeCell ref="C13:D13"/>
    <mergeCell ref="C18:D18"/>
    <mergeCell ref="B7:D7"/>
    <mergeCell ref="A6:D6"/>
    <mergeCell ref="A2:I2"/>
    <mergeCell ref="A4:D5"/>
    <mergeCell ref="E4:I4"/>
    <mergeCell ref="A3:H3"/>
  </mergeCells>
  <phoneticPr fontId="0" type="noConversion"/>
  <printOptions horizontalCentered="1"/>
  <pageMargins left="0.1" right="0.1" top="0.57999999999999996" bottom="0.16" header="0.14000000000000001" footer="0.23"/>
  <pageSetup paperSize="9" orientation="landscape" blackAndWhite="1" r:id="rId1"/>
  <headerFooter alignWithMargins="0"/>
</worksheet>
</file>

<file path=xl/worksheets/sheet36.xml><?xml version="1.0" encoding="utf-8"?>
<worksheet xmlns="http://schemas.openxmlformats.org/spreadsheetml/2006/main" xmlns:r="http://schemas.openxmlformats.org/officeDocument/2006/relationships">
  <sheetPr codeName="Sheet33"/>
  <dimension ref="A1:J46"/>
  <sheetViews>
    <sheetView workbookViewId="0">
      <selection activeCell="I31" sqref="I31"/>
    </sheetView>
  </sheetViews>
  <sheetFormatPr defaultRowHeight="12.75"/>
  <cols>
    <col min="1" max="1" width="8" style="405" customWidth="1"/>
    <col min="2" max="2" width="2.140625" style="405" customWidth="1"/>
    <col min="3" max="3" width="3.140625" style="405" customWidth="1"/>
    <col min="4" max="4" width="0.7109375" style="405" customWidth="1"/>
    <col min="5" max="5" width="56" style="405" customWidth="1"/>
    <col min="6" max="10" width="14.140625" style="405" customWidth="1"/>
    <col min="11" max="16384" width="9.140625" style="405"/>
  </cols>
  <sheetData>
    <row r="1" spans="1:10" ht="12.75" customHeight="1">
      <c r="A1" s="432"/>
      <c r="B1" s="1435" t="s">
        <v>447</v>
      </c>
      <c r="C1" s="1435"/>
      <c r="D1" s="1435"/>
      <c r="E1" s="1435"/>
      <c r="F1" s="1435"/>
      <c r="G1" s="1435"/>
      <c r="H1" s="1435"/>
      <c r="I1" s="1435"/>
      <c r="J1" s="1435"/>
    </row>
    <row r="2" spans="1:10" s="412" customFormat="1" ht="15.75" customHeight="1">
      <c r="A2" s="433"/>
      <c r="B2" s="1254" t="s">
        <v>908</v>
      </c>
      <c r="C2" s="1254"/>
      <c r="D2" s="1254"/>
      <c r="E2" s="1254"/>
      <c r="F2" s="1254"/>
      <c r="G2" s="1254"/>
      <c r="H2" s="1254"/>
      <c r="I2" s="1254"/>
      <c r="J2" s="1254"/>
    </row>
    <row r="3" spans="1:10" ht="13.5" customHeight="1">
      <c r="A3" s="435"/>
      <c r="B3" s="412"/>
      <c r="C3" s="412"/>
      <c r="D3" s="412"/>
      <c r="E3" s="412"/>
      <c r="F3" s="412"/>
      <c r="G3" s="412"/>
      <c r="H3" s="412"/>
      <c r="I3" s="412"/>
      <c r="J3" s="429" t="s">
        <v>223</v>
      </c>
    </row>
    <row r="4" spans="1:10">
      <c r="A4" s="433"/>
      <c r="B4" s="1268" t="s">
        <v>1092</v>
      </c>
      <c r="C4" s="1265"/>
      <c r="D4" s="1265"/>
      <c r="E4" s="1266"/>
      <c r="F4" s="1314" t="s">
        <v>107</v>
      </c>
      <c r="G4" s="1312"/>
      <c r="H4" s="1312"/>
      <c r="I4" s="1470"/>
      <c r="J4" s="1313"/>
    </row>
    <row r="5" spans="1:10" ht="12" customHeight="1">
      <c r="A5" s="433"/>
      <c r="B5" s="1399"/>
      <c r="C5" s="1290"/>
      <c r="D5" s="1290"/>
      <c r="E5" s="1325"/>
      <c r="F5" s="698" t="str">
        <f>District!C8</f>
        <v>2009-10</v>
      </c>
      <c r="G5" s="698" t="str">
        <f>District!D8</f>
        <v>2010-11</v>
      </c>
      <c r="H5" s="698" t="str">
        <f>District!E8</f>
        <v>2011-12</v>
      </c>
      <c r="I5" s="698" t="str">
        <f>District!F8</f>
        <v>2012-13</v>
      </c>
      <c r="J5" s="698" t="str">
        <f>District!G8</f>
        <v>2013-14</v>
      </c>
    </row>
    <row r="6" spans="1:10">
      <c r="A6" s="433"/>
      <c r="B6" s="1436" t="s">
        <v>163</v>
      </c>
      <c r="C6" s="1437"/>
      <c r="D6" s="1437"/>
      <c r="E6" s="1438"/>
      <c r="F6" s="954" t="s">
        <v>164</v>
      </c>
      <c r="G6" s="952" t="s">
        <v>165</v>
      </c>
      <c r="H6" s="954" t="s">
        <v>166</v>
      </c>
      <c r="I6" s="953" t="s">
        <v>167</v>
      </c>
      <c r="J6" s="953" t="s">
        <v>168</v>
      </c>
    </row>
    <row r="7" spans="1:10">
      <c r="A7" s="433"/>
      <c r="B7" s="940">
        <v>1</v>
      </c>
      <c r="C7" s="1424" t="s">
        <v>1181</v>
      </c>
      <c r="D7" s="1424"/>
      <c r="E7" s="1425"/>
      <c r="F7" s="974">
        <f>SUM(F8,F13,F16)</f>
        <v>385</v>
      </c>
      <c r="G7" s="974">
        <f>SUM(G8,G13,G16)</f>
        <v>451</v>
      </c>
      <c r="H7" s="974">
        <f>SUM(H8,H13,H16)</f>
        <v>448</v>
      </c>
      <c r="I7" s="974">
        <f>SUM(I8,I13,I16)</f>
        <v>597</v>
      </c>
      <c r="J7" s="974">
        <f>SUM(J8,J13,J16)</f>
        <v>307</v>
      </c>
    </row>
    <row r="8" spans="1:10" s="6" customFormat="1">
      <c r="A8" s="598"/>
      <c r="B8" s="292"/>
      <c r="C8" s="24" t="s">
        <v>349</v>
      </c>
      <c r="D8" s="229" t="s">
        <v>10</v>
      </c>
      <c r="E8" s="942"/>
      <c r="F8" s="975">
        <f>SUM(F9:F12)</f>
        <v>116</v>
      </c>
      <c r="G8" s="975">
        <f>SUM(G9:G12)</f>
        <v>126</v>
      </c>
      <c r="H8" s="975">
        <f>SUM(H9:H12)</f>
        <v>115</v>
      </c>
      <c r="I8" s="975">
        <f>SUM(I9:I12)</f>
        <v>125</v>
      </c>
      <c r="J8" s="975">
        <f>SUM(J9:J12)</f>
        <v>121</v>
      </c>
    </row>
    <row r="9" spans="1:10">
      <c r="A9" s="433"/>
      <c r="B9" s="292"/>
      <c r="C9" s="450"/>
      <c r="D9" s="450"/>
      <c r="E9" s="942" t="s">
        <v>353</v>
      </c>
      <c r="F9" s="976">
        <v>11</v>
      </c>
      <c r="G9" s="976">
        <v>18</v>
      </c>
      <c r="H9" s="976">
        <v>14</v>
      </c>
      <c r="I9" s="976">
        <v>13</v>
      </c>
      <c r="J9" s="1076" t="s">
        <v>643</v>
      </c>
    </row>
    <row r="10" spans="1:10">
      <c r="A10" s="433"/>
      <c r="B10" s="292"/>
      <c r="C10" s="450"/>
      <c r="D10" s="450"/>
      <c r="E10" s="942" t="s">
        <v>29</v>
      </c>
      <c r="F10" s="977" t="s">
        <v>643</v>
      </c>
      <c r="G10" s="977" t="s">
        <v>643</v>
      </c>
      <c r="H10" s="977" t="s">
        <v>643</v>
      </c>
      <c r="I10" s="993" t="s">
        <v>643</v>
      </c>
      <c r="J10" s="993" t="s">
        <v>643</v>
      </c>
    </row>
    <row r="11" spans="1:10">
      <c r="A11" s="433"/>
      <c r="B11" s="292"/>
      <c r="C11" s="450"/>
      <c r="D11" s="450"/>
      <c r="E11" s="942" t="s">
        <v>1501</v>
      </c>
      <c r="F11" s="976">
        <v>96</v>
      </c>
      <c r="G11" s="976">
        <v>99</v>
      </c>
      <c r="H11" s="976">
        <v>81</v>
      </c>
      <c r="I11" s="976">
        <v>103</v>
      </c>
      <c r="J11" s="1076">
        <v>121</v>
      </c>
    </row>
    <row r="12" spans="1:10">
      <c r="A12" s="433"/>
      <c r="B12" s="292"/>
      <c r="C12" s="450"/>
      <c r="D12" s="450"/>
      <c r="E12" s="958" t="s">
        <v>1502</v>
      </c>
      <c r="F12" s="39">
        <v>9</v>
      </c>
      <c r="G12" s="39">
        <v>9</v>
      </c>
      <c r="H12" s="39">
        <v>20</v>
      </c>
      <c r="I12" s="39">
        <v>9</v>
      </c>
      <c r="J12" s="1077" t="s">
        <v>643</v>
      </c>
    </row>
    <row r="13" spans="1:10" s="6" customFormat="1">
      <c r="A13" s="598"/>
      <c r="B13" s="292"/>
      <c r="C13" s="24" t="s">
        <v>347</v>
      </c>
      <c r="D13" s="229" t="s">
        <v>354</v>
      </c>
      <c r="E13" s="942"/>
      <c r="F13" s="974">
        <f>SUM(F14:F15)</f>
        <v>84</v>
      </c>
      <c r="G13" s="974">
        <f>SUM(G14:G15)</f>
        <v>79</v>
      </c>
      <c r="H13" s="974">
        <f>SUM(H14:H15)</f>
        <v>69</v>
      </c>
      <c r="I13" s="974">
        <f>SUM(I14:I15)</f>
        <v>180</v>
      </c>
      <c r="J13" s="974">
        <f>SUM(J14:J15)</f>
        <v>186</v>
      </c>
    </row>
    <row r="14" spans="1:10" ht="15.75" customHeight="1">
      <c r="A14" s="433"/>
      <c r="B14" s="292"/>
      <c r="C14" s="450"/>
      <c r="D14" s="450"/>
      <c r="E14" s="978" t="s">
        <v>1503</v>
      </c>
      <c r="F14" s="628">
        <v>58</v>
      </c>
      <c r="G14" s="628">
        <v>60</v>
      </c>
      <c r="H14" s="628">
        <v>41</v>
      </c>
      <c r="I14" s="628">
        <v>154</v>
      </c>
      <c r="J14" s="628">
        <v>152</v>
      </c>
    </row>
    <row r="15" spans="1:10">
      <c r="A15" s="433"/>
      <c r="B15" s="292"/>
      <c r="C15" s="450"/>
      <c r="D15" s="450"/>
      <c r="E15" s="942" t="s">
        <v>355</v>
      </c>
      <c r="F15" s="976">
        <v>26</v>
      </c>
      <c r="G15" s="976">
        <v>19</v>
      </c>
      <c r="H15" s="976">
        <v>28</v>
      </c>
      <c r="I15" s="976">
        <v>26</v>
      </c>
      <c r="J15" s="976">
        <v>34</v>
      </c>
    </row>
    <row r="16" spans="1:10" s="6" customFormat="1" ht="27" customHeight="1">
      <c r="A16" s="598"/>
      <c r="B16" s="292"/>
      <c r="C16" s="941" t="s">
        <v>348</v>
      </c>
      <c r="D16" s="1420" t="s">
        <v>1504</v>
      </c>
      <c r="E16" s="1421"/>
      <c r="F16" s="79">
        <v>185</v>
      </c>
      <c r="G16" s="79">
        <v>246</v>
      </c>
      <c r="H16" s="79">
        <v>264</v>
      </c>
      <c r="I16" s="79">
        <v>292</v>
      </c>
      <c r="J16" s="850" t="s">
        <v>643</v>
      </c>
    </row>
    <row r="17" spans="1:10">
      <c r="A17" s="433"/>
      <c r="B17" s="945">
        <v>2</v>
      </c>
      <c r="C17" s="1459" t="s">
        <v>1182</v>
      </c>
      <c r="D17" s="1459"/>
      <c r="E17" s="1460"/>
      <c r="F17" s="975">
        <f>SUM(F18,F25,F28)</f>
        <v>467</v>
      </c>
      <c r="G17" s="975">
        <f>SUM(G18,G25,G28)</f>
        <v>641</v>
      </c>
      <c r="H17" s="975">
        <f>SUM(H18,H25,H28)</f>
        <v>723</v>
      </c>
      <c r="I17" s="975">
        <f>SUM(I18,I25,I28)</f>
        <v>958</v>
      </c>
      <c r="J17" s="975">
        <f>SUM(J18,J25,J28)</f>
        <v>932</v>
      </c>
    </row>
    <row r="18" spans="1:10" s="6" customFormat="1">
      <c r="A18" s="598"/>
      <c r="B18" s="292"/>
      <c r="C18" s="24" t="s">
        <v>349</v>
      </c>
      <c r="D18" s="229" t="s">
        <v>18</v>
      </c>
      <c r="E18" s="942"/>
      <c r="F18" s="975">
        <f>SUM(F19:F24)</f>
        <v>395</v>
      </c>
      <c r="G18" s="975">
        <f>SUM(G19:G24)</f>
        <v>559</v>
      </c>
      <c r="H18" s="975">
        <f>SUM(H19:H24)</f>
        <v>644</v>
      </c>
      <c r="I18" s="975">
        <f>SUM(I19:I24)</f>
        <v>808</v>
      </c>
      <c r="J18" s="975">
        <f>SUM(J19:J24)</f>
        <v>755</v>
      </c>
    </row>
    <row r="19" spans="1:10" ht="13.5" customHeight="1">
      <c r="A19" s="433"/>
      <c r="B19" s="292"/>
      <c r="C19" s="450"/>
      <c r="D19" s="450"/>
      <c r="E19" s="978" t="s">
        <v>19</v>
      </c>
      <c r="F19" s="628" t="s">
        <v>643</v>
      </c>
      <c r="G19" s="944">
        <v>126</v>
      </c>
      <c r="H19" s="944">
        <v>140</v>
      </c>
      <c r="I19" s="944">
        <v>140</v>
      </c>
      <c r="J19" s="944">
        <v>152</v>
      </c>
    </row>
    <row r="20" spans="1:10">
      <c r="A20" s="433"/>
      <c r="B20" s="292"/>
      <c r="C20" s="450"/>
      <c r="D20" s="450"/>
      <c r="E20" s="942" t="s">
        <v>20</v>
      </c>
      <c r="F20" s="976">
        <v>249</v>
      </c>
      <c r="G20" s="976">
        <v>296</v>
      </c>
      <c r="H20" s="976">
        <v>359</v>
      </c>
      <c r="I20" s="976">
        <v>425</v>
      </c>
      <c r="J20" s="976">
        <v>390</v>
      </c>
    </row>
    <row r="21" spans="1:10">
      <c r="A21" s="433"/>
      <c r="B21" s="292"/>
      <c r="C21" s="450"/>
      <c r="D21" s="450"/>
      <c r="E21" s="942" t="s">
        <v>21</v>
      </c>
      <c r="F21" s="976">
        <v>71</v>
      </c>
      <c r="G21" s="976">
        <v>76</v>
      </c>
      <c r="H21" s="976">
        <v>86</v>
      </c>
      <c r="I21" s="976">
        <v>136</v>
      </c>
      <c r="J21" s="976">
        <v>97</v>
      </c>
    </row>
    <row r="22" spans="1:10">
      <c r="A22" s="433"/>
      <c r="B22" s="292"/>
      <c r="C22" s="450"/>
      <c r="D22" s="450"/>
      <c r="E22" s="942" t="s">
        <v>22</v>
      </c>
      <c r="F22" s="976">
        <v>37</v>
      </c>
      <c r="G22" s="976">
        <v>34</v>
      </c>
      <c r="H22" s="976">
        <v>36</v>
      </c>
      <c r="I22" s="976">
        <v>87</v>
      </c>
      <c r="J22" s="976">
        <v>93</v>
      </c>
    </row>
    <row r="23" spans="1:10">
      <c r="A23" s="433"/>
      <c r="B23" s="292"/>
      <c r="C23" s="450"/>
      <c r="D23" s="450"/>
      <c r="E23" s="942" t="s">
        <v>23</v>
      </c>
      <c r="F23" s="976">
        <v>38</v>
      </c>
      <c r="G23" s="976">
        <v>27</v>
      </c>
      <c r="H23" s="976">
        <v>23</v>
      </c>
      <c r="I23" s="976">
        <v>20</v>
      </c>
      <c r="J23" s="976">
        <v>23</v>
      </c>
    </row>
    <row r="24" spans="1:10" ht="25.5" customHeight="1">
      <c r="A24" s="433"/>
      <c r="B24" s="292"/>
      <c r="C24" s="450"/>
      <c r="D24" s="450"/>
      <c r="E24" s="970" t="s">
        <v>187</v>
      </c>
      <c r="F24" s="628" t="s">
        <v>643</v>
      </c>
      <c r="G24" s="628" t="s">
        <v>643</v>
      </c>
      <c r="H24" s="628" t="s">
        <v>643</v>
      </c>
      <c r="I24" s="992" t="s">
        <v>643</v>
      </c>
      <c r="J24" s="992" t="s">
        <v>643</v>
      </c>
    </row>
    <row r="25" spans="1:10" s="6" customFormat="1">
      <c r="A25" s="598"/>
      <c r="B25" s="292"/>
      <c r="C25" s="24" t="s">
        <v>347</v>
      </c>
      <c r="D25" s="229" t="s">
        <v>393</v>
      </c>
      <c r="E25" s="942"/>
      <c r="F25" s="975">
        <f>SUM(F26:F27)</f>
        <v>55</v>
      </c>
      <c r="G25" s="975">
        <f>SUM(G26:G27)</f>
        <v>62</v>
      </c>
      <c r="H25" s="975">
        <f>SUM(H26:H27)</f>
        <v>55</v>
      </c>
      <c r="I25" s="975">
        <f>SUM(I26:I27)</f>
        <v>130</v>
      </c>
      <c r="J25" s="975">
        <f>SUM(J26:J27)</f>
        <v>156</v>
      </c>
    </row>
    <row r="26" spans="1:10">
      <c r="A26" s="433"/>
      <c r="B26" s="292"/>
      <c r="C26" s="450"/>
      <c r="D26" s="450"/>
      <c r="E26" s="942" t="s">
        <v>30</v>
      </c>
      <c r="F26" s="976">
        <v>55</v>
      </c>
      <c r="G26" s="976">
        <v>62</v>
      </c>
      <c r="H26" s="976">
        <v>55</v>
      </c>
      <c r="I26" s="976">
        <v>130</v>
      </c>
      <c r="J26" s="976">
        <v>156</v>
      </c>
    </row>
    <row r="27" spans="1:10">
      <c r="A27" s="433"/>
      <c r="B27" s="292"/>
      <c r="C27" s="450"/>
      <c r="D27" s="450"/>
      <c r="E27" s="942" t="s">
        <v>24</v>
      </c>
      <c r="F27" s="976" t="s">
        <v>643</v>
      </c>
      <c r="G27" s="976" t="s">
        <v>643</v>
      </c>
      <c r="H27" s="976" t="s">
        <v>643</v>
      </c>
      <c r="I27" s="993" t="s">
        <v>643</v>
      </c>
      <c r="J27" s="993" t="s">
        <v>643</v>
      </c>
    </row>
    <row r="28" spans="1:10" s="6" customFormat="1">
      <c r="A28" s="598"/>
      <c r="B28" s="292"/>
      <c r="C28" s="24" t="s">
        <v>348</v>
      </c>
      <c r="D28" s="229" t="s">
        <v>26</v>
      </c>
      <c r="E28" s="942"/>
      <c r="F28" s="975">
        <f>SUM(F29:F30)</f>
        <v>17</v>
      </c>
      <c r="G28" s="975">
        <f>SUM(G29:G30)</f>
        <v>20</v>
      </c>
      <c r="H28" s="975">
        <f>SUM(H29:H30)</f>
        <v>24</v>
      </c>
      <c r="I28" s="975">
        <f>SUM(I29:I30)</f>
        <v>20</v>
      </c>
      <c r="J28" s="975">
        <f>SUM(J29:J30)</f>
        <v>21</v>
      </c>
    </row>
    <row r="29" spans="1:10">
      <c r="A29" s="433"/>
      <c r="B29" s="292"/>
      <c r="C29" s="450"/>
      <c r="D29" s="450"/>
      <c r="E29" s="942" t="s">
        <v>395</v>
      </c>
      <c r="F29" s="976">
        <v>17</v>
      </c>
      <c r="G29" s="976">
        <v>20</v>
      </c>
      <c r="H29" s="976">
        <v>24</v>
      </c>
      <c r="I29" s="976">
        <v>20</v>
      </c>
      <c r="J29" s="976">
        <v>21</v>
      </c>
    </row>
    <row r="30" spans="1:10">
      <c r="A30" s="433"/>
      <c r="B30" s="292"/>
      <c r="C30" s="450"/>
      <c r="D30" s="450"/>
      <c r="E30" s="942" t="s">
        <v>396</v>
      </c>
      <c r="F30" s="976" t="s">
        <v>643</v>
      </c>
      <c r="G30" s="976" t="s">
        <v>643</v>
      </c>
      <c r="H30" s="976" t="s">
        <v>643</v>
      </c>
      <c r="I30" s="993" t="s">
        <v>643</v>
      </c>
      <c r="J30" s="993" t="s">
        <v>643</v>
      </c>
    </row>
    <row r="31" spans="1:10">
      <c r="A31" s="433"/>
      <c r="B31" s="292"/>
      <c r="C31" s="450"/>
      <c r="D31" s="450"/>
      <c r="E31" s="942" t="s">
        <v>405</v>
      </c>
      <c r="F31" s="976" t="s">
        <v>643</v>
      </c>
      <c r="G31" s="976" t="s">
        <v>643</v>
      </c>
      <c r="H31" s="976" t="s">
        <v>643</v>
      </c>
      <c r="I31" s="993" t="s">
        <v>643</v>
      </c>
      <c r="J31" s="993" t="s">
        <v>643</v>
      </c>
    </row>
    <row r="32" spans="1:10">
      <c r="A32" s="433"/>
      <c r="B32" s="292"/>
      <c r="C32" s="450"/>
      <c r="D32" s="450"/>
      <c r="E32" s="942" t="s">
        <v>397</v>
      </c>
      <c r="F32" s="976" t="s">
        <v>643</v>
      </c>
      <c r="G32" s="976" t="s">
        <v>643</v>
      </c>
      <c r="H32" s="976" t="s">
        <v>643</v>
      </c>
      <c r="I32" s="993" t="s">
        <v>643</v>
      </c>
      <c r="J32" s="993" t="s">
        <v>643</v>
      </c>
    </row>
    <row r="33" spans="1:10">
      <c r="A33" s="433"/>
      <c r="B33" s="292"/>
      <c r="C33" s="450"/>
      <c r="D33" s="450"/>
      <c r="E33" s="979" t="s">
        <v>404</v>
      </c>
      <c r="F33" s="976" t="s">
        <v>643</v>
      </c>
      <c r="G33" s="976" t="s">
        <v>643</v>
      </c>
      <c r="H33" s="976" t="s">
        <v>643</v>
      </c>
      <c r="I33" s="993" t="s">
        <v>643</v>
      </c>
      <c r="J33" s="993" t="s">
        <v>643</v>
      </c>
    </row>
    <row r="34" spans="1:10">
      <c r="A34" s="433"/>
      <c r="B34" s="945">
        <v>3</v>
      </c>
      <c r="C34" s="1426" t="s">
        <v>1183</v>
      </c>
      <c r="D34" s="1426"/>
      <c r="E34" s="1427"/>
      <c r="F34" s="980">
        <v>253</v>
      </c>
      <c r="G34" s="980">
        <v>250</v>
      </c>
      <c r="H34" s="980">
        <v>230</v>
      </c>
      <c r="I34" s="980">
        <v>188</v>
      </c>
      <c r="J34" s="980">
        <v>208</v>
      </c>
    </row>
    <row r="35" spans="1:10">
      <c r="A35" s="433"/>
      <c r="B35" s="1461" t="s">
        <v>210</v>
      </c>
      <c r="C35" s="1462"/>
      <c r="D35" s="1462"/>
      <c r="E35" s="1469"/>
      <c r="F35" s="981">
        <f>SUM(F7,F17,F34)</f>
        <v>1105</v>
      </c>
      <c r="G35" s="981">
        <f>SUM(G7,G17,G34)</f>
        <v>1342</v>
      </c>
      <c r="H35" s="981">
        <f>SUM(H7,H17,H34)</f>
        <v>1401</v>
      </c>
      <c r="I35" s="981">
        <f>SUM(I7,I17,I34)</f>
        <v>1743</v>
      </c>
      <c r="J35" s="981">
        <f>SUM(J7,J17,J34)</f>
        <v>1447</v>
      </c>
    </row>
    <row r="36" spans="1:10">
      <c r="A36" s="433"/>
      <c r="B36" s="288" t="s">
        <v>1609</v>
      </c>
      <c r="C36" s="604"/>
      <c r="D36" s="604"/>
      <c r="F36" s="604"/>
      <c r="G36" s="931"/>
      <c r="I36" s="769"/>
      <c r="J36" s="962" t="str">
        <f>CONCATENATE("Source : Heads of all Technical and Professional Institutions, ",District!A1)</f>
        <v>Source : Heads of all Technical and Professional Institutions, Nadia</v>
      </c>
    </row>
    <row r="37" spans="1:10">
      <c r="A37" s="433"/>
      <c r="B37" s="604"/>
      <c r="C37" s="604"/>
      <c r="D37" s="604"/>
      <c r="E37" s="604"/>
      <c r="F37" s="604"/>
      <c r="G37" s="618"/>
      <c r="H37" s="614"/>
      <c r="I37" s="614"/>
      <c r="J37" s="614"/>
    </row>
    <row r="38" spans="1:10">
      <c r="B38" s="604"/>
      <c r="C38" s="604"/>
      <c r="D38" s="604"/>
      <c r="E38" s="604"/>
      <c r="F38" s="604"/>
      <c r="G38" s="618"/>
      <c r="H38" s="614"/>
      <c r="I38" s="614"/>
      <c r="J38" s="614"/>
    </row>
    <row r="39" spans="1:10">
      <c r="B39" s="604"/>
      <c r="C39" s="604"/>
      <c r="D39" s="604"/>
      <c r="E39" s="604"/>
      <c r="F39" s="604"/>
      <c r="G39" s="604"/>
      <c r="H39" s="604"/>
      <c r="I39" s="604"/>
      <c r="J39" s="604"/>
    </row>
    <row r="40" spans="1:10">
      <c r="B40" s="604"/>
      <c r="C40" s="604"/>
      <c r="D40" s="604"/>
      <c r="E40" s="604"/>
      <c r="F40" s="604"/>
      <c r="G40" s="604"/>
      <c r="H40" s="604"/>
      <c r="I40" s="604"/>
      <c r="J40" s="604"/>
    </row>
    <row r="41" spans="1:10">
      <c r="B41" s="604"/>
      <c r="C41" s="604"/>
      <c r="D41" s="604"/>
      <c r="E41" s="604"/>
      <c r="F41" s="604"/>
      <c r="G41" s="604"/>
      <c r="H41" s="604"/>
      <c r="I41" s="604"/>
      <c r="J41" s="604"/>
    </row>
    <row r="42" spans="1:10">
      <c r="B42" s="604"/>
      <c r="C42" s="604"/>
      <c r="D42" s="604"/>
      <c r="E42" s="604"/>
      <c r="F42" s="604"/>
      <c r="G42" s="604"/>
      <c r="H42" s="604"/>
      <c r="I42" s="604"/>
      <c r="J42" s="604"/>
    </row>
    <row r="43" spans="1:10">
      <c r="B43" s="604"/>
      <c r="C43" s="604"/>
      <c r="D43" s="604"/>
      <c r="E43" s="604"/>
      <c r="F43" s="604"/>
      <c r="G43" s="604"/>
      <c r="H43" s="604"/>
      <c r="I43" s="604"/>
      <c r="J43" s="604"/>
    </row>
    <row r="44" spans="1:10">
      <c r="B44" s="604"/>
      <c r="C44" s="604"/>
      <c r="D44" s="604"/>
      <c r="E44" s="604"/>
      <c r="F44" s="604"/>
      <c r="G44" s="604"/>
      <c r="H44" s="604"/>
      <c r="I44" s="604"/>
      <c r="J44" s="604"/>
    </row>
    <row r="45" spans="1:10">
      <c r="B45" s="604"/>
      <c r="C45" s="604"/>
      <c r="D45" s="604"/>
      <c r="E45" s="604"/>
      <c r="F45" s="604"/>
      <c r="G45" s="604"/>
      <c r="H45" s="604"/>
      <c r="I45" s="604"/>
      <c r="J45" s="604"/>
    </row>
    <row r="46" spans="1:10">
      <c r="B46" s="604"/>
      <c r="C46" s="604"/>
      <c r="D46" s="604"/>
      <c r="E46" s="604"/>
      <c r="F46" s="604"/>
      <c r="G46" s="604"/>
      <c r="H46" s="604"/>
      <c r="I46" s="604"/>
      <c r="J46" s="604"/>
    </row>
  </sheetData>
  <mergeCells count="10">
    <mergeCell ref="B35:E35"/>
    <mergeCell ref="B1:J1"/>
    <mergeCell ref="D16:E16"/>
    <mergeCell ref="C17:E17"/>
    <mergeCell ref="C34:E34"/>
    <mergeCell ref="B2:J2"/>
    <mergeCell ref="B6:E6"/>
    <mergeCell ref="C7:E7"/>
    <mergeCell ref="B4:E5"/>
    <mergeCell ref="F4:J4"/>
  </mergeCells>
  <phoneticPr fontId="0" type="noConversion"/>
  <pageMargins left="0.1" right="0.1" top="0.65" bottom="0.2" header="0.17" footer="0.16"/>
  <pageSetup paperSize="9" orientation="landscape" blackAndWhite="1" r:id="rId1"/>
  <headerFooter alignWithMargins="0"/>
</worksheet>
</file>

<file path=xl/worksheets/sheet37.xml><?xml version="1.0" encoding="utf-8"?>
<worksheet xmlns="http://schemas.openxmlformats.org/spreadsheetml/2006/main" xmlns:r="http://schemas.openxmlformats.org/officeDocument/2006/relationships">
  <sheetPr codeName="Sheet34"/>
  <dimension ref="A1:J29"/>
  <sheetViews>
    <sheetView workbookViewId="0">
      <selection activeCell="J12" sqref="J12"/>
    </sheetView>
  </sheetViews>
  <sheetFormatPr defaultRowHeight="12.75"/>
  <cols>
    <col min="1" max="1" width="12.7109375" style="405" customWidth="1"/>
    <col min="2" max="2" width="2.85546875" style="405" customWidth="1"/>
    <col min="3" max="4" width="9.140625" style="405"/>
    <col min="5" max="5" width="27.28515625" style="405" customWidth="1"/>
    <col min="6" max="10" width="15.140625" style="405" customWidth="1"/>
    <col min="11" max="16384" width="9.140625" style="405"/>
  </cols>
  <sheetData>
    <row r="1" spans="1:10" ht="13.5" customHeight="1">
      <c r="A1" s="432"/>
      <c r="B1" s="1435" t="s">
        <v>448</v>
      </c>
      <c r="C1" s="1435"/>
      <c r="D1" s="1435"/>
      <c r="E1" s="1435"/>
      <c r="F1" s="1435"/>
      <c r="G1" s="1435"/>
      <c r="H1" s="1435"/>
      <c r="I1" s="1435"/>
      <c r="J1" s="1435"/>
    </row>
    <row r="2" spans="1:10" s="412" customFormat="1" ht="33.75" customHeight="1">
      <c r="A2" s="433"/>
      <c r="B2" s="1297" t="str">
        <f>CONCATENATE("Teachers in different type of Special and Non-formal Educational Institutions 
in the district of ",District!A1)</f>
        <v>Teachers in different type of Special and Non-formal Educational Institutions 
in the district of Nadia</v>
      </c>
      <c r="C2" s="1297"/>
      <c r="D2" s="1297"/>
      <c r="E2" s="1297"/>
      <c r="F2" s="1297"/>
      <c r="G2" s="1297"/>
      <c r="H2" s="1297"/>
      <c r="I2" s="1297"/>
      <c r="J2" s="1297"/>
    </row>
    <row r="3" spans="1:10" ht="14.25" customHeight="1">
      <c r="A3" s="435"/>
      <c r="B3" s="412"/>
      <c r="C3" s="412"/>
      <c r="D3" s="412"/>
      <c r="E3" s="412"/>
      <c r="F3" s="412"/>
      <c r="G3" s="412"/>
      <c r="H3" s="412"/>
      <c r="I3" s="412"/>
      <c r="J3" s="451" t="s">
        <v>223</v>
      </c>
    </row>
    <row r="4" spans="1:10" ht="17.25" customHeight="1">
      <c r="A4" s="433"/>
      <c r="B4" s="1268" t="s">
        <v>1092</v>
      </c>
      <c r="C4" s="1265"/>
      <c r="D4" s="1265"/>
      <c r="E4" s="1266"/>
      <c r="F4" s="1253" t="s">
        <v>107</v>
      </c>
      <c r="G4" s="1251"/>
      <c r="H4" s="1251"/>
      <c r="I4" s="1251"/>
      <c r="J4" s="1252"/>
    </row>
    <row r="5" spans="1:10" ht="16.5" customHeight="1">
      <c r="A5" s="433"/>
      <c r="B5" s="1399"/>
      <c r="C5" s="1290"/>
      <c r="D5" s="1290"/>
      <c r="E5" s="1325"/>
      <c r="F5" s="698" t="str">
        <f>District!C8</f>
        <v>2009-10</v>
      </c>
      <c r="G5" s="698" t="str">
        <f>District!D8</f>
        <v>2010-11</v>
      </c>
      <c r="H5" s="698" t="str">
        <f>District!E8</f>
        <v>2011-12</v>
      </c>
      <c r="I5" s="698" t="str">
        <f>District!F8</f>
        <v>2012-13</v>
      </c>
      <c r="J5" s="698" t="str">
        <f>District!G8</f>
        <v>2013-14</v>
      </c>
    </row>
    <row r="6" spans="1:10" ht="17.25" customHeight="1">
      <c r="A6" s="433"/>
      <c r="B6" s="1259" t="s">
        <v>163</v>
      </c>
      <c r="C6" s="1327"/>
      <c r="D6" s="1327"/>
      <c r="E6" s="1260"/>
      <c r="F6" s="225" t="s">
        <v>164</v>
      </c>
      <c r="G6" s="226" t="s">
        <v>165</v>
      </c>
      <c r="H6" s="225" t="s">
        <v>166</v>
      </c>
      <c r="I6" s="224" t="s">
        <v>167</v>
      </c>
      <c r="J6" s="224" t="s">
        <v>168</v>
      </c>
    </row>
    <row r="7" spans="1:10" ht="21" customHeight="1">
      <c r="A7" s="433"/>
      <c r="B7" s="204">
        <v>1</v>
      </c>
      <c r="C7" s="1449" t="s">
        <v>406</v>
      </c>
      <c r="D7" s="1449"/>
      <c r="E7" s="1450"/>
      <c r="F7" s="1136">
        <v>1489</v>
      </c>
      <c r="G7" s="1136">
        <v>1482</v>
      </c>
      <c r="H7" s="1136">
        <v>1476</v>
      </c>
      <c r="I7" s="1136">
        <v>1466</v>
      </c>
      <c r="J7" s="1136">
        <v>1460</v>
      </c>
    </row>
    <row r="8" spans="1:10" ht="21" customHeight="1">
      <c r="A8" s="433"/>
      <c r="B8" s="81">
        <v>2</v>
      </c>
      <c r="C8" s="291" t="s">
        <v>72</v>
      </c>
      <c r="D8" s="291"/>
      <c r="E8" s="627"/>
      <c r="F8" s="1136">
        <v>581</v>
      </c>
      <c r="G8" s="1136">
        <v>555</v>
      </c>
      <c r="H8" s="1136">
        <v>554</v>
      </c>
      <c r="I8" s="1136">
        <v>552</v>
      </c>
      <c r="J8" s="1136">
        <v>544</v>
      </c>
    </row>
    <row r="9" spans="1:10" ht="21" customHeight="1">
      <c r="A9" s="433"/>
      <c r="B9" s="81">
        <v>3</v>
      </c>
      <c r="C9" s="1441" t="s">
        <v>407</v>
      </c>
      <c r="D9" s="1441"/>
      <c r="E9" s="1442"/>
      <c r="F9" s="1136">
        <v>4</v>
      </c>
      <c r="G9" s="1136">
        <v>4</v>
      </c>
      <c r="H9" s="1136">
        <v>5</v>
      </c>
      <c r="I9" s="1136" t="s">
        <v>643</v>
      </c>
      <c r="J9" s="1136" t="s">
        <v>643</v>
      </c>
    </row>
    <row r="10" spans="1:10" ht="21" customHeight="1">
      <c r="A10" s="433"/>
      <c r="B10" s="81">
        <v>4</v>
      </c>
      <c r="C10" s="1441" t="s">
        <v>418</v>
      </c>
      <c r="D10" s="1441"/>
      <c r="E10" s="1442"/>
      <c r="F10" s="1136">
        <v>149</v>
      </c>
      <c r="G10" s="1136">
        <v>131</v>
      </c>
      <c r="H10" s="1136" t="s">
        <v>1170</v>
      </c>
      <c r="I10" s="1136" t="s">
        <v>643</v>
      </c>
      <c r="J10" s="1136">
        <v>76</v>
      </c>
    </row>
    <row r="11" spans="1:10" ht="21" customHeight="1">
      <c r="A11" s="433"/>
      <c r="B11" s="81">
        <v>5</v>
      </c>
      <c r="C11" s="1441" t="s">
        <v>158</v>
      </c>
      <c r="D11" s="1441"/>
      <c r="E11" s="1442"/>
      <c r="F11" s="1136">
        <v>19</v>
      </c>
      <c r="G11" s="1136">
        <v>19</v>
      </c>
      <c r="H11" s="1136">
        <v>15</v>
      </c>
      <c r="I11" s="1136">
        <v>12</v>
      </c>
      <c r="J11" s="1136">
        <v>35</v>
      </c>
    </row>
    <row r="12" spans="1:10" ht="21" customHeight="1">
      <c r="A12" s="433"/>
      <c r="B12" s="81">
        <v>6</v>
      </c>
      <c r="C12" s="1441" t="s">
        <v>408</v>
      </c>
      <c r="D12" s="1441"/>
      <c r="E12" s="1442"/>
      <c r="F12" s="1136" t="s">
        <v>643</v>
      </c>
      <c r="G12" s="1136" t="s">
        <v>643</v>
      </c>
      <c r="H12" s="1136" t="s">
        <v>643</v>
      </c>
      <c r="I12" s="1136" t="s">
        <v>643</v>
      </c>
      <c r="J12" s="1136" t="s">
        <v>643</v>
      </c>
    </row>
    <row r="13" spans="1:10" ht="28.5" customHeight="1">
      <c r="A13" s="433"/>
      <c r="B13" s="964">
        <v>7</v>
      </c>
      <c r="C13" s="1447" t="s">
        <v>1400</v>
      </c>
      <c r="D13" s="1447"/>
      <c r="E13" s="1448"/>
      <c r="F13" s="1136">
        <v>55</v>
      </c>
      <c r="G13" s="1136">
        <v>63</v>
      </c>
      <c r="H13" s="1136">
        <v>59</v>
      </c>
      <c r="I13" s="1136">
        <v>49</v>
      </c>
      <c r="J13" s="1136">
        <v>90</v>
      </c>
    </row>
    <row r="14" spans="1:10" ht="21" customHeight="1">
      <c r="A14" s="433"/>
      <c r="B14" s="81">
        <v>8</v>
      </c>
      <c r="C14" s="1441" t="s">
        <v>413</v>
      </c>
      <c r="D14" s="1441"/>
      <c r="E14" s="1442"/>
      <c r="F14" s="1136">
        <v>8</v>
      </c>
      <c r="G14" s="1136">
        <v>8</v>
      </c>
      <c r="H14" s="1136">
        <v>9</v>
      </c>
      <c r="I14" s="1136">
        <v>9</v>
      </c>
      <c r="J14" s="1136">
        <v>9</v>
      </c>
    </row>
    <row r="15" spans="1:10" ht="21" customHeight="1">
      <c r="A15" s="433"/>
      <c r="B15" s="81">
        <v>9</v>
      </c>
      <c r="C15" s="1441" t="s">
        <v>27</v>
      </c>
      <c r="D15" s="1441"/>
      <c r="E15" s="1442"/>
      <c r="F15" s="1136">
        <v>4740</v>
      </c>
      <c r="G15" s="1136">
        <v>5926</v>
      </c>
      <c r="H15" s="1136">
        <v>5948</v>
      </c>
      <c r="I15" s="1136">
        <v>5966</v>
      </c>
      <c r="J15" s="1136">
        <v>5901</v>
      </c>
    </row>
    <row r="16" spans="1:10" ht="21" customHeight="1">
      <c r="A16" s="433"/>
      <c r="B16" s="81">
        <v>10</v>
      </c>
      <c r="C16" s="1441" t="s">
        <v>28</v>
      </c>
      <c r="D16" s="1441"/>
      <c r="E16" s="1442"/>
      <c r="F16" s="1136">
        <v>48</v>
      </c>
      <c r="G16" s="1136">
        <v>47</v>
      </c>
      <c r="H16" s="1136">
        <v>54</v>
      </c>
      <c r="I16" s="996">
        <v>15</v>
      </c>
      <c r="J16" s="1146" t="s">
        <v>643</v>
      </c>
    </row>
    <row r="17" spans="1:10" ht="39.75" customHeight="1">
      <c r="A17" s="433"/>
      <c r="B17" s="964">
        <v>11</v>
      </c>
      <c r="C17" s="1443" t="s">
        <v>412</v>
      </c>
      <c r="D17" s="1422"/>
      <c r="E17" s="1423"/>
      <c r="F17" s="1136" t="s">
        <v>643</v>
      </c>
      <c r="G17" s="1136" t="s">
        <v>643</v>
      </c>
      <c r="H17" s="1136" t="s">
        <v>643</v>
      </c>
      <c r="I17" s="1136" t="s">
        <v>643</v>
      </c>
      <c r="J17" s="1136" t="s">
        <v>643</v>
      </c>
    </row>
    <row r="18" spans="1:10" ht="21" customHeight="1">
      <c r="A18" s="433"/>
      <c r="B18" s="129">
        <v>12</v>
      </c>
      <c r="C18" s="1444" t="s">
        <v>73</v>
      </c>
      <c r="D18" s="1445"/>
      <c r="E18" s="1446"/>
      <c r="F18" s="1135" t="s">
        <v>643</v>
      </c>
      <c r="G18" s="1135" t="s">
        <v>643</v>
      </c>
      <c r="H18" s="1135" t="s">
        <v>643</v>
      </c>
      <c r="I18" s="1135" t="s">
        <v>643</v>
      </c>
      <c r="J18" s="1135" t="s">
        <v>643</v>
      </c>
    </row>
    <row r="19" spans="1:10" ht="21" customHeight="1">
      <c r="A19" s="433"/>
      <c r="B19" s="1384" t="s">
        <v>210</v>
      </c>
      <c r="C19" s="1385"/>
      <c r="D19" s="1385"/>
      <c r="E19" s="1386"/>
      <c r="F19" s="305">
        <f>SUM(F7:F18)</f>
        <v>7093</v>
      </c>
      <c r="G19" s="306">
        <f>SUM(G7:G18)</f>
        <v>8235</v>
      </c>
      <c r="H19" s="306">
        <f>SUM(H7:H18)</f>
        <v>8120</v>
      </c>
      <c r="I19" s="1002">
        <f>SUM(I7:I18)</f>
        <v>8069</v>
      </c>
      <c r="J19" s="1002">
        <f>SUM(J7:J18)</f>
        <v>8115</v>
      </c>
    </row>
    <row r="20" spans="1:10">
      <c r="A20" s="433"/>
      <c r="G20" s="280" t="s">
        <v>600</v>
      </c>
      <c r="H20" s="288" t="s">
        <v>936</v>
      </c>
      <c r="J20" s="6"/>
    </row>
    <row r="21" spans="1:10">
      <c r="A21" s="433"/>
      <c r="G21" s="18"/>
      <c r="H21" s="288" t="s">
        <v>977</v>
      </c>
      <c r="J21" s="6"/>
    </row>
    <row r="22" spans="1:10">
      <c r="A22" s="433"/>
      <c r="G22" s="18"/>
      <c r="H22" s="288" t="s">
        <v>978</v>
      </c>
      <c r="J22" s="6"/>
    </row>
    <row r="23" spans="1:10">
      <c r="A23" s="433"/>
      <c r="G23" s="18"/>
      <c r="H23" s="288" t="s">
        <v>979</v>
      </c>
      <c r="J23" s="6"/>
    </row>
    <row r="24" spans="1:10">
      <c r="A24" s="433"/>
      <c r="G24" s="18"/>
      <c r="H24" s="288" t="s">
        <v>980</v>
      </c>
      <c r="J24" s="6"/>
    </row>
    <row r="25" spans="1:10">
      <c r="A25" s="433"/>
      <c r="G25" s="18"/>
      <c r="H25" s="288" t="s">
        <v>981</v>
      </c>
      <c r="J25" s="6"/>
    </row>
    <row r="26" spans="1:10">
      <c r="A26" s="433"/>
      <c r="G26" s="18"/>
      <c r="H26" s="18" t="s">
        <v>1263</v>
      </c>
      <c r="J26" s="6"/>
    </row>
    <row r="27" spans="1:10">
      <c r="A27" s="433"/>
      <c r="G27" s="18"/>
      <c r="H27" s="18" t="s">
        <v>511</v>
      </c>
      <c r="J27" s="6"/>
    </row>
    <row r="28" spans="1:10">
      <c r="A28" s="433"/>
      <c r="H28" s="288" t="s">
        <v>512</v>
      </c>
    </row>
    <row r="29" spans="1:10">
      <c r="A29" s="433"/>
    </row>
  </sheetData>
  <mergeCells count="17">
    <mergeCell ref="C16:E16"/>
    <mergeCell ref="B19:E19"/>
    <mergeCell ref="B1:J1"/>
    <mergeCell ref="C18:E18"/>
    <mergeCell ref="C10:E10"/>
    <mergeCell ref="C9:E9"/>
    <mergeCell ref="B2:J2"/>
    <mergeCell ref="B6:E6"/>
    <mergeCell ref="C7:E7"/>
    <mergeCell ref="F4:J4"/>
    <mergeCell ref="B4:E5"/>
    <mergeCell ref="C11:E11"/>
    <mergeCell ref="C12:E12"/>
    <mergeCell ref="C17:E17"/>
    <mergeCell ref="C13:E13"/>
    <mergeCell ref="C14:E14"/>
    <mergeCell ref="C15:E15"/>
  </mergeCells>
  <phoneticPr fontId="0" type="noConversion"/>
  <conditionalFormatting sqref="A1:XFD1048576">
    <cfRule type="cellIs" dxfId="10" priority="1" stopIfTrue="1" operator="equal">
      <formula>".."</formula>
    </cfRule>
  </conditionalFormatting>
  <pageMargins left="0.1" right="0.1" top="0.7" bottom="0.1" header="0.36" footer="0.16"/>
  <pageSetup paperSize="9" orientation="landscape" blackAndWhite="1" r:id="rId1"/>
  <headerFooter alignWithMargins="0"/>
</worksheet>
</file>

<file path=xl/worksheets/sheet38.xml><?xml version="1.0" encoding="utf-8"?>
<worksheet xmlns="http://schemas.openxmlformats.org/spreadsheetml/2006/main" xmlns:r="http://schemas.openxmlformats.org/officeDocument/2006/relationships">
  <dimension ref="A1:AE44"/>
  <sheetViews>
    <sheetView topLeftCell="L11" workbookViewId="0">
      <selection activeCell="W38" sqref="W38"/>
    </sheetView>
  </sheetViews>
  <sheetFormatPr defaultRowHeight="12.75"/>
  <cols>
    <col min="1" max="1" width="21.28515625" style="9" customWidth="1"/>
    <col min="2" max="13" width="9.85546875" style="9" customWidth="1"/>
    <col min="14" max="14" width="21.7109375" style="9" customWidth="1"/>
    <col min="15" max="23" width="12" style="9" customWidth="1"/>
    <col min="24" max="16384" width="9.140625" style="9"/>
  </cols>
  <sheetData>
    <row r="1" spans="1:31" ht="12.75" customHeight="1">
      <c r="A1" s="1435" t="s">
        <v>449</v>
      </c>
      <c r="B1" s="1435"/>
      <c r="C1" s="1435"/>
      <c r="D1" s="1435"/>
      <c r="E1" s="1435"/>
      <c r="F1" s="1435"/>
      <c r="G1" s="1435"/>
      <c r="H1" s="1435"/>
      <c r="I1" s="1435"/>
      <c r="J1" s="1435"/>
      <c r="K1" s="1435"/>
      <c r="L1" s="1435"/>
      <c r="M1" s="1435"/>
      <c r="X1" s="31"/>
      <c r="Y1" s="31"/>
      <c r="Z1" s="31"/>
      <c r="AA1" s="31"/>
      <c r="AB1" s="31"/>
      <c r="AC1" s="31"/>
      <c r="AD1" s="31"/>
      <c r="AE1" s="31"/>
    </row>
    <row r="2" spans="1:31" ht="17.25" customHeight="1">
      <c r="A2" s="1350" t="str">
        <f>"Institutions, Students and Teachers by Block, Municipality &amp; Notified Area in the district of Nadia for the year " &amp; District!C3</f>
        <v>Institutions, Students and Teachers by Block, Municipality &amp; Notified Area in the district of Nadia for the year 2013-14</v>
      </c>
      <c r="B2" s="1350"/>
      <c r="C2" s="1350"/>
      <c r="D2" s="1350"/>
      <c r="E2" s="1350"/>
      <c r="F2" s="1350"/>
      <c r="G2" s="1350"/>
      <c r="H2" s="1350"/>
      <c r="I2" s="1350"/>
      <c r="J2" s="1350"/>
      <c r="K2" s="1350"/>
      <c r="L2" s="1350"/>
      <c r="M2" s="1350"/>
      <c r="N2" s="1435" t="s">
        <v>1462</v>
      </c>
      <c r="O2" s="1435"/>
      <c r="P2" s="1435"/>
      <c r="Q2" s="1435"/>
      <c r="R2" s="1435"/>
      <c r="S2" s="1435"/>
      <c r="T2" s="1435"/>
      <c r="U2" s="1435"/>
      <c r="V2" s="1435"/>
      <c r="W2" s="1435"/>
      <c r="X2" s="982"/>
      <c r="Y2" s="982"/>
      <c r="Z2" s="982"/>
    </row>
    <row r="3" spans="1:31" ht="12" customHeight="1">
      <c r="M3" s="27" t="s">
        <v>223</v>
      </c>
      <c r="N3" s="983"/>
      <c r="O3" s="983"/>
      <c r="P3" s="983"/>
      <c r="Q3" s="983"/>
      <c r="R3" s="983"/>
      <c r="S3" s="983"/>
      <c r="T3" s="983"/>
      <c r="U3" s="983"/>
      <c r="V3" s="983"/>
      <c r="W3" s="27" t="s">
        <v>223</v>
      </c>
    </row>
    <row r="4" spans="1:31" ht="29.25" customHeight="1">
      <c r="A4" s="1262" t="s">
        <v>1389</v>
      </c>
      <c r="B4" s="1471" t="s">
        <v>1401</v>
      </c>
      <c r="C4" s="1471"/>
      <c r="D4" s="1322"/>
      <c r="E4" s="1471" t="s">
        <v>1402</v>
      </c>
      <c r="F4" s="1471"/>
      <c r="G4" s="1322"/>
      <c r="H4" s="1321" t="s">
        <v>1403</v>
      </c>
      <c r="I4" s="1471"/>
      <c r="J4" s="1322"/>
      <c r="K4" s="1321" t="s">
        <v>1404</v>
      </c>
      <c r="L4" s="1471"/>
      <c r="M4" s="1322"/>
      <c r="N4" s="1262" t="s">
        <v>1389</v>
      </c>
      <c r="O4" s="1471" t="s">
        <v>983</v>
      </c>
      <c r="P4" s="1471"/>
      <c r="Q4" s="1322"/>
      <c r="R4" s="1321" t="s">
        <v>1437</v>
      </c>
      <c r="S4" s="1471"/>
      <c r="T4" s="1322"/>
      <c r="U4" s="1321" t="s">
        <v>1597</v>
      </c>
      <c r="V4" s="1471"/>
      <c r="W4" s="1322"/>
    </row>
    <row r="5" spans="1:31" ht="13.5" customHeight="1">
      <c r="A5" s="1263"/>
      <c r="B5" s="452" t="s">
        <v>513</v>
      </c>
      <c r="C5" s="221" t="s">
        <v>514</v>
      </c>
      <c r="D5" s="393" t="s">
        <v>515</v>
      </c>
      <c r="E5" s="452" t="s">
        <v>513</v>
      </c>
      <c r="F5" s="221" t="s">
        <v>514</v>
      </c>
      <c r="G5" s="393" t="s">
        <v>515</v>
      </c>
      <c r="H5" s="394" t="s">
        <v>513</v>
      </c>
      <c r="I5" s="221" t="s">
        <v>514</v>
      </c>
      <c r="J5" s="393" t="s">
        <v>515</v>
      </c>
      <c r="K5" s="394" t="s">
        <v>513</v>
      </c>
      <c r="L5" s="221" t="s">
        <v>514</v>
      </c>
      <c r="M5" s="393" t="s">
        <v>515</v>
      </c>
      <c r="N5" s="1263"/>
      <c r="O5" s="394" t="s">
        <v>513</v>
      </c>
      <c r="P5" s="221" t="s">
        <v>514</v>
      </c>
      <c r="Q5" s="393" t="s">
        <v>515</v>
      </c>
      <c r="R5" s="394" t="s">
        <v>513</v>
      </c>
      <c r="S5" s="221" t="s">
        <v>514</v>
      </c>
      <c r="T5" s="393" t="s">
        <v>515</v>
      </c>
      <c r="U5" s="394" t="s">
        <v>513</v>
      </c>
      <c r="V5" s="221" t="s">
        <v>514</v>
      </c>
      <c r="W5" s="393" t="s">
        <v>515</v>
      </c>
    </row>
    <row r="6" spans="1:31">
      <c r="A6" s="225" t="s">
        <v>163</v>
      </c>
      <c r="B6" s="226" t="s">
        <v>164</v>
      </c>
      <c r="C6" s="225" t="s">
        <v>165</v>
      </c>
      <c r="D6" s="224" t="s">
        <v>166</v>
      </c>
      <c r="E6" s="226" t="s">
        <v>167</v>
      </c>
      <c r="F6" s="225" t="s">
        <v>168</v>
      </c>
      <c r="G6" s="209" t="s">
        <v>169</v>
      </c>
      <c r="H6" s="299" t="s">
        <v>211</v>
      </c>
      <c r="I6" s="225" t="s">
        <v>212</v>
      </c>
      <c r="J6" s="224" t="s">
        <v>213</v>
      </c>
      <c r="K6" s="299" t="s">
        <v>214</v>
      </c>
      <c r="L6" s="225" t="s">
        <v>253</v>
      </c>
      <c r="M6" s="224" t="s">
        <v>254</v>
      </c>
      <c r="N6" s="225" t="s">
        <v>163</v>
      </c>
      <c r="O6" s="299" t="s">
        <v>255</v>
      </c>
      <c r="P6" s="225" t="s">
        <v>256</v>
      </c>
      <c r="Q6" s="224" t="s">
        <v>257</v>
      </c>
      <c r="R6" s="299" t="s">
        <v>262</v>
      </c>
      <c r="S6" s="225" t="s">
        <v>264</v>
      </c>
      <c r="T6" s="224" t="s">
        <v>263</v>
      </c>
      <c r="U6" s="299" t="s">
        <v>516</v>
      </c>
      <c r="V6" s="225" t="s">
        <v>517</v>
      </c>
      <c r="W6" s="224" t="s">
        <v>518</v>
      </c>
    </row>
    <row r="7" spans="1:31" ht="13.5" customHeight="1">
      <c r="A7" s="822" t="s">
        <v>1194</v>
      </c>
      <c r="B7" s="185">
        <f>SUM(B8:B11)</f>
        <v>424</v>
      </c>
      <c r="C7" s="137">
        <f t="shared" ref="C7:W7" si="0">SUM(C8:C11)</f>
        <v>35755</v>
      </c>
      <c r="D7" s="823">
        <f t="shared" si="0"/>
        <v>1705</v>
      </c>
      <c r="E7" s="185">
        <f t="shared" si="0"/>
        <v>27</v>
      </c>
      <c r="F7" s="137">
        <f t="shared" si="0"/>
        <v>3746</v>
      </c>
      <c r="G7" s="823">
        <f t="shared" si="0"/>
        <v>102</v>
      </c>
      <c r="H7" s="185">
        <f t="shared" si="0"/>
        <v>12</v>
      </c>
      <c r="I7" s="137">
        <f t="shared" si="0"/>
        <v>9223</v>
      </c>
      <c r="J7" s="823">
        <f t="shared" si="0"/>
        <v>231</v>
      </c>
      <c r="K7" s="370">
        <f t="shared" si="0"/>
        <v>53</v>
      </c>
      <c r="L7" s="137">
        <f t="shared" si="0"/>
        <v>85338</v>
      </c>
      <c r="M7" s="823">
        <f>SUM(M8:M11)</f>
        <v>1624</v>
      </c>
      <c r="N7" s="822" t="s">
        <v>1194</v>
      </c>
      <c r="O7" s="185">
        <f t="shared" si="0"/>
        <v>2</v>
      </c>
      <c r="P7" s="137">
        <f t="shared" si="0"/>
        <v>9556</v>
      </c>
      <c r="Q7" s="823">
        <f t="shared" si="0"/>
        <v>46</v>
      </c>
      <c r="R7" s="185">
        <f t="shared" si="0"/>
        <v>7</v>
      </c>
      <c r="S7" s="137">
        <f t="shared" si="0"/>
        <v>705</v>
      </c>
      <c r="T7" s="823">
        <f t="shared" si="0"/>
        <v>67</v>
      </c>
      <c r="U7" s="370">
        <f t="shared" si="0"/>
        <v>1321</v>
      </c>
      <c r="V7" s="137">
        <f t="shared" si="0"/>
        <v>49314</v>
      </c>
      <c r="W7" s="874">
        <f t="shared" si="0"/>
        <v>1669</v>
      </c>
    </row>
    <row r="8" spans="1:31" ht="13.5" customHeight="1">
      <c r="A8" s="540" t="s">
        <v>1118</v>
      </c>
      <c r="B8" s="209">
        <v>96</v>
      </c>
      <c r="C8" s="174">
        <v>8467</v>
      </c>
      <c r="D8" s="164">
        <v>400</v>
      </c>
      <c r="E8" s="209">
        <v>9</v>
      </c>
      <c r="F8" s="184">
        <v>1280</v>
      </c>
      <c r="G8" s="174">
        <v>47</v>
      </c>
      <c r="H8" s="81">
        <v>2</v>
      </c>
      <c r="I8" s="81">
        <v>1342</v>
      </c>
      <c r="J8" s="46">
        <v>43</v>
      </c>
      <c r="K8" s="108">
        <v>12</v>
      </c>
      <c r="L8" s="81">
        <v>18635</v>
      </c>
      <c r="M8" s="46">
        <v>370</v>
      </c>
      <c r="N8" s="540" t="s">
        <v>1118</v>
      </c>
      <c r="O8" s="45">
        <v>1</v>
      </c>
      <c r="P8" s="81">
        <v>4254</v>
      </c>
      <c r="Q8" s="46">
        <v>25</v>
      </c>
      <c r="R8" s="45">
        <v>4</v>
      </c>
      <c r="S8" s="81">
        <v>400</v>
      </c>
      <c r="T8" s="46">
        <v>36</v>
      </c>
      <c r="U8" s="108">
        <v>329</v>
      </c>
      <c r="V8" s="81">
        <v>9765</v>
      </c>
      <c r="W8" s="81">
        <v>420</v>
      </c>
    </row>
    <row r="9" spans="1:31" ht="13.5" customHeight="1">
      <c r="A9" s="540" t="s">
        <v>1119</v>
      </c>
      <c r="B9" s="209">
        <v>113</v>
      </c>
      <c r="C9" s="174">
        <v>9887</v>
      </c>
      <c r="D9" s="164">
        <v>419</v>
      </c>
      <c r="E9" s="209">
        <v>9</v>
      </c>
      <c r="F9" s="184">
        <v>713</v>
      </c>
      <c r="G9" s="174">
        <v>27</v>
      </c>
      <c r="H9" s="45">
        <v>4</v>
      </c>
      <c r="I9" s="81">
        <v>3206</v>
      </c>
      <c r="J9" s="46">
        <v>65</v>
      </c>
      <c r="K9" s="108">
        <v>14</v>
      </c>
      <c r="L9" s="81">
        <v>21859</v>
      </c>
      <c r="M9" s="46">
        <v>422</v>
      </c>
      <c r="N9" s="540" t="s">
        <v>1119</v>
      </c>
      <c r="O9" s="277" t="s">
        <v>643</v>
      </c>
      <c r="P9" s="1080" t="s">
        <v>643</v>
      </c>
      <c r="Q9" s="294" t="s">
        <v>643</v>
      </c>
      <c r="R9" s="45">
        <v>1</v>
      </c>
      <c r="S9" s="81">
        <v>100</v>
      </c>
      <c r="T9" s="46">
        <v>10</v>
      </c>
      <c r="U9" s="108">
        <v>370</v>
      </c>
      <c r="V9" s="81">
        <v>14682</v>
      </c>
      <c r="W9" s="81">
        <v>457</v>
      </c>
    </row>
    <row r="10" spans="1:31" ht="13.5" customHeight="1">
      <c r="A10" s="540" t="s">
        <v>1121</v>
      </c>
      <c r="B10" s="209">
        <v>132</v>
      </c>
      <c r="C10" s="174">
        <v>10094</v>
      </c>
      <c r="D10" s="164">
        <v>553</v>
      </c>
      <c r="E10" s="209">
        <v>7</v>
      </c>
      <c r="F10" s="184">
        <v>1447</v>
      </c>
      <c r="G10" s="174">
        <v>21</v>
      </c>
      <c r="H10" s="45">
        <v>3</v>
      </c>
      <c r="I10" s="81">
        <v>2039</v>
      </c>
      <c r="J10" s="46">
        <v>69</v>
      </c>
      <c r="K10" s="108">
        <v>18</v>
      </c>
      <c r="L10" s="81">
        <v>28524</v>
      </c>
      <c r="M10" s="46">
        <v>542</v>
      </c>
      <c r="N10" s="540" t="s">
        <v>1121</v>
      </c>
      <c r="O10" s="45">
        <v>1</v>
      </c>
      <c r="P10" s="81">
        <v>5302</v>
      </c>
      <c r="Q10" s="46">
        <v>21</v>
      </c>
      <c r="R10" s="352" t="s">
        <v>643</v>
      </c>
      <c r="S10" s="176" t="s">
        <v>643</v>
      </c>
      <c r="T10" s="1079" t="s">
        <v>643</v>
      </c>
      <c r="U10" s="108">
        <v>398</v>
      </c>
      <c r="V10" s="81">
        <v>13349</v>
      </c>
      <c r="W10" s="81">
        <v>475</v>
      </c>
    </row>
    <row r="11" spans="1:31" ht="13.5" customHeight="1">
      <c r="A11" s="540" t="s">
        <v>1120</v>
      </c>
      <c r="B11" s="209">
        <v>83</v>
      </c>
      <c r="C11" s="174">
        <v>7307</v>
      </c>
      <c r="D11" s="164">
        <v>333</v>
      </c>
      <c r="E11" s="209">
        <v>2</v>
      </c>
      <c r="F11" s="184">
        <v>306</v>
      </c>
      <c r="G11" s="174">
        <v>7</v>
      </c>
      <c r="H11" s="45">
        <v>3</v>
      </c>
      <c r="I11" s="81">
        <v>2636</v>
      </c>
      <c r="J11" s="46">
        <v>54</v>
      </c>
      <c r="K11" s="108">
        <v>9</v>
      </c>
      <c r="L11" s="81">
        <v>16320</v>
      </c>
      <c r="M11" s="46">
        <v>290</v>
      </c>
      <c r="N11" s="540" t="s">
        <v>1120</v>
      </c>
      <c r="O11" s="277" t="s">
        <v>643</v>
      </c>
      <c r="P11" s="1080" t="s">
        <v>643</v>
      </c>
      <c r="Q11" s="294" t="s">
        <v>643</v>
      </c>
      <c r="R11" s="45">
        <v>2</v>
      </c>
      <c r="S11" s="81">
        <v>205</v>
      </c>
      <c r="T11" s="46">
        <v>21</v>
      </c>
      <c r="U11" s="108">
        <v>224</v>
      </c>
      <c r="V11" s="81">
        <v>11518</v>
      </c>
      <c r="W11" s="81">
        <v>317</v>
      </c>
    </row>
    <row r="12" spans="1:31" ht="13.5" customHeight="1">
      <c r="A12" s="824" t="s">
        <v>1264</v>
      </c>
      <c r="B12" s="185">
        <f>SUM(B13:B21)</f>
        <v>1066</v>
      </c>
      <c r="C12" s="137">
        <f t="shared" ref="C12:W12" si="1">SUM(C13:C21)</f>
        <v>106019</v>
      </c>
      <c r="D12" s="79">
        <f t="shared" si="1"/>
        <v>5040</v>
      </c>
      <c r="E12" s="185">
        <f t="shared" si="1"/>
        <v>82</v>
      </c>
      <c r="F12" s="137">
        <f t="shared" si="1"/>
        <v>14710</v>
      </c>
      <c r="G12" s="137">
        <f t="shared" si="1"/>
        <v>292</v>
      </c>
      <c r="H12" s="185">
        <f t="shared" si="1"/>
        <v>39</v>
      </c>
      <c r="I12" s="137">
        <f>SUM(I13:I21)</f>
        <v>22754</v>
      </c>
      <c r="J12" s="79">
        <f t="shared" si="1"/>
        <v>588</v>
      </c>
      <c r="K12" s="370">
        <f t="shared" si="1"/>
        <v>160</v>
      </c>
      <c r="L12" s="137">
        <f t="shared" si="1"/>
        <v>222437</v>
      </c>
      <c r="M12" s="137">
        <f t="shared" si="1"/>
        <v>4565</v>
      </c>
      <c r="N12" s="824" t="s">
        <v>1264</v>
      </c>
      <c r="O12" s="185">
        <f t="shared" si="1"/>
        <v>9</v>
      </c>
      <c r="P12" s="137">
        <f t="shared" si="1"/>
        <v>26970</v>
      </c>
      <c r="Q12" s="79">
        <f t="shared" si="1"/>
        <v>313</v>
      </c>
      <c r="R12" s="185">
        <f t="shared" si="1"/>
        <v>24</v>
      </c>
      <c r="S12" s="137">
        <f t="shared" si="1"/>
        <v>3265</v>
      </c>
      <c r="T12" s="79">
        <f t="shared" si="1"/>
        <v>304</v>
      </c>
      <c r="U12" s="370">
        <f t="shared" si="1"/>
        <v>2836</v>
      </c>
      <c r="V12" s="137">
        <f t="shared" si="1"/>
        <v>106868</v>
      </c>
      <c r="W12" s="137">
        <f t="shared" si="1"/>
        <v>3315</v>
      </c>
    </row>
    <row r="13" spans="1:31" ht="13.5" customHeight="1">
      <c r="A13" s="540" t="s">
        <v>1122</v>
      </c>
      <c r="B13" s="209">
        <v>175</v>
      </c>
      <c r="C13" s="174">
        <v>19871</v>
      </c>
      <c r="D13" s="164">
        <v>929</v>
      </c>
      <c r="E13" s="209">
        <v>14</v>
      </c>
      <c r="F13" s="174">
        <v>3261</v>
      </c>
      <c r="G13" s="164">
        <v>50</v>
      </c>
      <c r="H13" s="45">
        <v>4</v>
      </c>
      <c r="I13" s="81">
        <v>4467</v>
      </c>
      <c r="J13" s="46">
        <v>83</v>
      </c>
      <c r="K13" s="108">
        <v>25</v>
      </c>
      <c r="L13" s="81">
        <v>38430</v>
      </c>
      <c r="M13" s="46">
        <v>713</v>
      </c>
      <c r="N13" s="540" t="s">
        <v>1122</v>
      </c>
      <c r="O13" s="45">
        <v>1</v>
      </c>
      <c r="P13" s="81">
        <v>1793</v>
      </c>
      <c r="Q13" s="46">
        <v>5</v>
      </c>
      <c r="R13" s="45">
        <v>3</v>
      </c>
      <c r="S13" s="81">
        <v>200</v>
      </c>
      <c r="T13" s="46">
        <v>25</v>
      </c>
      <c r="U13" s="108">
        <v>454</v>
      </c>
      <c r="V13" s="81">
        <v>22860</v>
      </c>
      <c r="W13" s="1131">
        <v>565</v>
      </c>
    </row>
    <row r="14" spans="1:31" ht="13.5" customHeight="1">
      <c r="A14" s="540" t="s">
        <v>1123</v>
      </c>
      <c r="B14" s="209">
        <v>185</v>
      </c>
      <c r="C14" s="174">
        <v>25688</v>
      </c>
      <c r="D14" s="164">
        <v>1044</v>
      </c>
      <c r="E14" s="209">
        <v>12</v>
      </c>
      <c r="F14" s="174">
        <v>2280</v>
      </c>
      <c r="G14" s="164">
        <v>37</v>
      </c>
      <c r="H14" s="45">
        <v>7</v>
      </c>
      <c r="I14" s="81">
        <v>4433</v>
      </c>
      <c r="J14" s="46">
        <v>95</v>
      </c>
      <c r="K14" s="108">
        <v>33</v>
      </c>
      <c r="L14" s="81">
        <v>45658</v>
      </c>
      <c r="M14" s="46">
        <v>847</v>
      </c>
      <c r="N14" s="540" t="s">
        <v>1123</v>
      </c>
      <c r="O14" s="1082">
        <v>1</v>
      </c>
      <c r="P14" s="81">
        <v>4125</v>
      </c>
      <c r="Q14" s="46">
        <v>24</v>
      </c>
      <c r="R14" s="45">
        <v>2</v>
      </c>
      <c r="S14" s="81">
        <v>184</v>
      </c>
      <c r="T14" s="46">
        <v>14</v>
      </c>
      <c r="U14" s="108">
        <v>533</v>
      </c>
      <c r="V14" s="81">
        <v>20764</v>
      </c>
      <c r="W14" s="81">
        <v>606</v>
      </c>
    </row>
    <row r="15" spans="1:31" ht="13.5" customHeight="1">
      <c r="A15" s="540" t="s">
        <v>1124</v>
      </c>
      <c r="B15" s="209">
        <v>155</v>
      </c>
      <c r="C15" s="174">
        <v>17027</v>
      </c>
      <c r="D15" s="164">
        <v>875</v>
      </c>
      <c r="E15" s="209">
        <v>19</v>
      </c>
      <c r="F15" s="174">
        <v>3778</v>
      </c>
      <c r="G15" s="164">
        <v>65</v>
      </c>
      <c r="H15" s="45">
        <v>5</v>
      </c>
      <c r="I15" s="81">
        <v>2434</v>
      </c>
      <c r="J15" s="46">
        <v>69</v>
      </c>
      <c r="K15" s="108">
        <v>21</v>
      </c>
      <c r="L15" s="81">
        <v>36085</v>
      </c>
      <c r="M15" s="46">
        <v>695</v>
      </c>
      <c r="N15" s="540" t="s">
        <v>1124</v>
      </c>
      <c r="O15" s="1082">
        <v>1</v>
      </c>
      <c r="P15" s="81">
        <v>3081</v>
      </c>
      <c r="Q15" s="46">
        <v>24</v>
      </c>
      <c r="R15" s="45">
        <v>2</v>
      </c>
      <c r="S15" s="81">
        <v>197</v>
      </c>
      <c r="T15" s="46">
        <v>22</v>
      </c>
      <c r="U15" s="108">
        <v>440</v>
      </c>
      <c r="V15" s="81">
        <v>19427</v>
      </c>
      <c r="W15" s="81">
        <v>494</v>
      </c>
    </row>
    <row r="16" spans="1:31" ht="13.5" customHeight="1">
      <c r="A16" s="540" t="s">
        <v>1125</v>
      </c>
      <c r="B16" s="209">
        <v>95</v>
      </c>
      <c r="C16" s="174">
        <v>6626</v>
      </c>
      <c r="D16" s="164">
        <v>320</v>
      </c>
      <c r="E16" s="209">
        <v>6</v>
      </c>
      <c r="F16" s="174">
        <v>866</v>
      </c>
      <c r="G16" s="164">
        <v>28</v>
      </c>
      <c r="H16" s="45">
        <v>4</v>
      </c>
      <c r="I16" s="81">
        <v>2081</v>
      </c>
      <c r="J16" s="46">
        <v>53</v>
      </c>
      <c r="K16" s="108">
        <v>13</v>
      </c>
      <c r="L16" s="81">
        <v>16052</v>
      </c>
      <c r="M16" s="46">
        <v>340</v>
      </c>
      <c r="N16" s="540" t="s">
        <v>1125</v>
      </c>
      <c r="O16" s="1082">
        <v>1</v>
      </c>
      <c r="P16" s="81">
        <v>4120</v>
      </c>
      <c r="Q16" s="46">
        <v>37</v>
      </c>
      <c r="R16" s="352" t="s">
        <v>643</v>
      </c>
      <c r="S16" s="176" t="s">
        <v>643</v>
      </c>
      <c r="T16" s="1079" t="s">
        <v>643</v>
      </c>
      <c r="U16" s="108">
        <v>300</v>
      </c>
      <c r="V16" s="81">
        <v>7486</v>
      </c>
      <c r="W16" s="81">
        <v>295</v>
      </c>
    </row>
    <row r="17" spans="1:23" ht="13.5" customHeight="1">
      <c r="A17" s="540" t="s">
        <v>1126</v>
      </c>
      <c r="B17" s="209">
        <v>177</v>
      </c>
      <c r="C17" s="174">
        <v>12937</v>
      </c>
      <c r="D17" s="164">
        <v>719</v>
      </c>
      <c r="E17" s="209">
        <v>13</v>
      </c>
      <c r="F17" s="174">
        <v>1678</v>
      </c>
      <c r="G17" s="164">
        <v>45</v>
      </c>
      <c r="H17" s="45">
        <v>5</v>
      </c>
      <c r="I17" s="81">
        <v>4602</v>
      </c>
      <c r="J17" s="46">
        <v>116</v>
      </c>
      <c r="K17" s="108">
        <v>18</v>
      </c>
      <c r="L17" s="81">
        <v>26967</v>
      </c>
      <c r="M17" s="46">
        <v>561</v>
      </c>
      <c r="N17" s="540" t="s">
        <v>1126</v>
      </c>
      <c r="O17" s="1082">
        <v>1</v>
      </c>
      <c r="P17" s="81">
        <v>1212</v>
      </c>
      <c r="Q17" s="46">
        <v>18</v>
      </c>
      <c r="R17" s="45">
        <v>5</v>
      </c>
      <c r="S17" s="81">
        <v>624</v>
      </c>
      <c r="T17" s="46">
        <v>104</v>
      </c>
      <c r="U17" s="108">
        <v>604</v>
      </c>
      <c r="V17" s="81">
        <v>17119</v>
      </c>
      <c r="W17" s="81">
        <v>663</v>
      </c>
    </row>
    <row r="18" spans="1:23" ht="13.5" customHeight="1">
      <c r="A18" s="540" t="s">
        <v>1127</v>
      </c>
      <c r="B18" s="209">
        <v>64</v>
      </c>
      <c r="C18" s="174">
        <v>6784</v>
      </c>
      <c r="D18" s="164">
        <v>314</v>
      </c>
      <c r="E18" s="209">
        <v>2</v>
      </c>
      <c r="F18" s="174">
        <v>211</v>
      </c>
      <c r="G18" s="164">
        <v>11</v>
      </c>
      <c r="H18" s="45">
        <v>6</v>
      </c>
      <c r="I18" s="81">
        <v>2019</v>
      </c>
      <c r="J18" s="46">
        <v>77</v>
      </c>
      <c r="K18" s="108">
        <v>20</v>
      </c>
      <c r="L18" s="81">
        <v>22211</v>
      </c>
      <c r="M18" s="46">
        <v>587</v>
      </c>
      <c r="N18" s="540" t="s">
        <v>1127</v>
      </c>
      <c r="O18" s="45">
        <v>3</v>
      </c>
      <c r="P18" s="81">
        <v>6699</v>
      </c>
      <c r="Q18" s="1081">
        <v>160</v>
      </c>
      <c r="R18" s="45">
        <v>11</v>
      </c>
      <c r="S18" s="81">
        <v>1960</v>
      </c>
      <c r="T18" s="46">
        <v>127</v>
      </c>
      <c r="U18" s="108">
        <v>3</v>
      </c>
      <c r="V18" s="81">
        <v>241</v>
      </c>
      <c r="W18" s="81">
        <v>42</v>
      </c>
    </row>
    <row r="19" spans="1:23" ht="13.5" customHeight="1">
      <c r="A19" s="540" t="s">
        <v>1128</v>
      </c>
      <c r="B19" s="209">
        <v>76</v>
      </c>
      <c r="C19" s="174">
        <v>6641</v>
      </c>
      <c r="D19" s="164">
        <v>328</v>
      </c>
      <c r="E19" s="209">
        <v>10</v>
      </c>
      <c r="F19" s="174">
        <v>1440</v>
      </c>
      <c r="G19" s="164">
        <v>39</v>
      </c>
      <c r="H19" s="45">
        <v>2</v>
      </c>
      <c r="I19" s="81">
        <v>1476</v>
      </c>
      <c r="J19" s="46">
        <v>35</v>
      </c>
      <c r="K19" s="108">
        <v>10</v>
      </c>
      <c r="L19" s="81">
        <v>14276</v>
      </c>
      <c r="M19" s="46">
        <v>295</v>
      </c>
      <c r="N19" s="540" t="s">
        <v>1128</v>
      </c>
      <c r="O19" s="277" t="s">
        <v>643</v>
      </c>
      <c r="P19" s="1080" t="s">
        <v>643</v>
      </c>
      <c r="Q19" s="294" t="s">
        <v>643</v>
      </c>
      <c r="R19" s="45">
        <v>1</v>
      </c>
      <c r="S19" s="81">
        <v>100</v>
      </c>
      <c r="T19" s="46">
        <v>12</v>
      </c>
      <c r="U19" s="108">
        <v>207</v>
      </c>
      <c r="V19" s="81">
        <v>8285</v>
      </c>
      <c r="W19" s="81">
        <v>270</v>
      </c>
    </row>
    <row r="20" spans="1:23" ht="13.5" customHeight="1">
      <c r="A20" s="540" t="s">
        <v>1129</v>
      </c>
      <c r="B20" s="209">
        <v>89</v>
      </c>
      <c r="C20" s="174">
        <v>6787</v>
      </c>
      <c r="D20" s="164">
        <v>327</v>
      </c>
      <c r="E20" s="209">
        <v>6</v>
      </c>
      <c r="F20" s="174">
        <v>1196</v>
      </c>
      <c r="G20" s="164">
        <v>17</v>
      </c>
      <c r="H20" s="352" t="s">
        <v>643</v>
      </c>
      <c r="I20" s="176" t="s">
        <v>643</v>
      </c>
      <c r="J20" s="1074" t="s">
        <v>643</v>
      </c>
      <c r="K20" s="108">
        <v>8</v>
      </c>
      <c r="L20" s="81">
        <v>9997</v>
      </c>
      <c r="M20" s="46">
        <v>205</v>
      </c>
      <c r="N20" s="540" t="s">
        <v>1129</v>
      </c>
      <c r="O20" s="277" t="s">
        <v>643</v>
      </c>
      <c r="P20" s="1080" t="s">
        <v>643</v>
      </c>
      <c r="Q20" s="294" t="s">
        <v>643</v>
      </c>
      <c r="R20" s="1079" t="s">
        <v>643</v>
      </c>
      <c r="S20" s="1079" t="s">
        <v>643</v>
      </c>
      <c r="T20" s="1079" t="s">
        <v>643</v>
      </c>
      <c r="U20" s="108">
        <v>216</v>
      </c>
      <c r="V20" s="81">
        <v>8566</v>
      </c>
      <c r="W20" s="81">
        <v>275</v>
      </c>
    </row>
    <row r="21" spans="1:23" ht="13.5" customHeight="1">
      <c r="A21" s="540" t="s">
        <v>1130</v>
      </c>
      <c r="B21" s="209">
        <v>50</v>
      </c>
      <c r="C21" s="174">
        <v>3658</v>
      </c>
      <c r="D21" s="164">
        <v>184</v>
      </c>
      <c r="E21" s="277" t="s">
        <v>643</v>
      </c>
      <c r="F21" s="1075" t="s">
        <v>643</v>
      </c>
      <c r="G21" s="294" t="s">
        <v>643</v>
      </c>
      <c r="H21" s="45">
        <v>6</v>
      </c>
      <c r="I21" s="81">
        <v>1242</v>
      </c>
      <c r="J21" s="46">
        <v>60</v>
      </c>
      <c r="K21" s="108">
        <v>12</v>
      </c>
      <c r="L21" s="81">
        <v>12761</v>
      </c>
      <c r="M21" s="46">
        <v>322</v>
      </c>
      <c r="N21" s="540" t="s">
        <v>1130</v>
      </c>
      <c r="O21" s="45">
        <v>1</v>
      </c>
      <c r="P21" s="81">
        <v>5940</v>
      </c>
      <c r="Q21" s="46">
        <v>45</v>
      </c>
      <c r="R21" s="1079" t="s">
        <v>643</v>
      </c>
      <c r="S21" s="176" t="s">
        <v>643</v>
      </c>
      <c r="T21" s="1079" t="s">
        <v>643</v>
      </c>
      <c r="U21" s="108">
        <v>79</v>
      </c>
      <c r="V21" s="81">
        <v>2120</v>
      </c>
      <c r="W21" s="81">
        <v>105</v>
      </c>
    </row>
    <row r="22" spans="1:23" ht="13.5" customHeight="1">
      <c r="A22" s="824" t="s">
        <v>805</v>
      </c>
      <c r="B22" s="185">
        <f t="shared" ref="B22:V22" si="2">SUM(B23:B31)</f>
        <v>707</v>
      </c>
      <c r="C22" s="137">
        <f t="shared" si="2"/>
        <v>57335</v>
      </c>
      <c r="D22" s="79">
        <f>SUM(D23:D31)</f>
        <v>2706</v>
      </c>
      <c r="E22" s="185">
        <f t="shared" si="2"/>
        <v>45</v>
      </c>
      <c r="F22" s="137">
        <f t="shared" si="2"/>
        <v>4494</v>
      </c>
      <c r="G22" s="79">
        <f t="shared" si="2"/>
        <v>174</v>
      </c>
      <c r="H22" s="185">
        <f t="shared" si="2"/>
        <v>39</v>
      </c>
      <c r="I22" s="137">
        <f t="shared" si="2"/>
        <v>20958</v>
      </c>
      <c r="J22" s="79">
        <f t="shared" si="2"/>
        <v>591</v>
      </c>
      <c r="K22" s="370">
        <f t="shared" si="2"/>
        <v>106</v>
      </c>
      <c r="L22" s="137">
        <f t="shared" si="2"/>
        <v>147018</v>
      </c>
      <c r="M22" s="79">
        <f t="shared" si="2"/>
        <v>3138</v>
      </c>
      <c r="N22" s="824" t="s">
        <v>805</v>
      </c>
      <c r="O22" s="185">
        <f t="shared" si="2"/>
        <v>4</v>
      </c>
      <c r="P22" s="137">
        <f t="shared" si="2"/>
        <v>22768</v>
      </c>
      <c r="Q22" s="79">
        <f t="shared" si="2"/>
        <v>125</v>
      </c>
      <c r="R22" s="185">
        <f t="shared" si="2"/>
        <v>4</v>
      </c>
      <c r="S22" s="137">
        <f t="shared" si="2"/>
        <v>326</v>
      </c>
      <c r="T22" s="79">
        <f t="shared" si="2"/>
        <v>45</v>
      </c>
      <c r="U22" s="185">
        <f t="shared" si="2"/>
        <v>2000</v>
      </c>
      <c r="V22" s="137">
        <f t="shared" si="2"/>
        <v>58835</v>
      </c>
      <c r="W22" s="137">
        <f>SUM(W23:W31)</f>
        <v>2090</v>
      </c>
    </row>
    <row r="23" spans="1:23" ht="13.5" customHeight="1">
      <c r="A23" s="540" t="s">
        <v>1131</v>
      </c>
      <c r="B23" s="174">
        <v>117</v>
      </c>
      <c r="C23" s="47">
        <v>10542</v>
      </c>
      <c r="D23" s="174">
        <v>435</v>
      </c>
      <c r="E23" s="209">
        <v>9</v>
      </c>
      <c r="F23" s="174">
        <v>717</v>
      </c>
      <c r="G23" s="164">
        <v>32</v>
      </c>
      <c r="H23" s="209">
        <v>5</v>
      </c>
      <c r="I23" s="174">
        <v>5046</v>
      </c>
      <c r="J23" s="164">
        <v>111</v>
      </c>
      <c r="K23" s="184">
        <v>9</v>
      </c>
      <c r="L23" s="174">
        <v>19237</v>
      </c>
      <c r="M23" s="164">
        <v>355</v>
      </c>
      <c r="N23" s="540" t="s">
        <v>1131</v>
      </c>
      <c r="O23" s="277" t="s">
        <v>643</v>
      </c>
      <c r="P23" s="1080" t="s">
        <v>643</v>
      </c>
      <c r="Q23" s="294" t="s">
        <v>643</v>
      </c>
      <c r="R23" s="209">
        <v>3</v>
      </c>
      <c r="S23" s="174">
        <v>226</v>
      </c>
      <c r="T23" s="164">
        <v>27</v>
      </c>
      <c r="U23" s="184">
        <v>483</v>
      </c>
      <c r="V23" s="174">
        <v>17694</v>
      </c>
      <c r="W23" s="174">
        <v>561</v>
      </c>
    </row>
    <row r="24" spans="1:23" ht="13.5" customHeight="1">
      <c r="A24" s="540" t="s">
        <v>1133</v>
      </c>
      <c r="B24" s="174">
        <v>52</v>
      </c>
      <c r="C24" s="47">
        <v>5645</v>
      </c>
      <c r="D24" s="174">
        <v>185</v>
      </c>
      <c r="E24" s="1075" t="s">
        <v>643</v>
      </c>
      <c r="F24" s="1075" t="s">
        <v>643</v>
      </c>
      <c r="G24" s="1075" t="s">
        <v>643</v>
      </c>
      <c r="H24" s="45">
        <v>5</v>
      </c>
      <c r="I24" s="81">
        <v>3360</v>
      </c>
      <c r="J24" s="46">
        <v>70</v>
      </c>
      <c r="K24" s="108">
        <v>10</v>
      </c>
      <c r="L24" s="81">
        <v>15859</v>
      </c>
      <c r="M24" s="46">
        <v>309</v>
      </c>
      <c r="N24" s="540" t="s">
        <v>1133</v>
      </c>
      <c r="O24" s="45">
        <v>1</v>
      </c>
      <c r="P24" s="81">
        <v>5250</v>
      </c>
      <c r="Q24" s="46">
        <v>34</v>
      </c>
      <c r="R24" s="352" t="s">
        <v>643</v>
      </c>
      <c r="S24" s="176" t="s">
        <v>643</v>
      </c>
      <c r="T24" s="1079" t="s">
        <v>643</v>
      </c>
      <c r="U24" s="108">
        <v>2</v>
      </c>
      <c r="V24" s="81">
        <v>379</v>
      </c>
      <c r="W24" s="350">
        <v>12</v>
      </c>
    </row>
    <row r="25" spans="1:23" ht="13.5" customHeight="1">
      <c r="A25" s="540" t="s">
        <v>1134</v>
      </c>
      <c r="B25" s="174">
        <v>166</v>
      </c>
      <c r="C25" s="47">
        <v>12710</v>
      </c>
      <c r="D25" s="174">
        <v>624</v>
      </c>
      <c r="E25" s="209">
        <v>13</v>
      </c>
      <c r="F25" s="174">
        <v>1711</v>
      </c>
      <c r="G25" s="164">
        <v>62</v>
      </c>
      <c r="H25" s="45">
        <v>9</v>
      </c>
      <c r="I25" s="81">
        <v>4799</v>
      </c>
      <c r="J25" s="46">
        <v>115</v>
      </c>
      <c r="K25" s="108">
        <v>25</v>
      </c>
      <c r="L25" s="81">
        <v>31798</v>
      </c>
      <c r="M25" s="46">
        <v>679</v>
      </c>
      <c r="N25" s="540" t="s">
        <v>1134</v>
      </c>
      <c r="O25" s="45">
        <v>1</v>
      </c>
      <c r="P25" s="81">
        <v>7964</v>
      </c>
      <c r="Q25" s="46">
        <v>45</v>
      </c>
      <c r="R25" s="352" t="s">
        <v>643</v>
      </c>
      <c r="S25" s="176" t="s">
        <v>643</v>
      </c>
      <c r="T25" s="1079" t="s">
        <v>643</v>
      </c>
      <c r="U25" s="108">
        <v>472</v>
      </c>
      <c r="V25" s="81">
        <v>12618</v>
      </c>
      <c r="W25" s="81">
        <v>424</v>
      </c>
    </row>
    <row r="26" spans="1:23" ht="13.5" customHeight="1">
      <c r="A26" s="540" t="s">
        <v>1623</v>
      </c>
      <c r="B26" s="209">
        <v>123</v>
      </c>
      <c r="C26" s="174">
        <v>8301</v>
      </c>
      <c r="D26" s="164">
        <v>473</v>
      </c>
      <c r="E26" s="209">
        <v>9</v>
      </c>
      <c r="F26" s="174">
        <v>535</v>
      </c>
      <c r="G26" s="164">
        <v>32</v>
      </c>
      <c r="H26" s="45">
        <v>5</v>
      </c>
      <c r="I26" s="81">
        <v>2106</v>
      </c>
      <c r="J26" s="46">
        <v>76</v>
      </c>
      <c r="K26" s="108">
        <v>15</v>
      </c>
      <c r="L26" s="81">
        <v>20171</v>
      </c>
      <c r="M26" s="46">
        <v>435</v>
      </c>
      <c r="N26" s="540" t="s">
        <v>1623</v>
      </c>
      <c r="O26" s="277" t="s">
        <v>643</v>
      </c>
      <c r="P26" s="1080" t="s">
        <v>643</v>
      </c>
      <c r="Q26" s="294" t="s">
        <v>643</v>
      </c>
      <c r="R26" s="352">
        <v>1</v>
      </c>
      <c r="S26" s="176">
        <v>100</v>
      </c>
      <c r="T26" s="1079">
        <v>18</v>
      </c>
      <c r="U26" s="108">
        <v>435</v>
      </c>
      <c r="V26" s="81">
        <v>11718</v>
      </c>
      <c r="W26" s="81">
        <v>459</v>
      </c>
    </row>
    <row r="27" spans="1:23" ht="13.5" customHeight="1">
      <c r="A27" s="540" t="s">
        <v>768</v>
      </c>
      <c r="B27" s="209">
        <v>29</v>
      </c>
      <c r="C27" s="174">
        <v>2787</v>
      </c>
      <c r="D27" s="164">
        <v>136</v>
      </c>
      <c r="E27" s="1075" t="s">
        <v>643</v>
      </c>
      <c r="F27" s="1075" t="s">
        <v>643</v>
      </c>
      <c r="G27" s="1075" t="s">
        <v>643</v>
      </c>
      <c r="H27" s="45">
        <v>4</v>
      </c>
      <c r="I27" s="81">
        <v>1150</v>
      </c>
      <c r="J27" s="46">
        <v>62</v>
      </c>
      <c r="K27" s="108">
        <v>13</v>
      </c>
      <c r="L27" s="81">
        <v>14332</v>
      </c>
      <c r="M27" s="46">
        <v>323</v>
      </c>
      <c r="N27" s="540" t="s">
        <v>768</v>
      </c>
      <c r="O27" s="45">
        <v>1</v>
      </c>
      <c r="P27" s="81">
        <v>9496</v>
      </c>
      <c r="Q27" s="1079">
        <v>44</v>
      </c>
      <c r="R27" s="352" t="s">
        <v>643</v>
      </c>
      <c r="S27" s="176" t="s">
        <v>643</v>
      </c>
      <c r="T27" s="1079" t="s">
        <v>643</v>
      </c>
      <c r="U27" s="1221" t="s">
        <v>643</v>
      </c>
      <c r="V27" s="1222" t="s">
        <v>643</v>
      </c>
      <c r="W27" s="1222" t="s">
        <v>643</v>
      </c>
    </row>
    <row r="28" spans="1:23" ht="13.5" customHeight="1">
      <c r="A28" s="596" t="s">
        <v>1625</v>
      </c>
      <c r="B28" s="45">
        <v>16</v>
      </c>
      <c r="C28" s="81">
        <v>1092</v>
      </c>
      <c r="D28" s="46">
        <v>57</v>
      </c>
      <c r="E28" s="174">
        <v>1</v>
      </c>
      <c r="F28" s="174">
        <v>58</v>
      </c>
      <c r="G28" s="174">
        <v>2</v>
      </c>
      <c r="H28" s="164">
        <v>1</v>
      </c>
      <c r="I28" s="164">
        <v>450</v>
      </c>
      <c r="J28" s="209">
        <v>19</v>
      </c>
      <c r="K28" s="108">
        <v>2</v>
      </c>
      <c r="L28" s="1084">
        <v>4540</v>
      </c>
      <c r="M28" s="46">
        <v>97</v>
      </c>
      <c r="N28" s="596" t="s">
        <v>1625</v>
      </c>
      <c r="O28" s="277" t="s">
        <v>643</v>
      </c>
      <c r="P28" s="1080" t="s">
        <v>643</v>
      </c>
      <c r="Q28" s="294" t="s">
        <v>643</v>
      </c>
      <c r="R28" s="352" t="s">
        <v>643</v>
      </c>
      <c r="S28" s="176" t="s">
        <v>643</v>
      </c>
      <c r="T28" s="1079" t="s">
        <v>643</v>
      </c>
      <c r="U28" s="278" t="s">
        <v>643</v>
      </c>
      <c r="V28" s="1080" t="s">
        <v>643</v>
      </c>
      <c r="W28" s="1080" t="s">
        <v>643</v>
      </c>
    </row>
    <row r="29" spans="1:23" ht="13.5" customHeight="1">
      <c r="A29" s="596" t="s">
        <v>1626</v>
      </c>
      <c r="B29" s="45">
        <v>12</v>
      </c>
      <c r="C29" s="81">
        <v>747</v>
      </c>
      <c r="D29" s="46">
        <v>43</v>
      </c>
      <c r="E29" s="1075" t="s">
        <v>643</v>
      </c>
      <c r="F29" s="1075" t="s">
        <v>643</v>
      </c>
      <c r="G29" s="1075" t="s">
        <v>643</v>
      </c>
      <c r="H29" s="352" t="s">
        <v>643</v>
      </c>
      <c r="I29" s="176" t="s">
        <v>643</v>
      </c>
      <c r="J29" s="1074" t="s">
        <v>643</v>
      </c>
      <c r="K29" s="108">
        <v>4</v>
      </c>
      <c r="L29" s="81">
        <v>3501</v>
      </c>
      <c r="M29" s="46">
        <v>92</v>
      </c>
      <c r="N29" s="596" t="s">
        <v>1626</v>
      </c>
      <c r="O29" s="277" t="s">
        <v>643</v>
      </c>
      <c r="P29" s="1080" t="s">
        <v>643</v>
      </c>
      <c r="Q29" s="294" t="s">
        <v>643</v>
      </c>
      <c r="R29" s="352" t="s">
        <v>643</v>
      </c>
      <c r="S29" s="176" t="s">
        <v>643</v>
      </c>
      <c r="T29" s="1079" t="s">
        <v>643</v>
      </c>
      <c r="U29" s="278" t="s">
        <v>643</v>
      </c>
      <c r="V29" s="1080" t="s">
        <v>643</v>
      </c>
      <c r="W29" s="1080" t="s">
        <v>643</v>
      </c>
    </row>
    <row r="30" spans="1:23" ht="13.5" customHeight="1">
      <c r="A30" s="596" t="s">
        <v>714</v>
      </c>
      <c r="B30" s="45">
        <v>187</v>
      </c>
      <c r="C30" s="81">
        <v>15026</v>
      </c>
      <c r="D30" s="46">
        <v>734</v>
      </c>
      <c r="E30" s="45">
        <v>13</v>
      </c>
      <c r="F30" s="81">
        <v>1473</v>
      </c>
      <c r="G30" s="46">
        <v>46</v>
      </c>
      <c r="H30" s="45">
        <v>9</v>
      </c>
      <c r="I30" s="81">
        <v>3492</v>
      </c>
      <c r="J30" s="46">
        <v>116</v>
      </c>
      <c r="K30" s="108">
        <v>28</v>
      </c>
      <c r="L30" s="81">
        <v>37580</v>
      </c>
      <c r="M30" s="46">
        <v>848</v>
      </c>
      <c r="N30" s="596" t="s">
        <v>714</v>
      </c>
      <c r="O30" s="45">
        <v>1</v>
      </c>
      <c r="P30" s="81">
        <v>58</v>
      </c>
      <c r="Q30" s="46">
        <v>2</v>
      </c>
      <c r="R30" s="352" t="s">
        <v>643</v>
      </c>
      <c r="S30" s="176" t="s">
        <v>643</v>
      </c>
      <c r="T30" s="1079" t="s">
        <v>643</v>
      </c>
      <c r="U30" s="108">
        <v>608</v>
      </c>
      <c r="V30" s="81">
        <v>16426</v>
      </c>
      <c r="W30" s="81">
        <v>634</v>
      </c>
    </row>
    <row r="31" spans="1:23" ht="13.5" customHeight="1">
      <c r="A31" s="596" t="s">
        <v>1238</v>
      </c>
      <c r="B31" s="45">
        <v>5</v>
      </c>
      <c r="C31" s="81">
        <v>485</v>
      </c>
      <c r="D31" s="46">
        <v>19</v>
      </c>
      <c r="E31" s="1075" t="s">
        <v>643</v>
      </c>
      <c r="F31" s="1075" t="s">
        <v>643</v>
      </c>
      <c r="G31" s="1075" t="s">
        <v>643</v>
      </c>
      <c r="H31" s="45">
        <v>1</v>
      </c>
      <c r="I31" s="81">
        <v>555</v>
      </c>
      <c r="J31" s="46">
        <v>22</v>
      </c>
      <c r="K31" s="278" t="s">
        <v>643</v>
      </c>
      <c r="L31" s="1075" t="s">
        <v>643</v>
      </c>
      <c r="M31" s="294" t="s">
        <v>643</v>
      </c>
      <c r="N31" s="596" t="s">
        <v>1238</v>
      </c>
      <c r="O31" s="277" t="s">
        <v>643</v>
      </c>
      <c r="P31" s="1080" t="s">
        <v>643</v>
      </c>
      <c r="Q31" s="294" t="s">
        <v>643</v>
      </c>
      <c r="R31" s="352" t="s">
        <v>643</v>
      </c>
      <c r="S31" s="176" t="s">
        <v>643</v>
      </c>
      <c r="T31" s="1079" t="s">
        <v>643</v>
      </c>
      <c r="U31" s="278" t="s">
        <v>643</v>
      </c>
      <c r="V31" s="1080" t="s">
        <v>643</v>
      </c>
      <c r="W31" s="1080" t="s">
        <v>643</v>
      </c>
    </row>
    <row r="32" spans="1:23" ht="13.5" customHeight="1">
      <c r="A32" s="523" t="s">
        <v>1265</v>
      </c>
      <c r="B32" s="20">
        <f>SUM(B33:B37)</f>
        <v>428</v>
      </c>
      <c r="C32" s="118">
        <f t="shared" ref="C32:W32" si="3">SUM(C33:C37)</f>
        <v>32856</v>
      </c>
      <c r="D32" s="44">
        <f t="shared" si="3"/>
        <v>1778</v>
      </c>
      <c r="E32" s="20">
        <f t="shared" si="3"/>
        <v>28</v>
      </c>
      <c r="F32" s="118">
        <f t="shared" si="3"/>
        <v>2594</v>
      </c>
      <c r="G32" s="44">
        <f t="shared" si="3"/>
        <v>110</v>
      </c>
      <c r="H32" s="20">
        <f t="shared" si="3"/>
        <v>15</v>
      </c>
      <c r="I32" s="118">
        <f t="shared" si="3"/>
        <v>7160</v>
      </c>
      <c r="J32" s="44">
        <f t="shared" si="3"/>
        <v>231</v>
      </c>
      <c r="K32" s="391">
        <f t="shared" si="3"/>
        <v>86</v>
      </c>
      <c r="L32" s="118">
        <f t="shared" si="3"/>
        <v>95192</v>
      </c>
      <c r="M32" s="44">
        <f t="shared" si="3"/>
        <v>2371</v>
      </c>
      <c r="N32" s="523" t="s">
        <v>1265</v>
      </c>
      <c r="O32" s="20">
        <f>SUM(O34:O37)</f>
        <v>4</v>
      </c>
      <c r="P32" s="118">
        <f>SUM(P33:P37)</f>
        <v>15477</v>
      </c>
      <c r="Q32" s="44">
        <f>SUM(Q33:Q37)</f>
        <v>311</v>
      </c>
      <c r="R32" s="20">
        <f t="shared" si="3"/>
        <v>27</v>
      </c>
      <c r="S32" s="118">
        <f t="shared" si="3"/>
        <v>12252</v>
      </c>
      <c r="T32" s="44">
        <f t="shared" si="3"/>
        <v>1031</v>
      </c>
      <c r="U32" s="1083">
        <f t="shared" si="3"/>
        <v>1160</v>
      </c>
      <c r="V32" s="118">
        <f t="shared" si="3"/>
        <v>22331</v>
      </c>
      <c r="W32" s="998">
        <f t="shared" si="3"/>
        <v>1041</v>
      </c>
    </row>
    <row r="33" spans="1:23" ht="13.5" customHeight="1">
      <c r="A33" s="524" t="s">
        <v>769</v>
      </c>
      <c r="B33" s="45">
        <v>222</v>
      </c>
      <c r="C33" s="81">
        <v>16609</v>
      </c>
      <c r="D33" s="46">
        <v>903</v>
      </c>
      <c r="E33" s="45">
        <v>14</v>
      </c>
      <c r="F33" s="81">
        <v>1407</v>
      </c>
      <c r="G33" s="46">
        <v>69</v>
      </c>
      <c r="H33" s="45">
        <v>9</v>
      </c>
      <c r="I33" s="81">
        <v>4495</v>
      </c>
      <c r="J33" s="46">
        <v>145</v>
      </c>
      <c r="K33" s="108">
        <v>39</v>
      </c>
      <c r="L33" s="81">
        <v>39805</v>
      </c>
      <c r="M33" s="46">
        <v>1011</v>
      </c>
      <c r="N33" s="524" t="s">
        <v>769</v>
      </c>
      <c r="O33" s="277" t="s">
        <v>643</v>
      </c>
      <c r="P33" s="1080" t="s">
        <v>643</v>
      </c>
      <c r="Q33" s="294" t="s">
        <v>643</v>
      </c>
      <c r="R33" s="45">
        <v>6</v>
      </c>
      <c r="S33" s="81">
        <v>754</v>
      </c>
      <c r="T33" s="46">
        <v>79</v>
      </c>
      <c r="U33" s="1078">
        <v>705</v>
      </c>
      <c r="V33" s="81">
        <v>11316</v>
      </c>
      <c r="W33" s="81">
        <v>607</v>
      </c>
    </row>
    <row r="34" spans="1:23" ht="13.5" customHeight="1">
      <c r="A34" s="524" t="s">
        <v>770</v>
      </c>
      <c r="B34" s="45">
        <v>44</v>
      </c>
      <c r="C34" s="81">
        <v>3213</v>
      </c>
      <c r="D34" s="46">
        <v>199</v>
      </c>
      <c r="E34" s="1075" t="s">
        <v>643</v>
      </c>
      <c r="F34" s="1075" t="s">
        <v>643</v>
      </c>
      <c r="G34" s="1075" t="s">
        <v>643</v>
      </c>
      <c r="H34" s="45">
        <v>2</v>
      </c>
      <c r="I34" s="81">
        <v>579</v>
      </c>
      <c r="J34" s="46">
        <v>25</v>
      </c>
      <c r="K34" s="108">
        <v>11</v>
      </c>
      <c r="L34" s="81">
        <v>12651</v>
      </c>
      <c r="M34" s="46">
        <v>335</v>
      </c>
      <c r="N34" s="524" t="s">
        <v>770</v>
      </c>
      <c r="O34" s="45">
        <v>1</v>
      </c>
      <c r="P34" s="81">
        <v>5076</v>
      </c>
      <c r="Q34" s="46">
        <v>29</v>
      </c>
      <c r="R34" s="352" t="s">
        <v>643</v>
      </c>
      <c r="S34" s="176" t="s">
        <v>643</v>
      </c>
      <c r="T34" s="1079" t="s">
        <v>643</v>
      </c>
      <c r="U34" s="278" t="s">
        <v>643</v>
      </c>
      <c r="V34" s="1080" t="s">
        <v>643</v>
      </c>
      <c r="W34" s="1080" t="s">
        <v>643</v>
      </c>
    </row>
    <row r="35" spans="1:23" ht="13.5" customHeight="1">
      <c r="A35" s="524" t="s">
        <v>771</v>
      </c>
      <c r="B35" s="45">
        <v>18</v>
      </c>
      <c r="C35" s="81">
        <v>2280</v>
      </c>
      <c r="D35" s="46">
        <v>103</v>
      </c>
      <c r="E35" s="209">
        <v>1</v>
      </c>
      <c r="F35" s="174">
        <v>88</v>
      </c>
      <c r="G35" s="164">
        <v>1</v>
      </c>
      <c r="H35" s="277" t="s">
        <v>643</v>
      </c>
      <c r="I35" s="1075" t="s">
        <v>643</v>
      </c>
      <c r="J35" s="294" t="s">
        <v>643</v>
      </c>
      <c r="K35" s="108">
        <v>11</v>
      </c>
      <c r="L35" s="81">
        <v>14336</v>
      </c>
      <c r="M35" s="46">
        <v>385</v>
      </c>
      <c r="N35" s="524" t="s">
        <v>771</v>
      </c>
      <c r="O35" s="45">
        <v>2</v>
      </c>
      <c r="P35" s="81">
        <v>7168</v>
      </c>
      <c r="Q35" s="46">
        <v>254</v>
      </c>
      <c r="R35" s="45">
        <v>18</v>
      </c>
      <c r="S35" s="81">
        <v>9550</v>
      </c>
      <c r="T35" s="46">
        <v>734</v>
      </c>
      <c r="U35" s="353">
        <v>2</v>
      </c>
      <c r="V35" s="176">
        <v>141</v>
      </c>
      <c r="W35" s="176">
        <v>16</v>
      </c>
    </row>
    <row r="36" spans="1:23" ht="13.5" customHeight="1">
      <c r="A36" s="524" t="s">
        <v>1629</v>
      </c>
      <c r="B36" s="45">
        <v>24</v>
      </c>
      <c r="C36" s="81">
        <v>1503</v>
      </c>
      <c r="D36" s="46">
        <v>91</v>
      </c>
      <c r="E36" s="45">
        <v>2</v>
      </c>
      <c r="F36" s="81">
        <v>233</v>
      </c>
      <c r="G36" s="46">
        <v>10</v>
      </c>
      <c r="H36" s="45">
        <v>1</v>
      </c>
      <c r="I36" s="81">
        <v>267</v>
      </c>
      <c r="J36" s="46">
        <v>13</v>
      </c>
      <c r="K36" s="108">
        <v>7</v>
      </c>
      <c r="L36" s="81">
        <v>5233</v>
      </c>
      <c r="M36" s="46">
        <v>151</v>
      </c>
      <c r="N36" s="524" t="s">
        <v>1629</v>
      </c>
      <c r="O36" s="277" t="s">
        <v>643</v>
      </c>
      <c r="P36" s="1080" t="s">
        <v>643</v>
      </c>
      <c r="Q36" s="294" t="s">
        <v>643</v>
      </c>
      <c r="R36" s="45">
        <v>1</v>
      </c>
      <c r="S36" s="81">
        <v>68</v>
      </c>
      <c r="T36" s="46">
        <v>5</v>
      </c>
      <c r="U36" s="1221" t="s">
        <v>643</v>
      </c>
      <c r="V36" s="1222" t="s">
        <v>643</v>
      </c>
      <c r="W36" s="1222" t="s">
        <v>643</v>
      </c>
    </row>
    <row r="37" spans="1:23" ht="13.5" customHeight="1">
      <c r="A37" s="524" t="s">
        <v>772</v>
      </c>
      <c r="B37" s="45">
        <v>120</v>
      </c>
      <c r="C37" s="81">
        <v>9251</v>
      </c>
      <c r="D37" s="46">
        <v>482</v>
      </c>
      <c r="E37" s="45">
        <v>11</v>
      </c>
      <c r="F37" s="81">
        <v>866</v>
      </c>
      <c r="G37" s="46">
        <v>30</v>
      </c>
      <c r="H37" s="45">
        <v>3</v>
      </c>
      <c r="I37" s="81">
        <v>1819</v>
      </c>
      <c r="J37" s="46">
        <v>48</v>
      </c>
      <c r="K37" s="108">
        <v>18</v>
      </c>
      <c r="L37" s="81">
        <v>23167</v>
      </c>
      <c r="M37" s="46">
        <v>489</v>
      </c>
      <c r="N37" s="524" t="s">
        <v>772</v>
      </c>
      <c r="O37" s="45">
        <v>1</v>
      </c>
      <c r="P37" s="81">
        <v>3233</v>
      </c>
      <c r="Q37" s="46">
        <v>28</v>
      </c>
      <c r="R37" s="45">
        <v>2</v>
      </c>
      <c r="S37" s="81">
        <v>1880</v>
      </c>
      <c r="T37" s="46">
        <v>213</v>
      </c>
      <c r="U37" s="353">
        <v>453</v>
      </c>
      <c r="V37" s="176">
        <v>10874</v>
      </c>
      <c r="W37" s="365">
        <v>418</v>
      </c>
    </row>
    <row r="38" spans="1:23" ht="13.5" customHeight="1">
      <c r="A38" s="305" t="s">
        <v>210</v>
      </c>
      <c r="B38" s="477">
        <f t="shared" ref="B38:W38" si="4">SUM(B32,B22,B12,B7)</f>
        <v>2625</v>
      </c>
      <c r="C38" s="305">
        <f t="shared" si="4"/>
        <v>231965</v>
      </c>
      <c r="D38" s="306">
        <f t="shared" si="4"/>
        <v>11229</v>
      </c>
      <c r="E38" s="477">
        <f t="shared" si="4"/>
        <v>182</v>
      </c>
      <c r="F38" s="305">
        <f t="shared" si="4"/>
        <v>25544</v>
      </c>
      <c r="G38" s="306">
        <f t="shared" si="4"/>
        <v>678</v>
      </c>
      <c r="H38" s="477">
        <f t="shared" si="4"/>
        <v>105</v>
      </c>
      <c r="I38" s="305">
        <f t="shared" si="4"/>
        <v>60095</v>
      </c>
      <c r="J38" s="306">
        <f t="shared" si="4"/>
        <v>1641</v>
      </c>
      <c r="K38" s="490">
        <f t="shared" si="4"/>
        <v>405</v>
      </c>
      <c r="L38" s="305">
        <f t="shared" si="4"/>
        <v>549985</v>
      </c>
      <c r="M38" s="306">
        <f t="shared" si="4"/>
        <v>11698</v>
      </c>
      <c r="N38" s="305" t="s">
        <v>210</v>
      </c>
      <c r="O38" s="477">
        <f t="shared" si="4"/>
        <v>19</v>
      </c>
      <c r="P38" s="305">
        <f t="shared" si="4"/>
        <v>74771</v>
      </c>
      <c r="Q38" s="477">
        <f t="shared" si="4"/>
        <v>795</v>
      </c>
      <c r="R38" s="305">
        <f t="shared" si="4"/>
        <v>62</v>
      </c>
      <c r="S38" s="305">
        <f t="shared" si="4"/>
        <v>16548</v>
      </c>
      <c r="T38" s="477">
        <f t="shared" si="4"/>
        <v>1447</v>
      </c>
      <c r="U38" s="305">
        <f t="shared" si="4"/>
        <v>7317</v>
      </c>
      <c r="V38" s="305">
        <f t="shared" si="4"/>
        <v>237348</v>
      </c>
      <c r="W38" s="305">
        <f t="shared" si="4"/>
        <v>8115</v>
      </c>
    </row>
    <row r="39" spans="1:23">
      <c r="A39" s="366"/>
      <c r="B39" s="367"/>
      <c r="C39" s="367"/>
      <c r="D39" s="367"/>
      <c r="E39" s="367"/>
      <c r="F39" s="367"/>
      <c r="G39" s="367"/>
      <c r="H39" s="367"/>
      <c r="I39" s="367"/>
      <c r="J39" s="367"/>
      <c r="K39" s="367"/>
      <c r="L39" s="214"/>
      <c r="M39" s="984" t="s">
        <v>1458</v>
      </c>
      <c r="N39" s="367"/>
      <c r="O39" s="367"/>
      <c r="P39" s="367"/>
      <c r="Q39" s="367"/>
      <c r="R39" s="367"/>
      <c r="S39" s="214"/>
      <c r="T39" s="367"/>
      <c r="U39" s="367"/>
      <c r="V39" s="367"/>
      <c r="W39" s="928" t="s">
        <v>689</v>
      </c>
    </row>
    <row r="40" spans="1:23">
      <c r="B40" s="34"/>
      <c r="C40" s="34"/>
      <c r="D40" s="34"/>
      <c r="E40" s="34"/>
      <c r="F40" s="34"/>
      <c r="G40" s="34"/>
      <c r="H40" s="34"/>
      <c r="I40" s="34"/>
      <c r="J40" s="34"/>
      <c r="K40" s="34"/>
      <c r="L40" s="34"/>
      <c r="M40" s="34"/>
      <c r="N40" s="34"/>
      <c r="O40" s="34"/>
      <c r="P40" s="34"/>
      <c r="Q40" s="34"/>
      <c r="R40" s="34"/>
      <c r="S40" s="34"/>
      <c r="T40" s="34"/>
      <c r="U40" s="34"/>
      <c r="V40" s="34"/>
      <c r="W40" s="34"/>
    </row>
    <row r="41" spans="1:23">
      <c r="A41" s="34"/>
      <c r="B41" s="34"/>
      <c r="C41" s="34"/>
      <c r="D41" s="34"/>
      <c r="E41" s="34"/>
      <c r="F41" s="34"/>
      <c r="G41" s="34"/>
      <c r="H41" s="34"/>
      <c r="I41" s="34"/>
      <c r="J41" s="34"/>
      <c r="K41" s="34"/>
      <c r="L41" s="34"/>
      <c r="M41" s="34"/>
      <c r="N41" s="34"/>
      <c r="O41" s="34"/>
      <c r="P41" s="34"/>
      <c r="Q41" s="34"/>
      <c r="R41" s="34"/>
      <c r="S41" s="34"/>
      <c r="T41" s="34"/>
      <c r="U41" s="34"/>
      <c r="V41" s="34"/>
      <c r="W41" s="34"/>
    </row>
    <row r="42" spans="1:23">
      <c r="A42" s="34"/>
      <c r="B42" s="34"/>
      <c r="C42" s="34"/>
      <c r="D42" s="34"/>
      <c r="E42" s="34"/>
      <c r="F42" s="34"/>
      <c r="G42" s="34"/>
      <c r="H42" s="34"/>
      <c r="I42" s="34"/>
      <c r="J42" s="34"/>
      <c r="K42" s="34"/>
      <c r="L42" s="34"/>
      <c r="M42" s="34"/>
      <c r="N42" s="34"/>
      <c r="O42" s="34"/>
      <c r="P42" s="34"/>
      <c r="Q42" s="34"/>
      <c r="R42" s="34"/>
      <c r="S42" s="34"/>
      <c r="T42" s="34"/>
      <c r="U42" s="34"/>
      <c r="V42" s="34"/>
      <c r="W42" s="34"/>
    </row>
    <row r="43" spans="1:23">
      <c r="A43" s="34"/>
      <c r="B43" s="34"/>
      <c r="C43" s="34"/>
      <c r="D43" s="34"/>
      <c r="E43" s="34"/>
      <c r="F43" s="34"/>
      <c r="G43" s="34"/>
      <c r="H43" s="34"/>
      <c r="I43" s="34"/>
      <c r="J43" s="34"/>
      <c r="K43" s="34"/>
      <c r="L43" s="34"/>
      <c r="M43" s="34"/>
      <c r="N43" s="34"/>
      <c r="O43" s="34"/>
      <c r="P43" s="34"/>
      <c r="Q43" s="34"/>
      <c r="R43" s="34"/>
      <c r="S43" s="34"/>
      <c r="T43" s="34"/>
      <c r="U43" s="34"/>
      <c r="V43" s="34"/>
      <c r="W43" s="34"/>
    </row>
    <row r="44" spans="1:23">
      <c r="A44" s="34"/>
      <c r="B44" s="34"/>
      <c r="C44" s="34"/>
      <c r="D44" s="34"/>
      <c r="E44" s="34"/>
      <c r="F44" s="34"/>
      <c r="G44" s="34"/>
      <c r="H44" s="34"/>
      <c r="I44" s="34"/>
      <c r="J44" s="34"/>
      <c r="K44" s="34"/>
      <c r="L44" s="34"/>
      <c r="M44" s="34"/>
      <c r="N44" s="34"/>
      <c r="O44" s="34"/>
      <c r="P44" s="34"/>
      <c r="Q44" s="34"/>
      <c r="R44" s="34"/>
      <c r="S44" s="34"/>
      <c r="T44" s="34"/>
      <c r="U44" s="34"/>
      <c r="V44" s="34"/>
      <c r="W44" s="34"/>
    </row>
  </sheetData>
  <mergeCells count="12">
    <mergeCell ref="A1:M1"/>
    <mergeCell ref="K4:M4"/>
    <mergeCell ref="A4:A5"/>
    <mergeCell ref="H4:J4"/>
    <mergeCell ref="B4:D4"/>
    <mergeCell ref="E4:G4"/>
    <mergeCell ref="A2:M2"/>
    <mergeCell ref="R4:T4"/>
    <mergeCell ref="N4:N5"/>
    <mergeCell ref="N2:W2"/>
    <mergeCell ref="U4:W4"/>
    <mergeCell ref="O4:Q4"/>
  </mergeCells>
  <phoneticPr fontId="0" type="noConversion"/>
  <printOptions horizontalCentered="1"/>
  <pageMargins left="0.19" right="0.1" top="0.44" bottom="0.34" header="0.17" footer="0.34"/>
  <pageSetup paperSize="9" orientation="landscape" blackAndWhite="1" r:id="rId1"/>
  <headerFooter alignWithMargins="0"/>
</worksheet>
</file>

<file path=xl/worksheets/sheet39.xml><?xml version="1.0" encoding="utf-8"?>
<worksheet xmlns="http://schemas.openxmlformats.org/spreadsheetml/2006/main" xmlns:r="http://schemas.openxmlformats.org/officeDocument/2006/relationships">
  <dimension ref="A1:L68"/>
  <sheetViews>
    <sheetView workbookViewId="0">
      <selection activeCell="O7" sqref="O7"/>
    </sheetView>
  </sheetViews>
  <sheetFormatPr defaultRowHeight="12.75"/>
  <cols>
    <col min="1" max="1" width="10.7109375" style="405" customWidth="1"/>
    <col min="2" max="2" width="22.85546875" style="405" customWidth="1"/>
    <col min="3" max="11" width="11.7109375" style="405" customWidth="1"/>
    <col min="12" max="12" width="4.28515625" style="405" customWidth="1"/>
    <col min="13" max="16384" width="9.140625" style="405"/>
  </cols>
  <sheetData>
    <row r="1" spans="1:12" ht="12.75" customHeight="1">
      <c r="A1" s="432"/>
      <c r="B1" s="1435" t="s">
        <v>450</v>
      </c>
      <c r="C1" s="1435"/>
      <c r="D1" s="1435"/>
      <c r="E1" s="1435"/>
      <c r="F1" s="1435"/>
      <c r="G1" s="1435"/>
      <c r="H1" s="1435"/>
      <c r="I1" s="1435"/>
      <c r="J1" s="1435"/>
      <c r="K1" s="1435"/>
    </row>
    <row r="2" spans="1:12" ht="16.5" customHeight="1">
      <c r="A2" s="433"/>
      <c r="B2" s="1254" t="str">
        <f>CONCATENATE("Literacy Rate by sex in rural and urban areas in the district of ",District!A1,", 2011")</f>
        <v>Literacy Rate by sex in rural and urban areas in the district of Nadia, 2011</v>
      </c>
      <c r="C2" s="1254"/>
      <c r="D2" s="1254"/>
      <c r="E2" s="1254"/>
      <c r="F2" s="1254"/>
      <c r="G2" s="1254"/>
      <c r="H2" s="1254"/>
      <c r="I2" s="1254"/>
      <c r="J2" s="1254"/>
      <c r="K2" s="1254"/>
      <c r="L2" s="19"/>
    </row>
    <row r="3" spans="1:12" customFormat="1" ht="13.5" customHeight="1">
      <c r="J3" s="405"/>
      <c r="K3" s="1036" t="s">
        <v>615</v>
      </c>
    </row>
    <row r="4" spans="1:12" ht="15" customHeight="1">
      <c r="A4" s="433"/>
      <c r="B4" s="1262" t="s">
        <v>1389</v>
      </c>
      <c r="C4" s="1253" t="s">
        <v>251</v>
      </c>
      <c r="D4" s="1251"/>
      <c r="E4" s="1251"/>
      <c r="F4" s="1253" t="s">
        <v>250</v>
      </c>
      <c r="G4" s="1251"/>
      <c r="H4" s="1252"/>
      <c r="I4" s="1472" t="s">
        <v>1710</v>
      </c>
      <c r="J4" s="1251"/>
      <c r="K4" s="1252"/>
    </row>
    <row r="5" spans="1:12" ht="18" customHeight="1">
      <c r="A5" s="433"/>
      <c r="B5" s="1263"/>
      <c r="C5" s="127" t="s">
        <v>246</v>
      </c>
      <c r="D5" s="221" t="s">
        <v>249</v>
      </c>
      <c r="E5" s="212" t="s">
        <v>210</v>
      </c>
      <c r="F5" s="127" t="s">
        <v>246</v>
      </c>
      <c r="G5" s="221" t="s">
        <v>249</v>
      </c>
      <c r="H5" s="94" t="s">
        <v>210</v>
      </c>
      <c r="I5" s="127" t="s">
        <v>246</v>
      </c>
      <c r="J5" s="221" t="s">
        <v>249</v>
      </c>
      <c r="K5" s="94" t="s">
        <v>210</v>
      </c>
    </row>
    <row r="6" spans="1:12" ht="15" customHeight="1">
      <c r="A6" s="433"/>
      <c r="B6" s="417" t="s">
        <v>163</v>
      </c>
      <c r="C6" s="472" t="s">
        <v>164</v>
      </c>
      <c r="D6" s="417" t="s">
        <v>165</v>
      </c>
      <c r="E6" s="418" t="s">
        <v>166</v>
      </c>
      <c r="F6" s="472" t="s">
        <v>167</v>
      </c>
      <c r="G6" s="590" t="s">
        <v>168</v>
      </c>
      <c r="H6" s="419" t="s">
        <v>169</v>
      </c>
      <c r="I6" s="591" t="s">
        <v>211</v>
      </c>
      <c r="J6" s="590" t="s">
        <v>212</v>
      </c>
      <c r="K6" s="509" t="s">
        <v>213</v>
      </c>
    </row>
    <row r="7" spans="1:12" ht="15" customHeight="1">
      <c r="A7" s="433"/>
      <c r="B7" s="525" t="s">
        <v>1194</v>
      </c>
      <c r="C7" s="592">
        <v>69.040000000000006</v>
      </c>
      <c r="D7" s="150">
        <v>64.42</v>
      </c>
      <c r="E7" s="593">
        <v>66.8</v>
      </c>
      <c r="F7" s="592">
        <v>84</v>
      </c>
      <c r="G7" s="150">
        <v>80.34</v>
      </c>
      <c r="H7" s="262">
        <v>82.2</v>
      </c>
      <c r="I7" s="592">
        <v>69.47</v>
      </c>
      <c r="J7" s="150">
        <v>64.89</v>
      </c>
      <c r="K7" s="594">
        <v>67.25</v>
      </c>
      <c r="L7" s="426"/>
    </row>
    <row r="8" spans="1:12">
      <c r="A8" s="433"/>
      <c r="B8" s="408" t="s">
        <v>1118</v>
      </c>
      <c r="C8" s="455">
        <v>67.81</v>
      </c>
      <c r="D8" s="585">
        <v>63.27</v>
      </c>
      <c r="E8" s="449">
        <v>65.61</v>
      </c>
      <c r="F8" s="455">
        <v>84</v>
      </c>
      <c r="G8" s="585">
        <v>80.34</v>
      </c>
      <c r="H8" s="456">
        <v>82.2</v>
      </c>
      <c r="I8" s="455">
        <v>69.819999999999993</v>
      </c>
      <c r="J8" s="585">
        <v>65.44</v>
      </c>
      <c r="K8" s="456">
        <v>67.7</v>
      </c>
      <c r="L8" s="426"/>
    </row>
    <row r="9" spans="1:12">
      <c r="A9" s="433"/>
      <c r="B9" s="408" t="s">
        <v>1119</v>
      </c>
      <c r="C9" s="455">
        <v>63.35</v>
      </c>
      <c r="D9" s="585">
        <v>60.65</v>
      </c>
      <c r="E9" s="449">
        <v>62.04</v>
      </c>
      <c r="F9" s="455" t="s">
        <v>643</v>
      </c>
      <c r="G9" s="585" t="s">
        <v>643</v>
      </c>
      <c r="H9" s="456" t="s">
        <v>643</v>
      </c>
      <c r="I9" s="455">
        <v>63.35</v>
      </c>
      <c r="J9" s="585">
        <v>60.65</v>
      </c>
      <c r="K9" s="456">
        <v>62.04</v>
      </c>
      <c r="L9" s="426"/>
    </row>
    <row r="10" spans="1:12">
      <c r="A10" s="433"/>
      <c r="B10" s="408" t="s">
        <v>1121</v>
      </c>
      <c r="C10" s="455">
        <v>73.680000000000007</v>
      </c>
      <c r="D10" s="585">
        <v>67.56</v>
      </c>
      <c r="E10" s="449">
        <v>70.72</v>
      </c>
      <c r="F10" s="455" t="s">
        <v>643</v>
      </c>
      <c r="G10" s="585" t="s">
        <v>643</v>
      </c>
      <c r="H10" s="456" t="s">
        <v>643</v>
      </c>
      <c r="I10" s="455">
        <v>73.680000000000007</v>
      </c>
      <c r="J10" s="585">
        <v>67.56</v>
      </c>
      <c r="K10" s="456">
        <v>70.72</v>
      </c>
      <c r="L10" s="426"/>
    </row>
    <row r="11" spans="1:12">
      <c r="A11" s="433"/>
      <c r="B11" s="408" t="s">
        <v>1120</v>
      </c>
      <c r="C11" s="455">
        <v>70.930000000000007</v>
      </c>
      <c r="D11" s="585">
        <v>65.989999999999995</v>
      </c>
      <c r="E11" s="449">
        <v>68.52</v>
      </c>
      <c r="F11" s="455" t="s">
        <v>643</v>
      </c>
      <c r="G11" s="585" t="s">
        <v>643</v>
      </c>
      <c r="H11" s="456" t="s">
        <v>643</v>
      </c>
      <c r="I11" s="455">
        <v>70.930000000000007</v>
      </c>
      <c r="J11" s="585">
        <v>65.989999999999995</v>
      </c>
      <c r="K11" s="456">
        <v>68.52</v>
      </c>
      <c r="L11" s="426"/>
    </row>
    <row r="12" spans="1:12" ht="15" customHeight="1">
      <c r="A12" s="433"/>
      <c r="B12" s="595" t="s">
        <v>1264</v>
      </c>
      <c r="C12" s="592">
        <v>70.760000000000005</v>
      </c>
      <c r="D12" s="150">
        <v>62.98</v>
      </c>
      <c r="E12" s="593">
        <v>66.989999999999995</v>
      </c>
      <c r="F12" s="592">
        <v>88.2</v>
      </c>
      <c r="G12" s="150">
        <v>81.349999999999994</v>
      </c>
      <c r="H12" s="262">
        <v>84.85</v>
      </c>
      <c r="I12" s="592">
        <v>74.680000000000007</v>
      </c>
      <c r="J12" s="150">
        <v>67.17</v>
      </c>
      <c r="K12" s="262">
        <v>71.03</v>
      </c>
      <c r="L12" s="426"/>
    </row>
    <row r="13" spans="1:12">
      <c r="A13" s="433"/>
      <c r="B13" s="408" t="s">
        <v>1122</v>
      </c>
      <c r="C13" s="455">
        <v>67.959999999999994</v>
      </c>
      <c r="D13" s="585">
        <v>62.08</v>
      </c>
      <c r="E13" s="449">
        <v>65.099999999999994</v>
      </c>
      <c r="F13" s="455">
        <v>80.22</v>
      </c>
      <c r="G13" s="585">
        <v>72.72</v>
      </c>
      <c r="H13" s="456">
        <v>76.56</v>
      </c>
      <c r="I13" s="455">
        <v>69.040000000000006</v>
      </c>
      <c r="J13" s="585">
        <v>63.02</v>
      </c>
      <c r="K13" s="456">
        <v>66.11</v>
      </c>
      <c r="L13" s="426"/>
    </row>
    <row r="14" spans="1:12">
      <c r="A14" s="433"/>
      <c r="B14" s="408" t="s">
        <v>1123</v>
      </c>
      <c r="C14" s="455">
        <v>66.55</v>
      </c>
      <c r="D14" s="585">
        <v>58.62</v>
      </c>
      <c r="E14" s="449">
        <v>62.7</v>
      </c>
      <c r="F14" s="455">
        <v>89.62</v>
      </c>
      <c r="G14" s="585">
        <v>81.96</v>
      </c>
      <c r="H14" s="456">
        <v>85.86</v>
      </c>
      <c r="I14" s="455">
        <v>68.680000000000007</v>
      </c>
      <c r="J14" s="585">
        <v>60.82</v>
      </c>
      <c r="K14" s="456">
        <v>64.86</v>
      </c>
      <c r="L14" s="426"/>
    </row>
    <row r="15" spans="1:12">
      <c r="A15" s="433"/>
      <c r="B15" s="408" t="s">
        <v>1124</v>
      </c>
      <c r="C15" s="455">
        <v>69.72</v>
      </c>
      <c r="D15" s="585">
        <v>65.62</v>
      </c>
      <c r="E15" s="449">
        <v>67.73</v>
      </c>
      <c r="F15" s="455">
        <v>82.48</v>
      </c>
      <c r="G15" s="585">
        <v>76.44</v>
      </c>
      <c r="H15" s="456">
        <v>79.5</v>
      </c>
      <c r="I15" s="455">
        <v>70.3</v>
      </c>
      <c r="J15" s="585">
        <v>66.13</v>
      </c>
      <c r="K15" s="456">
        <v>68.28</v>
      </c>
      <c r="L15" s="426"/>
    </row>
    <row r="16" spans="1:12">
      <c r="A16" s="433"/>
      <c r="B16" s="408" t="s">
        <v>1125</v>
      </c>
      <c r="C16" s="455">
        <v>77.430000000000007</v>
      </c>
      <c r="D16" s="585">
        <v>67.98</v>
      </c>
      <c r="E16" s="449">
        <v>72.86</v>
      </c>
      <c r="F16" s="455" t="s">
        <v>643</v>
      </c>
      <c r="G16" s="585" t="s">
        <v>643</v>
      </c>
      <c r="H16" s="456" t="s">
        <v>643</v>
      </c>
      <c r="I16" s="455">
        <v>77.430000000000007</v>
      </c>
      <c r="J16" s="585">
        <v>67.98</v>
      </c>
      <c r="K16" s="456">
        <v>72.86</v>
      </c>
      <c r="L16" s="426"/>
    </row>
    <row r="17" spans="1:12">
      <c r="A17" s="433"/>
      <c r="B17" s="408" t="s">
        <v>1126</v>
      </c>
      <c r="C17" s="455">
        <v>76.39</v>
      </c>
      <c r="D17" s="585">
        <v>66.03</v>
      </c>
      <c r="E17" s="449">
        <v>71.38</v>
      </c>
      <c r="F17" s="455">
        <v>77.599999999999994</v>
      </c>
      <c r="G17" s="585">
        <v>66.569999999999993</v>
      </c>
      <c r="H17" s="456">
        <v>72.23</v>
      </c>
      <c r="I17" s="455">
        <v>76.5</v>
      </c>
      <c r="J17" s="585">
        <v>66.08</v>
      </c>
      <c r="K17" s="456">
        <v>71.45</v>
      </c>
      <c r="L17" s="426"/>
    </row>
    <row r="18" spans="1:12">
      <c r="A18" s="433"/>
      <c r="B18" s="408" t="s">
        <v>1127</v>
      </c>
      <c r="C18" s="455" t="s">
        <v>643</v>
      </c>
      <c r="D18" s="585" t="s">
        <v>643</v>
      </c>
      <c r="E18" s="449" t="s">
        <v>643</v>
      </c>
      <c r="F18" s="455">
        <v>92.59</v>
      </c>
      <c r="G18" s="585">
        <v>88.11</v>
      </c>
      <c r="H18" s="456">
        <v>90.36</v>
      </c>
      <c r="I18" s="455">
        <v>92.59</v>
      </c>
      <c r="J18" s="585">
        <v>88.11</v>
      </c>
      <c r="K18" s="456">
        <v>90.36</v>
      </c>
      <c r="L18" s="426"/>
    </row>
    <row r="19" spans="1:12">
      <c r="A19" s="433"/>
      <c r="B19" s="408" t="s">
        <v>1128</v>
      </c>
      <c r="C19" s="455">
        <v>72.28</v>
      </c>
      <c r="D19" s="585">
        <v>63.32</v>
      </c>
      <c r="E19" s="449">
        <v>67.930000000000007</v>
      </c>
      <c r="F19" s="455">
        <v>87.3</v>
      </c>
      <c r="G19" s="585">
        <v>77.930000000000007</v>
      </c>
      <c r="H19" s="456">
        <v>82.7</v>
      </c>
      <c r="I19" s="455">
        <v>72.88</v>
      </c>
      <c r="J19" s="585">
        <v>63.92</v>
      </c>
      <c r="K19" s="456">
        <v>68.52</v>
      </c>
      <c r="L19" s="426"/>
    </row>
    <row r="20" spans="1:12">
      <c r="A20" s="433"/>
      <c r="B20" s="408" t="s">
        <v>90</v>
      </c>
      <c r="C20" s="455">
        <v>67.78</v>
      </c>
      <c r="D20" s="585">
        <v>54.1</v>
      </c>
      <c r="E20" s="449">
        <v>61.2</v>
      </c>
      <c r="F20" s="455">
        <v>81.41</v>
      </c>
      <c r="G20" s="585">
        <v>70.040000000000006</v>
      </c>
      <c r="H20" s="456">
        <v>75.849999999999994</v>
      </c>
      <c r="I20" s="455">
        <v>73.8</v>
      </c>
      <c r="J20" s="585">
        <v>61.26</v>
      </c>
      <c r="K20" s="456">
        <v>67.72</v>
      </c>
      <c r="L20" s="426"/>
    </row>
    <row r="21" spans="1:12">
      <c r="A21" s="433"/>
      <c r="B21" s="408" t="s">
        <v>1130</v>
      </c>
      <c r="C21" s="455" t="s">
        <v>643</v>
      </c>
      <c r="D21" s="585" t="s">
        <v>643</v>
      </c>
      <c r="E21" s="449" t="s">
        <v>643</v>
      </c>
      <c r="F21" s="455">
        <v>90.44</v>
      </c>
      <c r="G21" s="585">
        <v>83.94</v>
      </c>
      <c r="H21" s="456">
        <v>87.33</v>
      </c>
      <c r="I21" s="455">
        <v>90.44</v>
      </c>
      <c r="J21" s="585">
        <v>83.94</v>
      </c>
      <c r="K21" s="456">
        <v>87.33</v>
      </c>
      <c r="L21" s="426"/>
    </row>
    <row r="22" spans="1:12" ht="15" customHeight="1">
      <c r="A22" s="433"/>
      <c r="B22" s="525" t="s">
        <v>805</v>
      </c>
      <c r="C22" s="592">
        <v>81.13</v>
      </c>
      <c r="D22" s="150">
        <v>71.260000000000005</v>
      </c>
      <c r="E22" s="593">
        <v>76.36</v>
      </c>
      <c r="F22" s="592">
        <v>87.7</v>
      </c>
      <c r="G22" s="150">
        <v>79.819999999999993</v>
      </c>
      <c r="H22" s="262">
        <v>83.83</v>
      </c>
      <c r="I22" s="592">
        <v>83.86</v>
      </c>
      <c r="J22" s="150">
        <v>74.900000000000006</v>
      </c>
      <c r="K22" s="262">
        <v>79.510000000000005</v>
      </c>
      <c r="L22" s="426"/>
    </row>
    <row r="23" spans="1:12">
      <c r="A23" s="433"/>
      <c r="B23" s="408" t="s">
        <v>1131</v>
      </c>
      <c r="C23" s="455">
        <v>75.02</v>
      </c>
      <c r="D23" s="585">
        <v>63.71</v>
      </c>
      <c r="E23" s="449">
        <v>69.55</v>
      </c>
      <c r="F23" s="455">
        <v>83.8</v>
      </c>
      <c r="G23" s="585">
        <v>74.430000000000007</v>
      </c>
      <c r="H23" s="456">
        <v>79.27</v>
      </c>
      <c r="I23" s="455">
        <v>78.23</v>
      </c>
      <c r="J23" s="585">
        <v>67.63</v>
      </c>
      <c r="K23" s="456">
        <v>73.099999999999994</v>
      </c>
      <c r="L23" s="426"/>
    </row>
    <row r="24" spans="1:12">
      <c r="A24" s="433"/>
      <c r="B24" s="408" t="s">
        <v>1133</v>
      </c>
      <c r="C24" s="455" t="s">
        <v>643</v>
      </c>
      <c r="D24" s="585" t="s">
        <v>643</v>
      </c>
      <c r="E24" s="449" t="s">
        <v>643</v>
      </c>
      <c r="F24" s="455">
        <v>84.94</v>
      </c>
      <c r="G24" s="585">
        <v>76.73</v>
      </c>
      <c r="H24" s="456">
        <v>80.900000000000006</v>
      </c>
      <c r="I24" s="455">
        <v>84.94</v>
      </c>
      <c r="J24" s="585">
        <v>76.73</v>
      </c>
      <c r="K24" s="456">
        <v>80.900000000000006</v>
      </c>
      <c r="L24" s="426"/>
    </row>
    <row r="25" spans="1:12">
      <c r="A25" s="433"/>
      <c r="B25" s="408" t="s">
        <v>1134</v>
      </c>
      <c r="C25" s="455">
        <v>83.67</v>
      </c>
      <c r="D25" s="585">
        <v>73.36</v>
      </c>
      <c r="E25" s="449">
        <v>78.72</v>
      </c>
      <c r="F25" s="455">
        <v>91.4</v>
      </c>
      <c r="G25" s="585">
        <v>82.88</v>
      </c>
      <c r="H25" s="456">
        <v>87.23</v>
      </c>
      <c r="I25" s="455">
        <v>84.92</v>
      </c>
      <c r="J25" s="585">
        <v>74.94</v>
      </c>
      <c r="K25" s="456">
        <v>80.11</v>
      </c>
      <c r="L25" s="426"/>
    </row>
    <row r="26" spans="1:12">
      <c r="A26" s="433"/>
      <c r="B26" s="540" t="s">
        <v>1623</v>
      </c>
      <c r="C26" s="455">
        <v>79.180000000000007</v>
      </c>
      <c r="D26" s="585">
        <v>69.98</v>
      </c>
      <c r="E26" s="449">
        <v>74.760000000000005</v>
      </c>
      <c r="F26" s="455">
        <v>85.26</v>
      </c>
      <c r="G26" s="585">
        <v>75.959999999999994</v>
      </c>
      <c r="H26" s="456">
        <v>80.7</v>
      </c>
      <c r="I26" s="455">
        <v>82.08</v>
      </c>
      <c r="J26" s="585">
        <v>72.89</v>
      </c>
      <c r="K26" s="456">
        <v>77.61</v>
      </c>
      <c r="L26" s="426"/>
    </row>
    <row r="27" spans="1:12">
      <c r="A27" s="433"/>
      <c r="B27" s="540" t="s">
        <v>768</v>
      </c>
      <c r="C27" s="455" t="s">
        <v>643</v>
      </c>
      <c r="D27" s="585" t="s">
        <v>643</v>
      </c>
      <c r="E27" s="449" t="s">
        <v>643</v>
      </c>
      <c r="F27" s="455">
        <v>95.04</v>
      </c>
      <c r="G27" s="585">
        <v>91.33</v>
      </c>
      <c r="H27" s="456">
        <v>93.19</v>
      </c>
      <c r="I27" s="455">
        <v>95.04</v>
      </c>
      <c r="J27" s="585">
        <v>91.33</v>
      </c>
      <c r="K27" s="456">
        <v>93.19</v>
      </c>
    </row>
    <row r="28" spans="1:12">
      <c r="A28" s="433"/>
      <c r="B28" s="596" t="s">
        <v>1625</v>
      </c>
      <c r="C28" s="455" t="s">
        <v>643</v>
      </c>
      <c r="D28" s="585" t="s">
        <v>643</v>
      </c>
      <c r="E28" s="449" t="s">
        <v>643</v>
      </c>
      <c r="F28" s="455">
        <v>88.26</v>
      </c>
      <c r="G28" s="585">
        <v>80.819999999999993</v>
      </c>
      <c r="H28" s="456">
        <v>84.6</v>
      </c>
      <c r="I28" s="455">
        <v>88.26</v>
      </c>
      <c r="J28" s="585">
        <v>80.819999999999993</v>
      </c>
      <c r="K28" s="456">
        <v>84.6</v>
      </c>
    </row>
    <row r="29" spans="1:12">
      <c r="A29" s="433"/>
      <c r="B29" s="596" t="s">
        <v>1626</v>
      </c>
      <c r="C29" s="455" t="s">
        <v>643</v>
      </c>
      <c r="D29" s="585" t="s">
        <v>643</v>
      </c>
      <c r="E29" s="449" t="s">
        <v>643</v>
      </c>
      <c r="F29" s="455">
        <v>95.72</v>
      </c>
      <c r="G29" s="585">
        <v>90.4</v>
      </c>
      <c r="H29" s="456">
        <v>93.1</v>
      </c>
      <c r="I29" s="455">
        <v>95.72</v>
      </c>
      <c r="J29" s="585">
        <v>90.4</v>
      </c>
      <c r="K29" s="456">
        <v>93.1</v>
      </c>
    </row>
    <row r="30" spans="1:12">
      <c r="A30" s="433"/>
      <c r="B30" s="596" t="s">
        <v>714</v>
      </c>
      <c r="C30" s="455">
        <v>82.83</v>
      </c>
      <c r="D30" s="585">
        <v>73.760000000000005</v>
      </c>
      <c r="E30" s="449">
        <v>78.44</v>
      </c>
      <c r="F30" s="455">
        <v>88.51</v>
      </c>
      <c r="G30" s="585">
        <v>80.98</v>
      </c>
      <c r="H30" s="456">
        <v>84.8</v>
      </c>
      <c r="I30" s="455">
        <v>83.66</v>
      </c>
      <c r="J30" s="585">
        <v>74.849999999999994</v>
      </c>
      <c r="K30" s="456">
        <v>79.38</v>
      </c>
    </row>
    <row r="31" spans="1:12">
      <c r="A31" s="433"/>
      <c r="B31" s="596" t="s">
        <v>1238</v>
      </c>
      <c r="C31" s="455" t="s">
        <v>643</v>
      </c>
      <c r="D31" s="585" t="s">
        <v>643</v>
      </c>
      <c r="E31" s="449" t="s">
        <v>643</v>
      </c>
      <c r="F31" s="455">
        <v>91.3</v>
      </c>
      <c r="G31" s="585">
        <v>79.72</v>
      </c>
      <c r="H31" s="456">
        <v>85.61</v>
      </c>
      <c r="I31" s="455">
        <v>91.3</v>
      </c>
      <c r="J31" s="585">
        <v>79.72</v>
      </c>
      <c r="K31" s="456">
        <v>85.61</v>
      </c>
    </row>
    <row r="32" spans="1:12" ht="15" customHeight="1">
      <c r="A32" s="433"/>
      <c r="B32" s="523" t="s">
        <v>1265</v>
      </c>
      <c r="C32" s="592">
        <v>84.87</v>
      </c>
      <c r="D32" s="150">
        <v>73.86</v>
      </c>
      <c r="E32" s="593">
        <v>79.55</v>
      </c>
      <c r="F32" s="592">
        <v>92.16</v>
      </c>
      <c r="G32" s="150">
        <v>84.93</v>
      </c>
      <c r="H32" s="262">
        <v>88.6</v>
      </c>
      <c r="I32" s="592">
        <v>87.89</v>
      </c>
      <c r="J32" s="150">
        <v>78.56</v>
      </c>
      <c r="K32" s="262">
        <v>83.35</v>
      </c>
    </row>
    <row r="33" spans="1:11">
      <c r="A33" s="433"/>
      <c r="B33" s="524" t="s">
        <v>769</v>
      </c>
      <c r="C33" s="455">
        <v>83.81</v>
      </c>
      <c r="D33" s="585">
        <v>72.400000000000006</v>
      </c>
      <c r="E33" s="449">
        <v>78.319999999999993</v>
      </c>
      <c r="F33" s="455">
        <v>89.72</v>
      </c>
      <c r="G33" s="585">
        <v>81.81</v>
      </c>
      <c r="H33" s="456">
        <v>85.85</v>
      </c>
      <c r="I33" s="455">
        <v>85.14</v>
      </c>
      <c r="J33" s="585">
        <v>74.569999999999993</v>
      </c>
      <c r="K33" s="456">
        <v>80.03</v>
      </c>
    </row>
    <row r="34" spans="1:11">
      <c r="A34" s="433"/>
      <c r="B34" s="524" t="s">
        <v>770</v>
      </c>
      <c r="C34" s="455" t="s">
        <v>643</v>
      </c>
      <c r="D34" s="585" t="s">
        <v>643</v>
      </c>
      <c r="E34" s="449" t="s">
        <v>643</v>
      </c>
      <c r="F34" s="455">
        <v>93.61</v>
      </c>
      <c r="G34" s="585">
        <v>87.93</v>
      </c>
      <c r="H34" s="456">
        <v>90.8</v>
      </c>
      <c r="I34" s="455">
        <v>93.61</v>
      </c>
      <c r="J34" s="585">
        <v>87.93</v>
      </c>
      <c r="K34" s="456">
        <v>90.8</v>
      </c>
    </row>
    <row r="35" spans="1:11">
      <c r="A35" s="433"/>
      <c r="B35" s="524" t="s">
        <v>771</v>
      </c>
      <c r="C35" s="455" t="s">
        <v>643</v>
      </c>
      <c r="D35" s="585" t="s">
        <v>643</v>
      </c>
      <c r="E35" s="449" t="s">
        <v>643</v>
      </c>
      <c r="F35" s="455">
        <v>91.73</v>
      </c>
      <c r="G35" s="585">
        <v>84.01</v>
      </c>
      <c r="H35" s="456">
        <v>87.9</v>
      </c>
      <c r="I35" s="455">
        <v>91.73</v>
      </c>
      <c r="J35" s="585">
        <v>84.01</v>
      </c>
      <c r="K35" s="456">
        <v>87.9</v>
      </c>
    </row>
    <row r="36" spans="1:11">
      <c r="A36" s="433"/>
      <c r="B36" s="524" t="s">
        <v>1629</v>
      </c>
      <c r="C36" s="455" t="s">
        <v>643</v>
      </c>
      <c r="D36" s="585" t="s">
        <v>643</v>
      </c>
      <c r="E36" s="449" t="s">
        <v>643</v>
      </c>
      <c r="F36" s="455">
        <v>94.19</v>
      </c>
      <c r="G36" s="585">
        <v>86.71</v>
      </c>
      <c r="H36" s="456">
        <v>90.49</v>
      </c>
      <c r="I36" s="455">
        <v>94.19</v>
      </c>
      <c r="J36" s="585">
        <v>86.71</v>
      </c>
      <c r="K36" s="456">
        <v>90.49</v>
      </c>
    </row>
    <row r="37" spans="1:11">
      <c r="A37" s="433"/>
      <c r="B37" s="409" t="s">
        <v>772</v>
      </c>
      <c r="C37" s="457">
        <v>86.48</v>
      </c>
      <c r="D37" s="587">
        <v>76.06</v>
      </c>
      <c r="E37" s="597">
        <v>81.42</v>
      </c>
      <c r="F37" s="457">
        <v>92.6</v>
      </c>
      <c r="G37" s="587">
        <v>84.14</v>
      </c>
      <c r="H37" s="458">
        <v>88.47</v>
      </c>
      <c r="I37" s="457">
        <v>87.11</v>
      </c>
      <c r="J37" s="587">
        <v>76.900000000000006</v>
      </c>
      <c r="K37" s="458">
        <v>82.15</v>
      </c>
    </row>
    <row r="38" spans="1:11" s="6" customFormat="1" ht="15" customHeight="1">
      <c r="A38" s="598"/>
      <c r="B38" s="599" t="s">
        <v>1184</v>
      </c>
      <c r="C38" s="600">
        <v>74.760000000000005</v>
      </c>
      <c r="D38" s="339">
        <v>66.69</v>
      </c>
      <c r="E38" s="601">
        <v>70.849999999999994</v>
      </c>
      <c r="F38" s="600">
        <v>88.95</v>
      </c>
      <c r="G38" s="339">
        <v>81.63</v>
      </c>
      <c r="H38" s="602">
        <v>85.35</v>
      </c>
      <c r="I38" s="600">
        <v>78.75</v>
      </c>
      <c r="J38" s="339">
        <v>70.98</v>
      </c>
      <c r="K38" s="602">
        <v>74.97</v>
      </c>
    </row>
    <row r="39" spans="1:11">
      <c r="A39" s="433"/>
      <c r="B39" s="561" t="s">
        <v>1455</v>
      </c>
      <c r="C39" s="6"/>
      <c r="D39" s="6"/>
      <c r="E39" s="6"/>
      <c r="F39" s="6"/>
      <c r="G39" s="6"/>
      <c r="H39" s="6"/>
      <c r="I39" s="6"/>
      <c r="K39" s="280" t="s">
        <v>194</v>
      </c>
    </row>
    <row r="40" spans="1:11">
      <c r="A40" s="433"/>
      <c r="C40" s="6"/>
      <c r="D40" s="6" t="s">
        <v>1621</v>
      </c>
      <c r="E40" s="6"/>
      <c r="H40" s="603"/>
      <c r="I40" s="603"/>
      <c r="J40" s="603"/>
    </row>
    <row r="58" spans="2:11" s="450" customFormat="1">
      <c r="B58" s="405"/>
      <c r="C58" s="405"/>
      <c r="D58" s="405"/>
      <c r="E58" s="405"/>
      <c r="F58" s="405"/>
      <c r="G58" s="405"/>
      <c r="H58" s="405"/>
      <c r="I58" s="405"/>
      <c r="J58" s="405"/>
      <c r="K58" s="405"/>
    </row>
    <row r="61" spans="2:11">
      <c r="B61" s="604"/>
      <c r="C61" s="604"/>
      <c r="D61" s="604"/>
      <c r="E61" s="604"/>
      <c r="F61" s="604"/>
      <c r="G61" s="604"/>
      <c r="H61" s="604"/>
      <c r="I61" s="604"/>
      <c r="J61" s="604"/>
      <c r="K61" s="604"/>
    </row>
    <row r="62" spans="2:11">
      <c r="B62" s="604"/>
      <c r="C62" s="604"/>
      <c r="D62" s="604"/>
      <c r="E62" s="604"/>
      <c r="F62" s="604"/>
      <c r="G62" s="604"/>
      <c r="H62" s="604"/>
      <c r="I62" s="604"/>
      <c r="J62" s="604"/>
      <c r="K62" s="604"/>
    </row>
    <row r="63" spans="2:11">
      <c r="B63" s="604"/>
      <c r="C63" s="604"/>
      <c r="D63" s="604"/>
      <c r="E63" s="604"/>
      <c r="F63" s="604"/>
      <c r="G63" s="604"/>
      <c r="H63" s="604"/>
      <c r="I63" s="604"/>
      <c r="J63" s="604"/>
      <c r="K63" s="604"/>
    </row>
    <row r="64" spans="2:11">
      <c r="B64" s="604"/>
      <c r="C64" s="604"/>
      <c r="D64" s="604"/>
      <c r="E64" s="604"/>
      <c r="F64" s="604"/>
      <c r="G64" s="604"/>
      <c r="H64" s="604"/>
      <c r="I64" s="604"/>
      <c r="J64" s="604"/>
      <c r="K64" s="604"/>
    </row>
    <row r="65" spans="2:11">
      <c r="B65" s="604"/>
      <c r="C65" s="604"/>
      <c r="D65" s="604"/>
      <c r="E65" s="604"/>
      <c r="F65" s="604"/>
      <c r="G65" s="604"/>
      <c r="H65" s="604"/>
      <c r="I65" s="604"/>
      <c r="J65" s="604"/>
      <c r="K65" s="604"/>
    </row>
    <row r="66" spans="2:11">
      <c r="B66" s="604"/>
      <c r="C66" s="604"/>
      <c r="D66" s="604"/>
      <c r="E66" s="604"/>
      <c r="F66" s="604"/>
      <c r="G66" s="604"/>
      <c r="H66" s="604"/>
      <c r="I66" s="604"/>
      <c r="J66" s="604"/>
      <c r="K66" s="604"/>
    </row>
    <row r="67" spans="2:11">
      <c r="B67" s="604"/>
      <c r="C67" s="604"/>
      <c r="D67" s="604"/>
      <c r="E67" s="604"/>
      <c r="F67" s="604"/>
      <c r="G67" s="604"/>
      <c r="H67" s="604"/>
      <c r="I67" s="604"/>
      <c r="J67" s="604"/>
      <c r="K67" s="604"/>
    </row>
    <row r="68" spans="2:11">
      <c r="B68" s="604"/>
      <c r="C68" s="604"/>
      <c r="D68" s="604"/>
      <c r="E68" s="604"/>
      <c r="F68" s="604"/>
      <c r="G68" s="604"/>
      <c r="H68" s="604"/>
      <c r="I68" s="604"/>
      <c r="J68" s="604"/>
      <c r="K68" s="604"/>
    </row>
  </sheetData>
  <mergeCells count="6">
    <mergeCell ref="B1:K1"/>
    <mergeCell ref="B2:K2"/>
    <mergeCell ref="B4:B5"/>
    <mergeCell ref="C4:E4"/>
    <mergeCell ref="F4:H4"/>
    <mergeCell ref="I4:K4"/>
  </mergeCells>
  <phoneticPr fontId="0" type="noConversion"/>
  <pageMargins left="0.1" right="0.1" top="0.57999999999999996" bottom="0.18" header="0.22" footer="0.21"/>
  <pageSetup paperSize="9" orientation="landscape" blackAndWhite="1" r:id="rId1"/>
  <headerFooter alignWithMargins="0"/>
</worksheet>
</file>

<file path=xl/worksheets/sheet4.xml><?xml version="1.0" encoding="utf-8"?>
<worksheet xmlns="http://schemas.openxmlformats.org/spreadsheetml/2006/main" xmlns:r="http://schemas.openxmlformats.org/officeDocument/2006/relationships">
  <dimension ref="A1:D134"/>
  <sheetViews>
    <sheetView topLeftCell="A94" workbookViewId="0">
      <selection activeCell="C113" sqref="C113"/>
    </sheetView>
  </sheetViews>
  <sheetFormatPr defaultRowHeight="12.75"/>
  <cols>
    <col min="1" max="1" width="4.140625" customWidth="1"/>
    <col min="2" max="2" width="6.7109375" style="4" customWidth="1"/>
    <col min="3" max="3" width="75" customWidth="1"/>
    <col min="4" max="4" width="7.28515625" customWidth="1"/>
  </cols>
  <sheetData>
    <row r="1" spans="1:4" ht="17.25" customHeight="1">
      <c r="A1" s="1239" t="s">
        <v>1188</v>
      </c>
      <c r="B1" s="1239"/>
      <c r="C1" s="1239"/>
      <c r="D1" s="1239"/>
    </row>
    <row r="2" spans="1:4" ht="24.75" customHeight="1">
      <c r="A2" s="261" t="s">
        <v>858</v>
      </c>
      <c r="B2" s="259" t="s">
        <v>1132</v>
      </c>
      <c r="C2" s="300" t="s">
        <v>519</v>
      </c>
      <c r="D2" s="227" t="s">
        <v>1463</v>
      </c>
    </row>
    <row r="3" spans="1:4" ht="12.75" customHeight="1">
      <c r="A3" s="41"/>
      <c r="B3" s="54"/>
      <c r="C3" s="61" t="s">
        <v>1678</v>
      </c>
      <c r="D3" s="41"/>
    </row>
    <row r="4" spans="1:4" ht="12.75" customHeight="1">
      <c r="A4" s="68">
        <v>1</v>
      </c>
      <c r="B4" s="59" t="s">
        <v>1344</v>
      </c>
      <c r="C4" s="66" t="s">
        <v>912</v>
      </c>
      <c r="D4" s="73">
        <v>1</v>
      </c>
    </row>
    <row r="5" spans="1:4" ht="12.75" customHeight="1">
      <c r="A5" s="68">
        <v>2</v>
      </c>
      <c r="B5" s="59" t="s">
        <v>1343</v>
      </c>
      <c r="C5" s="66" t="s">
        <v>913</v>
      </c>
      <c r="D5" s="73">
        <v>1</v>
      </c>
    </row>
    <row r="6" spans="1:4" ht="12.75" customHeight="1">
      <c r="A6" s="68">
        <v>3</v>
      </c>
      <c r="B6" s="58" t="s">
        <v>1345</v>
      </c>
      <c r="C6" s="66" t="s">
        <v>367</v>
      </c>
      <c r="D6" s="73">
        <v>2</v>
      </c>
    </row>
    <row r="7" spans="1:4" ht="12.75" customHeight="1">
      <c r="A7" s="68">
        <v>4</v>
      </c>
      <c r="B7" s="58" t="s">
        <v>1346</v>
      </c>
      <c r="C7" s="66" t="s">
        <v>366</v>
      </c>
      <c r="D7" s="73">
        <v>3</v>
      </c>
    </row>
    <row r="8" spans="1:4" ht="12.75" customHeight="1">
      <c r="A8" s="68"/>
      <c r="B8" s="58"/>
      <c r="C8" s="61" t="s">
        <v>1679</v>
      </c>
      <c r="D8" s="73"/>
    </row>
    <row r="9" spans="1:4" ht="12.75" customHeight="1">
      <c r="A9" s="68">
        <v>5</v>
      </c>
      <c r="B9" s="59" t="s">
        <v>1347</v>
      </c>
      <c r="C9" s="66" t="s">
        <v>1464</v>
      </c>
      <c r="D9" s="73">
        <v>4</v>
      </c>
    </row>
    <row r="10" spans="1:4" ht="12.75" customHeight="1">
      <c r="A10" s="68">
        <v>6</v>
      </c>
      <c r="B10" s="58" t="s">
        <v>1277</v>
      </c>
      <c r="C10" s="66" t="s">
        <v>1359</v>
      </c>
      <c r="D10" s="73">
        <v>5</v>
      </c>
    </row>
    <row r="11" spans="1:4" ht="12.75" customHeight="1">
      <c r="A11" s="68">
        <v>7</v>
      </c>
      <c r="B11" s="58" t="s">
        <v>392</v>
      </c>
      <c r="C11" s="66" t="s">
        <v>1026</v>
      </c>
      <c r="D11" s="73">
        <v>5</v>
      </c>
    </row>
    <row r="12" spans="1:4" ht="12.75" customHeight="1">
      <c r="A12" s="68">
        <v>8</v>
      </c>
      <c r="B12" s="59" t="s">
        <v>1348</v>
      </c>
      <c r="C12" s="66" t="s">
        <v>375</v>
      </c>
      <c r="D12" s="73">
        <v>6</v>
      </c>
    </row>
    <row r="13" spans="1:4" ht="12.75" customHeight="1">
      <c r="A13" s="68">
        <v>9</v>
      </c>
      <c r="B13" s="59" t="s">
        <v>1349</v>
      </c>
      <c r="C13" s="66" t="s">
        <v>1510</v>
      </c>
      <c r="D13" s="73">
        <v>7</v>
      </c>
    </row>
    <row r="14" spans="1:4" ht="12.75" customHeight="1">
      <c r="A14" s="68">
        <v>10</v>
      </c>
      <c r="B14" s="58" t="s">
        <v>590</v>
      </c>
      <c r="C14" s="66" t="s">
        <v>133</v>
      </c>
      <c r="D14" s="73">
        <v>8</v>
      </c>
    </row>
    <row r="15" spans="1:4" ht="12.75" customHeight="1">
      <c r="A15" s="68">
        <v>11</v>
      </c>
      <c r="B15" s="58" t="s">
        <v>591</v>
      </c>
      <c r="C15" s="66" t="s">
        <v>1010</v>
      </c>
      <c r="D15" s="73">
        <v>9</v>
      </c>
    </row>
    <row r="16" spans="1:4" ht="12.75" customHeight="1">
      <c r="A16" s="68">
        <v>12</v>
      </c>
      <c r="B16" s="58" t="s">
        <v>1278</v>
      </c>
      <c r="C16" s="66" t="s">
        <v>134</v>
      </c>
      <c r="D16" s="73">
        <v>10</v>
      </c>
    </row>
    <row r="17" spans="1:4" ht="12.75" customHeight="1">
      <c r="A17" s="68">
        <v>13</v>
      </c>
      <c r="B17" s="58" t="s">
        <v>1279</v>
      </c>
      <c r="C17" s="66" t="s">
        <v>1014</v>
      </c>
      <c r="D17" s="73">
        <v>11</v>
      </c>
    </row>
    <row r="18" spans="1:4" ht="12.75" customHeight="1">
      <c r="A18" s="68">
        <v>14</v>
      </c>
      <c r="B18" s="59" t="s">
        <v>1350</v>
      </c>
      <c r="C18" s="66" t="s">
        <v>368</v>
      </c>
      <c r="D18" s="73">
        <v>12</v>
      </c>
    </row>
    <row r="19" spans="1:4" ht="12.75" customHeight="1">
      <c r="A19" s="68">
        <v>15</v>
      </c>
      <c r="B19" s="59" t="s">
        <v>1351</v>
      </c>
      <c r="C19" s="66" t="s">
        <v>369</v>
      </c>
      <c r="D19" s="73">
        <v>15</v>
      </c>
    </row>
    <row r="20" spans="1:4" ht="12.75" customHeight="1">
      <c r="A20" s="68">
        <v>16</v>
      </c>
      <c r="B20" s="59" t="s">
        <v>1352</v>
      </c>
      <c r="C20" s="66" t="s">
        <v>370</v>
      </c>
      <c r="D20" s="73">
        <v>17</v>
      </c>
    </row>
    <row r="21" spans="1:4" ht="12.75" customHeight="1">
      <c r="A21" s="68">
        <v>17</v>
      </c>
      <c r="B21" s="59" t="s">
        <v>1353</v>
      </c>
      <c r="C21" s="66" t="s">
        <v>371</v>
      </c>
      <c r="D21" s="73">
        <v>18</v>
      </c>
    </row>
    <row r="22" spans="1:4" ht="12.75" customHeight="1">
      <c r="A22" s="68">
        <v>18</v>
      </c>
      <c r="B22" s="59" t="s">
        <v>1354</v>
      </c>
      <c r="C22" s="66" t="s">
        <v>919</v>
      </c>
      <c r="D22" s="73">
        <v>19</v>
      </c>
    </row>
    <row r="23" spans="1:4" ht="12.75" customHeight="1">
      <c r="A23" s="68">
        <v>19</v>
      </c>
      <c r="B23" s="58" t="s">
        <v>1341</v>
      </c>
      <c r="C23" s="66" t="s">
        <v>1511</v>
      </c>
      <c r="D23" s="73">
        <v>20</v>
      </c>
    </row>
    <row r="24" spans="1:4" ht="12.75" customHeight="1">
      <c r="A24" s="68">
        <v>20</v>
      </c>
      <c r="B24" s="59" t="s">
        <v>1355</v>
      </c>
      <c r="C24" s="66" t="s">
        <v>372</v>
      </c>
      <c r="D24" s="73">
        <v>22</v>
      </c>
    </row>
    <row r="25" spans="1:4" ht="12.75" customHeight="1">
      <c r="A25" s="68"/>
      <c r="B25" s="58"/>
      <c r="C25" s="61" t="s">
        <v>1680</v>
      </c>
      <c r="D25" s="73"/>
    </row>
    <row r="26" spans="1:4" ht="12.75" customHeight="1">
      <c r="A26" s="68">
        <v>21</v>
      </c>
      <c r="B26" s="59" t="s">
        <v>1356</v>
      </c>
      <c r="C26" s="66" t="s">
        <v>373</v>
      </c>
      <c r="D26" s="73">
        <v>23</v>
      </c>
    </row>
    <row r="27" spans="1:4" ht="12.75" customHeight="1">
      <c r="A27" s="68">
        <v>22</v>
      </c>
      <c r="B27" s="59" t="s">
        <v>1357</v>
      </c>
      <c r="C27" s="66" t="s">
        <v>865</v>
      </c>
      <c r="D27" s="73">
        <v>25</v>
      </c>
    </row>
    <row r="28" spans="1:4" ht="12.75" customHeight="1">
      <c r="A28" s="68">
        <v>23</v>
      </c>
      <c r="B28" s="58" t="s">
        <v>1342</v>
      </c>
      <c r="C28" s="66" t="s">
        <v>920</v>
      </c>
      <c r="D28" s="73">
        <v>26</v>
      </c>
    </row>
    <row r="29" spans="1:4" ht="12.75" customHeight="1">
      <c r="A29" s="68">
        <v>24</v>
      </c>
      <c r="B29" s="59" t="s">
        <v>1358</v>
      </c>
      <c r="C29" s="66" t="s">
        <v>374</v>
      </c>
      <c r="D29" s="73">
        <v>27</v>
      </c>
    </row>
    <row r="30" spans="1:4" ht="12.75" customHeight="1">
      <c r="A30" s="68">
        <v>25</v>
      </c>
      <c r="B30" s="59" t="s">
        <v>75</v>
      </c>
      <c r="C30" s="66" t="s">
        <v>1512</v>
      </c>
      <c r="D30" s="73">
        <v>28</v>
      </c>
    </row>
    <row r="31" spans="1:4" ht="12.75" customHeight="1">
      <c r="A31" s="68"/>
      <c r="B31" s="58"/>
      <c r="C31" s="61" t="s">
        <v>1681</v>
      </c>
      <c r="D31" s="73"/>
    </row>
    <row r="32" spans="1:4" ht="12.75" customHeight="1">
      <c r="A32" s="68">
        <v>26</v>
      </c>
      <c r="B32" s="58" t="s">
        <v>93</v>
      </c>
      <c r="C32" s="66" t="s">
        <v>376</v>
      </c>
      <c r="D32" s="73">
        <v>29</v>
      </c>
    </row>
    <row r="33" spans="1:4" ht="12.75" customHeight="1">
      <c r="A33" s="68">
        <v>27</v>
      </c>
      <c r="B33" s="58" t="s">
        <v>102</v>
      </c>
      <c r="C33" s="66" t="s">
        <v>377</v>
      </c>
      <c r="D33" s="73">
        <v>30</v>
      </c>
    </row>
    <row r="34" spans="1:4" ht="12.75" customHeight="1">
      <c r="A34" s="68">
        <v>28</v>
      </c>
      <c r="B34" s="58" t="s">
        <v>94</v>
      </c>
      <c r="C34" s="66" t="s">
        <v>378</v>
      </c>
      <c r="D34" s="73">
        <v>31</v>
      </c>
    </row>
    <row r="35" spans="1:4" ht="12.75" customHeight="1">
      <c r="A35" s="68">
        <v>29</v>
      </c>
      <c r="B35" s="58" t="s">
        <v>95</v>
      </c>
      <c r="C35" s="66" t="s">
        <v>1360</v>
      </c>
      <c r="D35" s="73">
        <v>32</v>
      </c>
    </row>
    <row r="36" spans="1:4" ht="12.75" customHeight="1">
      <c r="A36" s="68">
        <v>30</v>
      </c>
      <c r="B36" s="58" t="s">
        <v>96</v>
      </c>
      <c r="C36" s="66" t="s">
        <v>1361</v>
      </c>
      <c r="D36" s="73">
        <v>33</v>
      </c>
    </row>
    <row r="37" spans="1:4" ht="12.75" customHeight="1">
      <c r="A37" s="68">
        <v>31</v>
      </c>
      <c r="B37" s="58" t="s">
        <v>97</v>
      </c>
      <c r="C37" s="66" t="s">
        <v>1362</v>
      </c>
      <c r="D37" s="73">
        <v>34</v>
      </c>
    </row>
    <row r="38" spans="1:4" ht="12.75" customHeight="1">
      <c r="A38" s="68">
        <v>32</v>
      </c>
      <c r="B38" s="58" t="s">
        <v>98</v>
      </c>
      <c r="C38" s="66" t="s">
        <v>921</v>
      </c>
      <c r="D38" s="73">
        <v>35</v>
      </c>
    </row>
    <row r="39" spans="1:4" ht="12.75" customHeight="1">
      <c r="A39" s="68">
        <v>33</v>
      </c>
      <c r="B39" s="58" t="s">
        <v>99</v>
      </c>
      <c r="C39" s="66" t="s">
        <v>1363</v>
      </c>
      <c r="D39" s="73">
        <v>36</v>
      </c>
    </row>
    <row r="40" spans="1:4" ht="12.75" customHeight="1">
      <c r="A40" s="68">
        <v>34</v>
      </c>
      <c r="B40" s="58" t="s">
        <v>100</v>
      </c>
      <c r="C40" s="66" t="s">
        <v>1364</v>
      </c>
      <c r="D40" s="73">
        <v>37</v>
      </c>
    </row>
    <row r="41" spans="1:4" ht="12.75" customHeight="1">
      <c r="A41" s="68">
        <v>35</v>
      </c>
      <c r="B41" s="59" t="s">
        <v>1630</v>
      </c>
      <c r="C41" s="66" t="s">
        <v>982</v>
      </c>
      <c r="D41" s="73">
        <v>38</v>
      </c>
    </row>
    <row r="42" spans="1:4" ht="12.75" customHeight="1">
      <c r="A42" s="68">
        <v>36</v>
      </c>
      <c r="B42" s="59" t="s">
        <v>1631</v>
      </c>
      <c r="C42" s="66" t="s">
        <v>614</v>
      </c>
      <c r="D42" s="73">
        <v>40</v>
      </c>
    </row>
    <row r="43" spans="1:4" ht="12.75" customHeight="1">
      <c r="A43" s="68">
        <v>37</v>
      </c>
      <c r="B43" s="59" t="s">
        <v>1632</v>
      </c>
      <c r="C43" s="66" t="s">
        <v>1513</v>
      </c>
      <c r="D43" s="73">
        <v>41</v>
      </c>
    </row>
    <row r="44" spans="1:4" ht="12.75" customHeight="1">
      <c r="A44" s="68">
        <v>38</v>
      </c>
      <c r="B44" s="59" t="s">
        <v>1633</v>
      </c>
      <c r="C44" s="66" t="s">
        <v>925</v>
      </c>
      <c r="D44" s="73">
        <v>42</v>
      </c>
    </row>
    <row r="45" spans="1:4" ht="12.75" customHeight="1">
      <c r="A45" s="68">
        <v>39</v>
      </c>
      <c r="B45" s="59" t="s">
        <v>1634</v>
      </c>
      <c r="C45" s="66" t="s">
        <v>926</v>
      </c>
      <c r="D45" s="73">
        <v>43</v>
      </c>
    </row>
    <row r="46" spans="1:4" ht="12.75" customHeight="1">
      <c r="A46" s="68"/>
      <c r="B46" s="58"/>
      <c r="C46" s="61" t="s">
        <v>1682</v>
      </c>
      <c r="D46" s="73"/>
    </row>
    <row r="47" spans="1:4" ht="12.75" customHeight="1">
      <c r="A47" s="68">
        <v>40</v>
      </c>
      <c r="B47" s="58">
        <v>5.0999999999999996</v>
      </c>
      <c r="C47" s="66" t="s">
        <v>1509</v>
      </c>
      <c r="D47" s="73">
        <v>44</v>
      </c>
    </row>
    <row r="48" spans="1:4" ht="12.75" customHeight="1">
      <c r="A48" s="68">
        <v>41</v>
      </c>
      <c r="B48" s="58" t="s">
        <v>1635</v>
      </c>
      <c r="C48" s="66" t="s">
        <v>1514</v>
      </c>
      <c r="D48" s="73">
        <v>45</v>
      </c>
    </row>
    <row r="49" spans="1:4" ht="12.75" customHeight="1">
      <c r="A49" s="68">
        <v>42</v>
      </c>
      <c r="B49" s="58" t="s">
        <v>1636</v>
      </c>
      <c r="C49" s="66" t="s">
        <v>1515</v>
      </c>
      <c r="D49" s="73">
        <v>45</v>
      </c>
    </row>
    <row r="50" spans="1:4" ht="12.75" customHeight="1">
      <c r="A50" s="68">
        <v>43</v>
      </c>
      <c r="B50" s="58">
        <v>5.2</v>
      </c>
      <c r="C50" s="66" t="s">
        <v>1516</v>
      </c>
      <c r="D50" s="73">
        <v>46</v>
      </c>
    </row>
    <row r="51" spans="1:4" ht="12.75" customHeight="1">
      <c r="A51" s="68">
        <v>44</v>
      </c>
      <c r="B51" s="58">
        <v>5.3</v>
      </c>
      <c r="C51" s="66" t="s">
        <v>1517</v>
      </c>
      <c r="D51" s="73">
        <v>47</v>
      </c>
    </row>
    <row r="52" spans="1:4" ht="12.75" customHeight="1">
      <c r="A52" s="68">
        <v>45</v>
      </c>
      <c r="B52" s="58" t="s">
        <v>35</v>
      </c>
      <c r="C52" s="66" t="s">
        <v>1518</v>
      </c>
      <c r="D52" s="73">
        <v>48</v>
      </c>
    </row>
    <row r="53" spans="1:4" ht="12.75" customHeight="1">
      <c r="A53" s="68">
        <v>46</v>
      </c>
      <c r="B53" s="58" t="s">
        <v>39</v>
      </c>
      <c r="C53" s="66" t="s">
        <v>1519</v>
      </c>
      <c r="D53" s="73">
        <v>49</v>
      </c>
    </row>
    <row r="54" spans="1:4" ht="12.75" customHeight="1">
      <c r="A54" s="68">
        <v>47</v>
      </c>
      <c r="B54" s="58" t="s">
        <v>40</v>
      </c>
      <c r="C54" s="66" t="s">
        <v>1520</v>
      </c>
      <c r="D54" s="73">
        <v>49</v>
      </c>
    </row>
    <row r="55" spans="1:4" ht="12.75" customHeight="1">
      <c r="A55" s="68">
        <v>48</v>
      </c>
      <c r="B55" s="58" t="s">
        <v>41</v>
      </c>
      <c r="C55" s="66" t="s">
        <v>927</v>
      </c>
      <c r="D55" s="73">
        <v>50</v>
      </c>
    </row>
    <row r="56" spans="1:4" ht="12.75" customHeight="1">
      <c r="A56" s="68">
        <v>49</v>
      </c>
      <c r="B56" s="58" t="s">
        <v>42</v>
      </c>
      <c r="C56" s="66" t="s">
        <v>1521</v>
      </c>
      <c r="D56" s="73">
        <v>51</v>
      </c>
    </row>
    <row r="57" spans="1:4" ht="12.75" customHeight="1">
      <c r="A57" s="68">
        <v>50</v>
      </c>
      <c r="B57" s="58">
        <v>5.4</v>
      </c>
      <c r="C57" s="66" t="s">
        <v>1522</v>
      </c>
      <c r="D57" s="73">
        <v>52</v>
      </c>
    </row>
    <row r="58" spans="1:4" ht="12.75" customHeight="1">
      <c r="A58" s="68">
        <v>51</v>
      </c>
      <c r="B58" s="58">
        <v>5.5</v>
      </c>
      <c r="C58" s="66" t="s">
        <v>1523</v>
      </c>
      <c r="D58" s="73">
        <v>53</v>
      </c>
    </row>
    <row r="59" spans="1:4" ht="12.75" customHeight="1">
      <c r="A59" s="68">
        <v>52</v>
      </c>
      <c r="B59" s="58" t="s">
        <v>44</v>
      </c>
      <c r="C59" s="66" t="s">
        <v>1524</v>
      </c>
      <c r="D59" s="73">
        <v>53</v>
      </c>
    </row>
    <row r="60" spans="1:4" ht="12.75" customHeight="1">
      <c r="A60" s="68">
        <v>53</v>
      </c>
      <c r="B60" s="58">
        <v>5.6</v>
      </c>
      <c r="C60" s="66" t="s">
        <v>1525</v>
      </c>
      <c r="D60" s="73">
        <v>54</v>
      </c>
    </row>
    <row r="61" spans="1:4" ht="12.75" customHeight="1">
      <c r="A61" s="68">
        <v>54</v>
      </c>
      <c r="B61" s="58">
        <v>5.7</v>
      </c>
      <c r="C61" s="66" t="s">
        <v>1526</v>
      </c>
      <c r="D61" s="73">
        <v>54</v>
      </c>
    </row>
    <row r="62" spans="1:4" ht="12.75" customHeight="1">
      <c r="A62" s="236">
        <v>55</v>
      </c>
      <c r="B62" s="180">
        <v>5.8</v>
      </c>
      <c r="C62" s="235" t="s">
        <v>1527</v>
      </c>
      <c r="D62" s="77">
        <v>54</v>
      </c>
    </row>
    <row r="63" spans="1:4" ht="12.75" customHeight="1">
      <c r="A63" s="178"/>
      <c r="B63" s="179"/>
      <c r="D63" s="243" t="s">
        <v>1458</v>
      </c>
    </row>
    <row r="64" spans="1:4" ht="12.75" customHeight="1">
      <c r="A64" s="178"/>
      <c r="B64" s="179"/>
      <c r="C64" s="110" t="s">
        <v>349</v>
      </c>
      <c r="D64" s="171"/>
    </row>
    <row r="65" spans="1:4" ht="14.25" customHeight="1">
      <c r="A65" s="1240" t="s">
        <v>1465</v>
      </c>
      <c r="B65" s="1240"/>
      <c r="C65" s="1240"/>
      <c r="D65" s="1240"/>
    </row>
    <row r="66" spans="1:4" ht="24" customHeight="1">
      <c r="A66" s="349" t="s">
        <v>858</v>
      </c>
      <c r="B66" s="364" t="s">
        <v>1132</v>
      </c>
      <c r="C66" s="364" t="s">
        <v>519</v>
      </c>
      <c r="D66" s="351" t="s">
        <v>351</v>
      </c>
    </row>
    <row r="67" spans="1:4" ht="12.75" customHeight="1">
      <c r="A67" s="53"/>
      <c r="B67" s="55"/>
      <c r="C67" s="61" t="s">
        <v>1683</v>
      </c>
      <c r="D67" s="37"/>
    </row>
    <row r="68" spans="1:4" ht="12.75" customHeight="1">
      <c r="A68" s="69">
        <v>56</v>
      </c>
      <c r="B68" s="58">
        <v>6.1</v>
      </c>
      <c r="C68" s="66" t="s">
        <v>1528</v>
      </c>
      <c r="D68" s="37">
        <v>55</v>
      </c>
    </row>
    <row r="69" spans="1:4" ht="12.75" customHeight="1">
      <c r="A69" s="69">
        <v>57</v>
      </c>
      <c r="B69" s="58">
        <v>6.2</v>
      </c>
      <c r="C69" s="66" t="s">
        <v>1529</v>
      </c>
      <c r="D69" s="37">
        <v>56</v>
      </c>
    </row>
    <row r="70" spans="1:4" ht="12.75" customHeight="1">
      <c r="A70" s="69"/>
      <c r="B70" s="58"/>
      <c r="C70" s="61" t="s">
        <v>1684</v>
      </c>
      <c r="D70" s="37"/>
    </row>
    <row r="71" spans="1:4" ht="12.75" customHeight="1">
      <c r="A71" s="69">
        <v>58</v>
      </c>
      <c r="B71" s="58">
        <v>7.1</v>
      </c>
      <c r="C71" s="66" t="s">
        <v>1530</v>
      </c>
      <c r="D71" s="37">
        <v>57</v>
      </c>
    </row>
    <row r="72" spans="1:4" ht="12.75" customHeight="1">
      <c r="A72" s="69">
        <v>59</v>
      </c>
      <c r="B72" s="58">
        <v>7.2</v>
      </c>
      <c r="C72" s="66" t="s">
        <v>1081</v>
      </c>
      <c r="D72" s="37">
        <v>58</v>
      </c>
    </row>
    <row r="73" spans="1:4" ht="12.75" customHeight="1">
      <c r="A73" s="69">
        <v>60</v>
      </c>
      <c r="B73" s="58">
        <v>7.3</v>
      </c>
      <c r="C73" s="66" t="s">
        <v>1080</v>
      </c>
      <c r="D73" s="37">
        <v>58</v>
      </c>
    </row>
    <row r="74" spans="1:4" ht="12.75" customHeight="1">
      <c r="A74" s="69"/>
      <c r="B74" s="58"/>
      <c r="C74" s="61" t="s">
        <v>1685</v>
      </c>
      <c r="D74" s="37"/>
    </row>
    <row r="75" spans="1:4" ht="12.75" customHeight="1">
      <c r="A75" s="69">
        <v>61</v>
      </c>
      <c r="B75" s="58">
        <v>8.1</v>
      </c>
      <c r="C75" s="66" t="s">
        <v>1531</v>
      </c>
      <c r="D75" s="37">
        <v>59</v>
      </c>
    </row>
    <row r="76" spans="1:4" ht="12.75" customHeight="1">
      <c r="A76" s="69">
        <v>62</v>
      </c>
      <c r="B76" s="58">
        <v>8.1999999999999993</v>
      </c>
      <c r="C76" s="66" t="s">
        <v>1532</v>
      </c>
      <c r="D76" s="37">
        <v>59</v>
      </c>
    </row>
    <row r="77" spans="1:4" ht="12.75" customHeight="1">
      <c r="A77" s="69">
        <v>63</v>
      </c>
      <c r="B77" s="58" t="s">
        <v>45</v>
      </c>
      <c r="C77" s="66" t="s">
        <v>1533</v>
      </c>
      <c r="D77" s="37">
        <v>60</v>
      </c>
    </row>
    <row r="78" spans="1:4" ht="12.75" customHeight="1">
      <c r="A78" s="69">
        <v>64</v>
      </c>
      <c r="B78" s="58">
        <v>8.3000000000000007</v>
      </c>
      <c r="C78" s="66" t="s">
        <v>1534</v>
      </c>
      <c r="D78" s="37">
        <v>61</v>
      </c>
    </row>
    <row r="79" spans="1:4" ht="12.75" customHeight="1">
      <c r="A79" s="69">
        <v>65</v>
      </c>
      <c r="B79" s="58">
        <v>8.4</v>
      </c>
      <c r="C79" s="66" t="s">
        <v>1535</v>
      </c>
      <c r="D79" s="37">
        <v>63</v>
      </c>
    </row>
    <row r="80" spans="1:4" ht="12.75" customHeight="1">
      <c r="A80" s="69"/>
      <c r="B80" s="58"/>
      <c r="C80" s="61" t="s">
        <v>1686</v>
      </c>
      <c r="D80" s="37"/>
    </row>
    <row r="81" spans="1:4" ht="12.75" customHeight="1">
      <c r="A81" s="69">
        <v>66</v>
      </c>
      <c r="B81" s="58">
        <v>9.1</v>
      </c>
      <c r="C81" s="66" t="s">
        <v>1536</v>
      </c>
      <c r="D81" s="37">
        <v>64</v>
      </c>
    </row>
    <row r="82" spans="1:4" ht="12.75" customHeight="1">
      <c r="A82" s="69">
        <v>67</v>
      </c>
      <c r="B82" s="58">
        <v>9.1999999999999993</v>
      </c>
      <c r="C82" s="66" t="s">
        <v>1537</v>
      </c>
      <c r="D82" s="37">
        <v>65</v>
      </c>
    </row>
    <row r="83" spans="1:4" ht="12.75" customHeight="1">
      <c r="A83" s="69">
        <v>68</v>
      </c>
      <c r="B83" s="58" t="s">
        <v>46</v>
      </c>
      <c r="C83" s="66" t="s">
        <v>1538</v>
      </c>
      <c r="D83" s="37">
        <v>65</v>
      </c>
    </row>
    <row r="84" spans="1:4" ht="12.75" customHeight="1">
      <c r="A84" s="69">
        <v>69</v>
      </c>
      <c r="B84" s="58" t="s">
        <v>47</v>
      </c>
      <c r="C84" s="66" t="s">
        <v>1539</v>
      </c>
      <c r="D84" s="37">
        <v>65</v>
      </c>
    </row>
    <row r="85" spans="1:4" ht="12.75" customHeight="1">
      <c r="A85" s="69"/>
      <c r="B85" s="58"/>
      <c r="C85" s="61" t="s">
        <v>1687</v>
      </c>
      <c r="D85" s="37"/>
    </row>
    <row r="86" spans="1:4" ht="12.75" customHeight="1">
      <c r="A86" s="69">
        <v>70</v>
      </c>
      <c r="B86" s="58">
        <v>10.1</v>
      </c>
      <c r="C86" s="66" t="s">
        <v>1540</v>
      </c>
      <c r="D86" s="37">
        <v>66</v>
      </c>
    </row>
    <row r="87" spans="1:4" ht="12.75" customHeight="1">
      <c r="A87" s="69">
        <v>71</v>
      </c>
      <c r="B87" s="58">
        <v>10.199999999999999</v>
      </c>
      <c r="C87" s="66" t="s">
        <v>1541</v>
      </c>
      <c r="D87" s="37">
        <v>66</v>
      </c>
    </row>
    <row r="88" spans="1:4" ht="12.75" customHeight="1">
      <c r="A88" s="69">
        <v>72</v>
      </c>
      <c r="B88" s="58">
        <v>10.3</v>
      </c>
      <c r="C88" s="66" t="s">
        <v>1542</v>
      </c>
      <c r="D88" s="37">
        <v>67</v>
      </c>
    </row>
    <row r="89" spans="1:4" ht="12.75" customHeight="1">
      <c r="A89" s="69"/>
      <c r="B89" s="58"/>
      <c r="C89" s="61" t="s">
        <v>1688</v>
      </c>
      <c r="D89" s="37"/>
    </row>
    <row r="90" spans="1:4" ht="12.75" customHeight="1">
      <c r="A90" s="69">
        <v>73</v>
      </c>
      <c r="B90" s="58">
        <v>11.1</v>
      </c>
      <c r="C90" s="66" t="s">
        <v>1543</v>
      </c>
      <c r="D90" s="37">
        <v>68</v>
      </c>
    </row>
    <row r="91" spans="1:4" ht="12.75" customHeight="1">
      <c r="A91" s="69">
        <v>74</v>
      </c>
      <c r="B91" s="58" t="s">
        <v>48</v>
      </c>
      <c r="C91" s="66" t="s">
        <v>1544</v>
      </c>
      <c r="D91" s="37">
        <v>68</v>
      </c>
    </row>
    <row r="92" spans="1:4" ht="12.75" customHeight="1">
      <c r="A92" s="69">
        <v>75</v>
      </c>
      <c r="B92" s="58">
        <v>11.2</v>
      </c>
      <c r="C92" s="66" t="s">
        <v>1545</v>
      </c>
      <c r="D92" s="37">
        <v>69</v>
      </c>
    </row>
    <row r="93" spans="1:4" ht="12.75" customHeight="1">
      <c r="A93" s="69">
        <v>76</v>
      </c>
      <c r="B93" s="58">
        <v>11.3</v>
      </c>
      <c r="C93" s="66" t="s">
        <v>1546</v>
      </c>
      <c r="D93" s="37">
        <v>70</v>
      </c>
    </row>
    <row r="94" spans="1:4" ht="12.75" customHeight="1">
      <c r="A94" s="69">
        <v>77</v>
      </c>
      <c r="B94" s="58">
        <v>11.4</v>
      </c>
      <c r="C94" s="66" t="s">
        <v>1547</v>
      </c>
      <c r="D94" s="37">
        <v>70</v>
      </c>
    </row>
    <row r="95" spans="1:4" ht="12.75" customHeight="1">
      <c r="A95" s="69"/>
      <c r="B95" s="58"/>
      <c r="C95" s="61" t="s">
        <v>1689</v>
      </c>
      <c r="D95" s="37"/>
    </row>
    <row r="96" spans="1:4" ht="12.75" customHeight="1">
      <c r="A96" s="69">
        <v>78</v>
      </c>
      <c r="B96" s="58">
        <v>12.1</v>
      </c>
      <c r="C96" s="66" t="s">
        <v>1548</v>
      </c>
      <c r="D96" s="37">
        <v>71</v>
      </c>
    </row>
    <row r="97" spans="1:4" ht="12.75" customHeight="1">
      <c r="A97" s="69">
        <v>79</v>
      </c>
      <c r="B97" s="58">
        <v>12.2</v>
      </c>
      <c r="C97" s="66" t="s">
        <v>1549</v>
      </c>
      <c r="D97" s="37">
        <v>71</v>
      </c>
    </row>
    <row r="98" spans="1:4" ht="12.75" customHeight="1">
      <c r="A98" s="69">
        <v>80</v>
      </c>
      <c r="B98" s="58">
        <v>12.3</v>
      </c>
      <c r="C98" s="66" t="s">
        <v>1063</v>
      </c>
      <c r="D98" s="37">
        <v>72</v>
      </c>
    </row>
    <row r="99" spans="1:4" ht="12.75" customHeight="1">
      <c r="A99" s="69">
        <v>81</v>
      </c>
      <c r="B99" s="58">
        <v>12.4</v>
      </c>
      <c r="C99" s="66" t="s">
        <v>1550</v>
      </c>
      <c r="D99" s="37">
        <v>73</v>
      </c>
    </row>
    <row r="100" spans="1:4" ht="12.75" customHeight="1">
      <c r="A100" s="69">
        <v>82</v>
      </c>
      <c r="B100" s="58">
        <v>12.5</v>
      </c>
      <c r="C100" s="66" t="s">
        <v>1551</v>
      </c>
      <c r="D100" s="37">
        <v>74</v>
      </c>
    </row>
    <row r="101" spans="1:4" ht="12.75" customHeight="1">
      <c r="A101" s="69">
        <v>83</v>
      </c>
      <c r="B101" s="58">
        <v>12.6</v>
      </c>
      <c r="C101" s="66" t="s">
        <v>1023</v>
      </c>
      <c r="D101" s="37">
        <v>74</v>
      </c>
    </row>
    <row r="102" spans="1:4" ht="12.75" customHeight="1">
      <c r="A102" s="69">
        <v>84</v>
      </c>
      <c r="B102" s="58">
        <v>12.7</v>
      </c>
      <c r="C102" s="66" t="s">
        <v>49</v>
      </c>
      <c r="D102" s="37">
        <v>74</v>
      </c>
    </row>
    <row r="103" spans="1:4" ht="12.75" customHeight="1">
      <c r="A103" s="69"/>
      <c r="B103" s="58"/>
      <c r="C103" s="61" t="s">
        <v>1690</v>
      </c>
      <c r="D103" s="37"/>
    </row>
    <row r="104" spans="1:4" ht="12.75" customHeight="1">
      <c r="A104" s="69">
        <v>85</v>
      </c>
      <c r="B104" s="58">
        <v>13.1</v>
      </c>
      <c r="C104" s="66" t="s">
        <v>1552</v>
      </c>
      <c r="D104" s="37">
        <v>75</v>
      </c>
    </row>
    <row r="105" spans="1:4" ht="12.75" customHeight="1">
      <c r="A105" s="69">
        <v>86</v>
      </c>
      <c r="B105" s="58">
        <v>13.2</v>
      </c>
      <c r="C105" s="66" t="s">
        <v>1025</v>
      </c>
      <c r="D105" s="37">
        <v>76</v>
      </c>
    </row>
    <row r="106" spans="1:4" ht="12.75" customHeight="1">
      <c r="A106" s="69">
        <v>87</v>
      </c>
      <c r="B106" s="58">
        <v>13.3</v>
      </c>
      <c r="C106" s="66" t="s">
        <v>1553</v>
      </c>
      <c r="D106" s="37">
        <v>76</v>
      </c>
    </row>
    <row r="107" spans="1:4" ht="12.75" customHeight="1">
      <c r="A107" s="69"/>
      <c r="B107" s="58"/>
      <c r="C107" s="61" t="s">
        <v>1691</v>
      </c>
      <c r="D107" s="37"/>
    </row>
    <row r="108" spans="1:4" ht="12.75" customHeight="1">
      <c r="A108" s="69">
        <v>88</v>
      </c>
      <c r="B108" s="58">
        <v>14.1</v>
      </c>
      <c r="C108" s="66" t="s">
        <v>1066</v>
      </c>
      <c r="D108" s="37">
        <v>77</v>
      </c>
    </row>
    <row r="109" spans="1:4" ht="12.75" customHeight="1">
      <c r="A109" s="69">
        <v>89</v>
      </c>
      <c r="B109" s="58">
        <v>14.2</v>
      </c>
      <c r="C109" s="66" t="s">
        <v>1077</v>
      </c>
      <c r="D109" s="37">
        <v>77</v>
      </c>
    </row>
    <row r="110" spans="1:4" ht="12.75" customHeight="1">
      <c r="A110" s="69"/>
      <c r="B110" s="58"/>
      <c r="C110" s="61" t="s">
        <v>1692</v>
      </c>
      <c r="D110" s="37"/>
    </row>
    <row r="111" spans="1:4" ht="12.75" customHeight="1">
      <c r="A111" s="69">
        <v>90</v>
      </c>
      <c r="B111" s="58">
        <v>15.1</v>
      </c>
      <c r="C111" s="66" t="s">
        <v>1085</v>
      </c>
      <c r="D111" s="37">
        <v>78</v>
      </c>
    </row>
    <row r="112" spans="1:4" ht="12.75" customHeight="1">
      <c r="A112" s="69">
        <v>91</v>
      </c>
      <c r="B112" s="58">
        <v>15.2</v>
      </c>
      <c r="C112" s="66" t="s">
        <v>1554</v>
      </c>
      <c r="D112" s="37">
        <v>79</v>
      </c>
    </row>
    <row r="113" spans="1:4" ht="12.75" customHeight="1">
      <c r="A113" s="69"/>
      <c r="B113" s="58"/>
      <c r="C113" s="61" t="s">
        <v>1693</v>
      </c>
      <c r="D113" s="37"/>
    </row>
    <row r="114" spans="1:4" ht="12.75" customHeight="1">
      <c r="A114" s="69">
        <v>92</v>
      </c>
      <c r="B114" s="58">
        <v>16.100000000000001</v>
      </c>
      <c r="C114" s="66" t="s">
        <v>1555</v>
      </c>
      <c r="D114" s="37">
        <v>83</v>
      </c>
    </row>
    <row r="115" spans="1:4" ht="12.75" customHeight="1">
      <c r="A115" s="69">
        <v>93</v>
      </c>
      <c r="B115" s="58">
        <v>17.100000000000001</v>
      </c>
      <c r="C115" s="66" t="s">
        <v>1078</v>
      </c>
      <c r="D115" s="37">
        <v>84</v>
      </c>
    </row>
    <row r="116" spans="1:4" ht="12.75" customHeight="1">
      <c r="A116" s="69">
        <v>94</v>
      </c>
      <c r="B116" s="58">
        <v>17.2</v>
      </c>
      <c r="C116" s="66" t="s">
        <v>1556</v>
      </c>
      <c r="D116" s="37">
        <v>85</v>
      </c>
    </row>
    <row r="117" spans="1:4" ht="12.75" customHeight="1">
      <c r="A117" s="69">
        <v>95</v>
      </c>
      <c r="B117" s="58">
        <v>18.100000000000001</v>
      </c>
      <c r="C117" s="66" t="s">
        <v>1557</v>
      </c>
      <c r="D117" s="37">
        <v>86</v>
      </c>
    </row>
    <row r="118" spans="1:4" ht="12.75" customHeight="1">
      <c r="A118" s="69">
        <v>96</v>
      </c>
      <c r="B118" s="58">
        <v>18.2</v>
      </c>
      <c r="C118" s="66" t="s">
        <v>1558</v>
      </c>
      <c r="D118" s="37">
        <v>89</v>
      </c>
    </row>
    <row r="119" spans="1:4" ht="12.75" customHeight="1">
      <c r="A119" s="69">
        <v>97</v>
      </c>
      <c r="B119" s="58">
        <v>18.3</v>
      </c>
      <c r="C119" s="66" t="s">
        <v>1559</v>
      </c>
      <c r="D119" s="37">
        <v>90</v>
      </c>
    </row>
    <row r="120" spans="1:4" ht="12.75" customHeight="1">
      <c r="A120" s="69">
        <v>98</v>
      </c>
      <c r="B120" s="58">
        <v>19.100000000000001</v>
      </c>
      <c r="C120" s="66" t="s">
        <v>1491</v>
      </c>
      <c r="D120" s="37">
        <v>91</v>
      </c>
    </row>
    <row r="121" spans="1:4" ht="12.75" customHeight="1">
      <c r="A121" s="69">
        <v>99</v>
      </c>
      <c r="B121" s="58">
        <v>20.100000000000001</v>
      </c>
      <c r="C121" s="66" t="s">
        <v>1079</v>
      </c>
      <c r="D121" s="37">
        <v>92</v>
      </c>
    </row>
    <row r="122" spans="1:4" ht="12.75" customHeight="1">
      <c r="A122" s="69">
        <v>100</v>
      </c>
      <c r="B122" s="58">
        <v>20.2</v>
      </c>
      <c r="C122" s="66" t="s">
        <v>91</v>
      </c>
      <c r="D122" s="37">
        <v>93</v>
      </c>
    </row>
    <row r="123" spans="1:4" ht="12.75" customHeight="1">
      <c r="A123" s="69">
        <v>101</v>
      </c>
      <c r="B123" s="58">
        <v>21.1</v>
      </c>
      <c r="C123" s="66" t="s">
        <v>1560</v>
      </c>
      <c r="D123" s="37">
        <v>94</v>
      </c>
    </row>
    <row r="124" spans="1:4" ht="12.75" customHeight="1">
      <c r="A124" s="236">
        <v>102</v>
      </c>
      <c r="B124" s="180">
        <v>21.2</v>
      </c>
      <c r="C124" s="235" t="s">
        <v>1561</v>
      </c>
      <c r="D124" s="38">
        <v>95</v>
      </c>
    </row>
    <row r="125" spans="1:4">
      <c r="A125" s="178"/>
      <c r="B125" s="14"/>
    </row>
    <row r="128" spans="1:4">
      <c r="C128" s="260" t="s">
        <v>347</v>
      </c>
    </row>
    <row r="134" spans="1:3">
      <c r="A134" s="121"/>
      <c r="B134" s="121"/>
      <c r="C134" s="121"/>
    </row>
  </sheetData>
  <mergeCells count="2">
    <mergeCell ref="A1:D1"/>
    <mergeCell ref="A65:D65"/>
  </mergeCells>
  <printOptions horizontalCentered="1"/>
  <pageMargins left="0.1" right="0.1" top="0.23" bottom="0.1" header="0.12" footer="0.1"/>
  <pageSetup paperSize="9" orientation="portrait" blackAndWhite="1" horizontalDpi="4294967295" verticalDpi="180" r:id="rId1"/>
  <headerFooter alignWithMargins="0"/>
  <rowBreaks count="1" manualBreakCount="1">
    <brk id="64" max="16383" man="1"/>
  </rowBreaks>
</worksheet>
</file>

<file path=xl/worksheets/sheet40.xml><?xml version="1.0" encoding="utf-8"?>
<worksheet xmlns="http://schemas.openxmlformats.org/spreadsheetml/2006/main" xmlns:r="http://schemas.openxmlformats.org/officeDocument/2006/relationships">
  <sheetPr codeName="Sheet35"/>
  <dimension ref="A1:F50"/>
  <sheetViews>
    <sheetView workbookViewId="0">
      <selection activeCell="I31" sqref="I31"/>
    </sheetView>
  </sheetViews>
  <sheetFormatPr defaultRowHeight="12.4" customHeight="1"/>
  <cols>
    <col min="1" max="1" width="23.28515625" style="405" customWidth="1"/>
    <col min="2" max="2" width="17" style="405" customWidth="1"/>
    <col min="3" max="3" width="18.140625" style="405" customWidth="1"/>
    <col min="4" max="4" width="22.85546875" style="405" customWidth="1"/>
    <col min="5" max="16384" width="9.140625" style="405"/>
  </cols>
  <sheetData>
    <row r="1" spans="1:4" ht="12.4" customHeight="1">
      <c r="A1" s="1250" t="s">
        <v>451</v>
      </c>
      <c r="B1" s="1250"/>
      <c r="C1" s="1250"/>
      <c r="D1" s="1250"/>
    </row>
    <row r="2" spans="1:4" s="412" customFormat="1" ht="33.75" customHeight="1">
      <c r="A2" s="1350" t="str">
        <f>CONCATENATE("Public Libraries, Reading Rooms and Mass Literacy Centres 
in the district of ",District!A1)</f>
        <v>Public Libraries, Reading Rooms and Mass Literacy Centres 
in the district of Nadia</v>
      </c>
      <c r="B2" s="1350"/>
      <c r="C2" s="1350"/>
      <c r="D2" s="1350"/>
    </row>
    <row r="3" spans="1:4" ht="12.4" customHeight="1">
      <c r="A3" s="412"/>
      <c r="B3" s="436"/>
      <c r="C3" s="436"/>
      <c r="D3" s="451" t="s">
        <v>223</v>
      </c>
    </row>
    <row r="4" spans="1:4" ht="40.5" customHeight="1">
      <c r="A4" s="508" t="s">
        <v>107</v>
      </c>
      <c r="B4" s="219" t="s">
        <v>1021</v>
      </c>
      <c r="C4" s="219" t="s">
        <v>1022</v>
      </c>
      <c r="D4" s="219" t="s">
        <v>861</v>
      </c>
    </row>
    <row r="5" spans="1:4" ht="15" customHeight="1">
      <c r="A5" s="472" t="s">
        <v>163</v>
      </c>
      <c r="B5" s="417" t="s">
        <v>164</v>
      </c>
      <c r="C5" s="417" t="s">
        <v>165</v>
      </c>
      <c r="D5" s="417" t="s">
        <v>166</v>
      </c>
    </row>
    <row r="6" spans="1:4" ht="15" customHeight="1">
      <c r="A6" s="204" t="s">
        <v>1340</v>
      </c>
      <c r="B6" s="486">
        <v>109</v>
      </c>
      <c r="C6" s="492">
        <v>109</v>
      </c>
      <c r="D6" s="465" t="s">
        <v>1020</v>
      </c>
    </row>
    <row r="7" spans="1:4" ht="15" customHeight="1">
      <c r="A7" s="516" t="s">
        <v>1339</v>
      </c>
      <c r="B7" s="464">
        <v>109</v>
      </c>
      <c r="C7" s="494">
        <v>109</v>
      </c>
      <c r="D7" s="81" t="s">
        <v>1020</v>
      </c>
    </row>
    <row r="8" spans="1:4" ht="15" customHeight="1">
      <c r="A8" s="516" t="s">
        <v>1200</v>
      </c>
      <c r="B8" s="464">
        <v>109</v>
      </c>
      <c r="C8" s="494">
        <v>109</v>
      </c>
      <c r="D8" s="482" t="s">
        <v>1020</v>
      </c>
    </row>
    <row r="9" spans="1:4" ht="15" customHeight="1">
      <c r="A9" s="516" t="s">
        <v>1223</v>
      </c>
      <c r="B9" s="464">
        <v>109</v>
      </c>
      <c r="C9" s="494">
        <v>109</v>
      </c>
      <c r="D9" s="482" t="s">
        <v>723</v>
      </c>
    </row>
    <row r="10" spans="1:4" ht="15" customHeight="1">
      <c r="A10" s="517" t="s">
        <v>720</v>
      </c>
      <c r="B10" s="212">
        <f>SUM(B12,B17,B27,B37)</f>
        <v>108</v>
      </c>
      <c r="C10" s="127">
        <f>SUM(C12,C17,C27,C37)</f>
        <v>108</v>
      </c>
      <c r="D10" s="605">
        <f>SUM(D12,D17,D27,D37)</f>
        <v>684</v>
      </c>
    </row>
    <row r="11" spans="1:4" ht="27" customHeight="1">
      <c r="A11" s="397" t="s">
        <v>1650</v>
      </c>
      <c r="B11" s="1248" t="str">
        <f>"Year : "  &amp;  A10</f>
        <v>Year : 2013-14</v>
      </c>
      <c r="C11" s="1339"/>
      <c r="D11" s="1249"/>
    </row>
    <row r="12" spans="1:4" ht="15" customHeight="1">
      <c r="A12" s="606" t="s">
        <v>1194</v>
      </c>
      <c r="B12" s="193">
        <f>SUM(B13:B16)</f>
        <v>18</v>
      </c>
      <c r="C12" s="193">
        <f>SUM(C13:C16)</f>
        <v>18</v>
      </c>
      <c r="D12" s="193">
        <f>SUM(D13:D16)</f>
        <v>244</v>
      </c>
    </row>
    <row r="13" spans="1:4" ht="15" customHeight="1">
      <c r="A13" s="524" t="s">
        <v>1118</v>
      </c>
      <c r="B13" s="463">
        <v>4</v>
      </c>
      <c r="C13" s="1060">
        <v>4</v>
      </c>
      <c r="D13" s="463">
        <v>57</v>
      </c>
    </row>
    <row r="14" spans="1:4" ht="15" customHeight="1">
      <c r="A14" s="524" t="s">
        <v>1119</v>
      </c>
      <c r="B14" s="463">
        <v>5</v>
      </c>
      <c r="C14" s="1060">
        <v>5</v>
      </c>
      <c r="D14" s="463">
        <v>52</v>
      </c>
    </row>
    <row r="15" spans="1:4" ht="15" customHeight="1">
      <c r="A15" s="524" t="s">
        <v>1121</v>
      </c>
      <c r="B15" s="463">
        <v>5</v>
      </c>
      <c r="C15" s="1060">
        <v>5</v>
      </c>
      <c r="D15" s="463">
        <v>31</v>
      </c>
    </row>
    <row r="16" spans="1:4" ht="15" customHeight="1">
      <c r="A16" s="524" t="s">
        <v>1225</v>
      </c>
      <c r="B16" s="463">
        <v>4</v>
      </c>
      <c r="C16" s="1060">
        <v>4</v>
      </c>
      <c r="D16" s="463">
        <v>104</v>
      </c>
    </row>
    <row r="17" spans="1:6" ht="15" customHeight="1">
      <c r="A17" s="525" t="s">
        <v>1264</v>
      </c>
      <c r="B17" s="118">
        <f>SUM(B18:B26)</f>
        <v>47</v>
      </c>
      <c r="C17" s="118">
        <f>SUM(C18:C26)</f>
        <v>47</v>
      </c>
      <c r="D17" s="118">
        <f>SUM(D18:D26)</f>
        <v>221</v>
      </c>
    </row>
    <row r="18" spans="1:6" ht="15" customHeight="1">
      <c r="A18" s="524" t="s">
        <v>1122</v>
      </c>
      <c r="B18" s="463">
        <v>6</v>
      </c>
      <c r="C18" s="1060">
        <v>6</v>
      </c>
      <c r="D18" s="463">
        <v>107</v>
      </c>
    </row>
    <row r="19" spans="1:6" ht="15" customHeight="1">
      <c r="A19" s="524" t="s">
        <v>1123</v>
      </c>
      <c r="B19" s="463">
        <v>7</v>
      </c>
      <c r="C19" s="1060">
        <v>7</v>
      </c>
      <c r="D19" s="463">
        <v>70</v>
      </c>
    </row>
    <row r="20" spans="1:6" ht="15" customHeight="1">
      <c r="A20" s="524" t="s">
        <v>1124</v>
      </c>
      <c r="B20" s="463">
        <v>6</v>
      </c>
      <c r="C20" s="1060">
        <v>6</v>
      </c>
      <c r="D20" s="1062" t="s">
        <v>643</v>
      </c>
    </row>
    <row r="21" spans="1:6" ht="15" customHeight="1">
      <c r="A21" s="524" t="s">
        <v>1125</v>
      </c>
      <c r="B21" s="463">
        <v>5</v>
      </c>
      <c r="C21" s="1060">
        <v>5</v>
      </c>
      <c r="D21" s="1062" t="s">
        <v>643</v>
      </c>
      <c r="F21" s="607"/>
    </row>
    <row r="22" spans="1:6" ht="15" customHeight="1">
      <c r="A22" s="524" t="s">
        <v>1126</v>
      </c>
      <c r="B22" s="463">
        <v>7</v>
      </c>
      <c r="C22" s="1060">
        <v>7</v>
      </c>
      <c r="D22" s="463">
        <v>20</v>
      </c>
      <c r="F22" s="607"/>
    </row>
    <row r="23" spans="1:6" ht="15" customHeight="1">
      <c r="A23" s="524" t="s">
        <v>1127</v>
      </c>
      <c r="B23" s="463">
        <v>4</v>
      </c>
      <c r="C23" s="1060">
        <v>4</v>
      </c>
      <c r="D23" s="1062" t="s">
        <v>643</v>
      </c>
      <c r="F23" s="607"/>
    </row>
    <row r="24" spans="1:6" ht="15" customHeight="1">
      <c r="A24" s="524" t="s">
        <v>1128</v>
      </c>
      <c r="B24" s="463">
        <v>5</v>
      </c>
      <c r="C24" s="1060">
        <v>5</v>
      </c>
      <c r="D24" s="1062" t="s">
        <v>643</v>
      </c>
      <c r="F24" s="607"/>
    </row>
    <row r="25" spans="1:6" ht="15" customHeight="1">
      <c r="A25" s="524" t="s">
        <v>90</v>
      </c>
      <c r="B25" s="463">
        <v>4</v>
      </c>
      <c r="C25" s="1060">
        <v>4</v>
      </c>
      <c r="D25" s="463">
        <v>24</v>
      </c>
    </row>
    <row r="26" spans="1:6" ht="15" customHeight="1">
      <c r="A26" s="524" t="s">
        <v>1130</v>
      </c>
      <c r="B26" s="463">
        <v>3</v>
      </c>
      <c r="C26" s="1060">
        <v>3</v>
      </c>
      <c r="D26" s="1062" t="s">
        <v>643</v>
      </c>
    </row>
    <row r="27" spans="1:6" ht="15" customHeight="1">
      <c r="A27" s="523" t="s">
        <v>805</v>
      </c>
      <c r="B27" s="118">
        <f>SUM(B28:B36)</f>
        <v>25</v>
      </c>
      <c r="C27" s="118">
        <f>SUM(C28:C36)</f>
        <v>25</v>
      </c>
      <c r="D27" s="118">
        <f>SUM(D28:D36)</f>
        <v>166</v>
      </c>
    </row>
    <row r="28" spans="1:6" ht="15" customHeight="1">
      <c r="A28" s="524" t="s">
        <v>1131</v>
      </c>
      <c r="B28" s="463">
        <v>4</v>
      </c>
      <c r="C28" s="1060">
        <v>4</v>
      </c>
      <c r="D28" s="1062" t="s">
        <v>643</v>
      </c>
    </row>
    <row r="29" spans="1:6" ht="15" customHeight="1">
      <c r="A29" s="524" t="s">
        <v>1133</v>
      </c>
      <c r="B29" s="463">
        <v>3</v>
      </c>
      <c r="C29" s="1060">
        <v>3</v>
      </c>
      <c r="D29" s="1062" t="s">
        <v>643</v>
      </c>
    </row>
    <row r="30" spans="1:6" ht="15" customHeight="1">
      <c r="A30" s="524" t="s">
        <v>1134</v>
      </c>
      <c r="B30" s="463">
        <v>6</v>
      </c>
      <c r="C30" s="1060">
        <v>6</v>
      </c>
      <c r="D30" s="1062" t="s">
        <v>643</v>
      </c>
    </row>
    <row r="31" spans="1:6" ht="15" customHeight="1">
      <c r="A31" s="524" t="s">
        <v>1623</v>
      </c>
      <c r="B31" s="463">
        <v>5</v>
      </c>
      <c r="C31" s="1060">
        <v>5</v>
      </c>
      <c r="D31" s="463">
        <v>30</v>
      </c>
    </row>
    <row r="32" spans="1:6" ht="15" customHeight="1">
      <c r="A32" s="524" t="s">
        <v>768</v>
      </c>
      <c r="B32" s="463">
        <v>1</v>
      </c>
      <c r="C32" s="1060">
        <v>1</v>
      </c>
      <c r="D32" s="463">
        <v>36</v>
      </c>
    </row>
    <row r="33" spans="1:4" ht="15" customHeight="1">
      <c r="A33" s="524" t="s">
        <v>1625</v>
      </c>
      <c r="B33" s="463">
        <v>1</v>
      </c>
      <c r="C33" s="1060">
        <v>1</v>
      </c>
      <c r="D33" s="1062" t="s">
        <v>643</v>
      </c>
    </row>
    <row r="34" spans="1:4" ht="15" customHeight="1">
      <c r="A34" s="524" t="s">
        <v>1626</v>
      </c>
      <c r="B34" s="463">
        <v>1</v>
      </c>
      <c r="C34" s="1060">
        <v>1</v>
      </c>
      <c r="D34" s="1062" t="s">
        <v>643</v>
      </c>
    </row>
    <row r="35" spans="1:4" ht="15" customHeight="1">
      <c r="A35" s="524" t="s">
        <v>714</v>
      </c>
      <c r="B35" s="463">
        <v>4</v>
      </c>
      <c r="C35" s="1060">
        <v>4</v>
      </c>
      <c r="D35" s="463">
        <v>100</v>
      </c>
    </row>
    <row r="36" spans="1:4" ht="15" customHeight="1">
      <c r="A36" s="524" t="s">
        <v>1238</v>
      </c>
      <c r="B36" s="1062" t="s">
        <v>643</v>
      </c>
      <c r="C36" s="1062" t="s">
        <v>643</v>
      </c>
      <c r="D36" s="1062" t="s">
        <v>643</v>
      </c>
    </row>
    <row r="37" spans="1:4" ht="15" customHeight="1">
      <c r="A37" s="523" t="s">
        <v>1265</v>
      </c>
      <c r="B37" s="118">
        <f>SUM(B38:B42)</f>
        <v>18</v>
      </c>
      <c r="C37" s="118">
        <f>SUM(C38:C42)</f>
        <v>18</v>
      </c>
      <c r="D37" s="118">
        <f>SUM(D38:D42)</f>
        <v>53</v>
      </c>
    </row>
    <row r="38" spans="1:4" ht="15" customHeight="1">
      <c r="A38" s="524" t="s">
        <v>769</v>
      </c>
      <c r="B38" s="463">
        <v>9</v>
      </c>
      <c r="C38" s="1060">
        <v>9</v>
      </c>
      <c r="D38" s="463">
        <v>53</v>
      </c>
    </row>
    <row r="39" spans="1:4" ht="15" customHeight="1">
      <c r="A39" s="524" t="s">
        <v>770</v>
      </c>
      <c r="B39" s="463">
        <v>1</v>
      </c>
      <c r="C39" s="1060">
        <v>1</v>
      </c>
      <c r="D39" s="1062" t="s">
        <v>643</v>
      </c>
    </row>
    <row r="40" spans="1:4" ht="15" customHeight="1">
      <c r="A40" s="524" t="s">
        <v>771</v>
      </c>
      <c r="B40" s="463">
        <v>2</v>
      </c>
      <c r="C40" s="1060">
        <v>2</v>
      </c>
      <c r="D40" s="1062" t="s">
        <v>643</v>
      </c>
    </row>
    <row r="41" spans="1:4" ht="15" customHeight="1">
      <c r="A41" s="524" t="s">
        <v>1629</v>
      </c>
      <c r="B41" s="463">
        <v>1</v>
      </c>
      <c r="C41" s="1060">
        <v>1</v>
      </c>
      <c r="D41" s="1062" t="s">
        <v>643</v>
      </c>
    </row>
    <row r="42" spans="1:4" ht="15" customHeight="1">
      <c r="A42" s="526" t="s">
        <v>772</v>
      </c>
      <c r="B42" s="468">
        <v>5</v>
      </c>
      <c r="C42" s="468">
        <v>5</v>
      </c>
      <c r="D42" s="1065" t="s">
        <v>643</v>
      </c>
    </row>
    <row r="43" spans="1:4" ht="12.4" customHeight="1">
      <c r="A43" s="1474" t="s">
        <v>136</v>
      </c>
      <c r="B43" s="608" t="s">
        <v>324</v>
      </c>
      <c r="C43" s="1473" t="str">
        <f>CONCATENATE("1) District Library Officer, ",District!A1)</f>
        <v>1) District Library Officer, Nadia</v>
      </c>
      <c r="D43" s="1473"/>
    </row>
    <row r="44" spans="1:4" ht="12.4" customHeight="1">
      <c r="A44" s="1475"/>
      <c r="B44" s="288"/>
      <c r="C44" s="609" t="s">
        <v>1590</v>
      </c>
      <c r="D44" s="609"/>
    </row>
    <row r="45" spans="1:4" ht="12.4" customHeight="1">
      <c r="A45" s="1475"/>
    </row>
    <row r="46" spans="1:4" ht="12.4" customHeight="1">
      <c r="A46" s="1475"/>
      <c r="B46" s="6"/>
      <c r="C46" s="6"/>
      <c r="D46" s="6"/>
    </row>
    <row r="47" spans="1:4" ht="12" customHeight="1">
      <c r="A47" s="1475"/>
    </row>
    <row r="48" spans="1:4" ht="17.25" customHeight="1">
      <c r="A48" s="1475"/>
    </row>
    <row r="50" spans="1:1" ht="12.4" customHeight="1">
      <c r="A50" s="1037" t="s">
        <v>939</v>
      </c>
    </row>
  </sheetData>
  <mergeCells count="5">
    <mergeCell ref="A1:D1"/>
    <mergeCell ref="A2:D2"/>
    <mergeCell ref="C43:D43"/>
    <mergeCell ref="B11:D11"/>
    <mergeCell ref="A43:A48"/>
  </mergeCells>
  <phoneticPr fontId="0" type="noConversion"/>
  <printOptions horizontalCentered="1"/>
  <pageMargins left="0.1" right="0.1" top="0.65" bottom="0.1" header="0.56000000000000005" footer="0.1"/>
  <pageSetup paperSize="9" orientation="portrait" blackAndWhite="1" r:id="rId1"/>
  <headerFooter alignWithMargins="0"/>
</worksheet>
</file>

<file path=xl/worksheets/sheet41.xml><?xml version="1.0" encoding="utf-8"?>
<worksheet xmlns="http://schemas.openxmlformats.org/spreadsheetml/2006/main" xmlns:r="http://schemas.openxmlformats.org/officeDocument/2006/relationships">
  <sheetPr codeName="Sheet36"/>
  <dimension ref="A1:L57"/>
  <sheetViews>
    <sheetView workbookViewId="0">
      <selection activeCell="I31" sqref="I31"/>
    </sheetView>
  </sheetViews>
  <sheetFormatPr defaultRowHeight="12.4" customHeight="1"/>
  <cols>
    <col min="1" max="1" width="22.140625" style="405" customWidth="1"/>
    <col min="2" max="2" width="18.7109375" style="405" customWidth="1"/>
    <col min="3" max="4" width="20.42578125" style="405" customWidth="1"/>
    <col min="5" max="16384" width="9.140625" style="405"/>
  </cols>
  <sheetData>
    <row r="1" spans="1:12" ht="12.4" customHeight="1">
      <c r="A1" s="1261" t="s">
        <v>452</v>
      </c>
      <c r="B1" s="1261"/>
      <c r="C1" s="1261"/>
      <c r="D1" s="1261"/>
    </row>
    <row r="2" spans="1:12" s="412" customFormat="1" ht="14.25" customHeight="1">
      <c r="A2" s="1297" t="str">
        <f>CONCATENATE("Cinema Houses in the district of ",District!A1)</f>
        <v>Cinema Houses in the district of Nadia</v>
      </c>
      <c r="B2" s="1297"/>
      <c r="C2" s="1297"/>
      <c r="D2" s="1297"/>
    </row>
    <row r="3" spans="1:12" s="412" customFormat="1" ht="12.4" customHeight="1">
      <c r="A3" s="610"/>
      <c r="B3" s="611"/>
      <c r="C3" s="611"/>
      <c r="D3" s="612"/>
    </row>
    <row r="4" spans="1:12" ht="26.25" customHeight="1">
      <c r="A4" s="613" t="s">
        <v>107</v>
      </c>
      <c r="B4" s="219" t="s">
        <v>909</v>
      </c>
      <c r="C4" s="219" t="s">
        <v>910</v>
      </c>
      <c r="D4" s="233" t="s">
        <v>468</v>
      </c>
    </row>
    <row r="5" spans="1:12" ht="15.75" customHeight="1">
      <c r="A5" s="225" t="s">
        <v>163</v>
      </c>
      <c r="B5" s="225" t="s">
        <v>164</v>
      </c>
      <c r="C5" s="225" t="s">
        <v>165</v>
      </c>
      <c r="D5" s="225" t="s">
        <v>166</v>
      </c>
    </row>
    <row r="6" spans="1:12" ht="15.75" customHeight="1">
      <c r="A6" s="204" t="s">
        <v>1340</v>
      </c>
      <c r="B6" s="421">
        <v>25</v>
      </c>
      <c r="C6" s="81">
        <v>17743</v>
      </c>
      <c r="D6" s="81">
        <v>2719491</v>
      </c>
    </row>
    <row r="7" spans="1:12" ht="15.75" customHeight="1">
      <c r="A7" s="81" t="s">
        <v>1339</v>
      </c>
      <c r="B7" s="46">
        <v>25</v>
      </c>
      <c r="C7" s="463">
        <v>17743</v>
      </c>
      <c r="D7" s="463">
        <v>1213917</v>
      </c>
    </row>
    <row r="8" spans="1:12" ht="15.75" customHeight="1">
      <c r="A8" s="81" t="s">
        <v>1200</v>
      </c>
      <c r="B8" s="46">
        <v>24</v>
      </c>
      <c r="C8" s="81">
        <v>16934</v>
      </c>
      <c r="D8" s="81">
        <v>1580006</v>
      </c>
    </row>
    <row r="9" spans="1:12" ht="15.75" customHeight="1">
      <c r="A9" s="81" t="s">
        <v>1223</v>
      </c>
      <c r="B9" s="46">
        <v>23</v>
      </c>
      <c r="C9" s="81">
        <v>16108</v>
      </c>
      <c r="D9" s="81">
        <v>1247763</v>
      </c>
    </row>
    <row r="10" spans="1:12" ht="15.75" customHeight="1">
      <c r="A10" s="129" t="s">
        <v>720</v>
      </c>
      <c r="B10" s="129">
        <f>SUM(B12,B17,B27,B37)</f>
        <v>22</v>
      </c>
      <c r="C10" s="129">
        <f>SUM(C12,C17,C27,C37)</f>
        <v>15286</v>
      </c>
      <c r="D10" s="129">
        <f>SUM(D12,D17,D27,D37)</f>
        <v>2714183</v>
      </c>
    </row>
    <row r="11" spans="1:12" ht="25.5" customHeight="1">
      <c r="A11" s="403" t="s">
        <v>690</v>
      </c>
      <c r="B11" s="1384" t="str">
        <f>"Year : "  &amp; A10</f>
        <v>Year : 2013-14</v>
      </c>
      <c r="C11" s="1476"/>
      <c r="D11" s="1477"/>
      <c r="I11" s="45"/>
      <c r="J11" s="464"/>
      <c r="K11" s="464"/>
      <c r="L11" s="464"/>
    </row>
    <row r="12" spans="1:12" ht="15.75" customHeight="1">
      <c r="A12" s="523" t="s">
        <v>1194</v>
      </c>
      <c r="B12" s="193">
        <f>SUM(B13:B16)</f>
        <v>3</v>
      </c>
      <c r="C12" s="193">
        <f>SUM(C13:C16)</f>
        <v>1789</v>
      </c>
      <c r="D12" s="193">
        <f>SUM(D13:D16)</f>
        <v>125835</v>
      </c>
      <c r="I12" s="45"/>
      <c r="J12" s="45"/>
      <c r="K12" s="464"/>
      <c r="L12" s="464"/>
    </row>
    <row r="13" spans="1:12" ht="15.75" customHeight="1">
      <c r="A13" s="524" t="s">
        <v>802</v>
      </c>
      <c r="B13" s="1062" t="s">
        <v>643</v>
      </c>
      <c r="C13" s="1062" t="s">
        <v>643</v>
      </c>
      <c r="D13" s="1062" t="s">
        <v>643</v>
      </c>
      <c r="I13" s="45"/>
      <c r="J13" s="45"/>
      <c r="K13" s="45"/>
      <c r="L13" s="45"/>
    </row>
    <row r="14" spans="1:12" ht="15.75" customHeight="1">
      <c r="A14" s="524" t="s">
        <v>1119</v>
      </c>
      <c r="B14" s="1062" t="s">
        <v>643</v>
      </c>
      <c r="C14" s="1062" t="s">
        <v>643</v>
      </c>
      <c r="D14" s="1062" t="s">
        <v>643</v>
      </c>
      <c r="I14" s="45"/>
      <c r="J14" s="45"/>
      <c r="K14" s="45"/>
      <c r="L14" s="45"/>
    </row>
    <row r="15" spans="1:12" ht="15.75" customHeight="1">
      <c r="A15" s="524" t="s">
        <v>1121</v>
      </c>
      <c r="B15" s="463">
        <v>2</v>
      </c>
      <c r="C15" s="463">
        <v>1189</v>
      </c>
      <c r="D15" s="463">
        <v>121288</v>
      </c>
    </row>
    <row r="16" spans="1:12" ht="15.75" customHeight="1">
      <c r="A16" s="524" t="s">
        <v>1225</v>
      </c>
      <c r="B16" s="463">
        <v>1</v>
      </c>
      <c r="C16" s="463">
        <v>600</v>
      </c>
      <c r="D16" s="482">
        <v>4547</v>
      </c>
    </row>
    <row r="17" spans="1:4" ht="15.75" customHeight="1">
      <c r="A17" s="523" t="s">
        <v>1264</v>
      </c>
      <c r="B17" s="118">
        <f>SUM(B18:B26)</f>
        <v>8</v>
      </c>
      <c r="C17" s="118">
        <f>SUM(C18:C26)</f>
        <v>5047</v>
      </c>
      <c r="D17" s="118">
        <f>SUM(D18:D26)</f>
        <v>878195</v>
      </c>
    </row>
    <row r="18" spans="1:4" ht="15.75" customHeight="1">
      <c r="A18" s="524" t="s">
        <v>1122</v>
      </c>
      <c r="B18" s="463">
        <v>1</v>
      </c>
      <c r="C18" s="463">
        <v>618</v>
      </c>
      <c r="D18" s="463">
        <v>41977</v>
      </c>
    </row>
    <row r="19" spans="1:4" ht="15.75" customHeight="1">
      <c r="A19" s="524" t="s">
        <v>1123</v>
      </c>
      <c r="B19" s="463">
        <v>1</v>
      </c>
      <c r="C19" s="463">
        <v>814</v>
      </c>
      <c r="D19" s="463">
        <v>57736</v>
      </c>
    </row>
    <row r="20" spans="1:4" ht="15.75" customHeight="1">
      <c r="A20" s="524" t="s">
        <v>1124</v>
      </c>
      <c r="B20" s="463">
        <v>2</v>
      </c>
      <c r="C20" s="463">
        <v>1036</v>
      </c>
      <c r="D20" s="463">
        <v>28926</v>
      </c>
    </row>
    <row r="21" spans="1:4" ht="15.75" customHeight="1">
      <c r="A21" s="524" t="s">
        <v>1125</v>
      </c>
      <c r="B21" s="463">
        <v>1</v>
      </c>
      <c r="C21" s="463">
        <v>525</v>
      </c>
      <c r="D21" s="463">
        <v>20078</v>
      </c>
    </row>
    <row r="22" spans="1:4" ht="15.75" customHeight="1">
      <c r="A22" s="524" t="s">
        <v>1126</v>
      </c>
      <c r="B22" s="1062" t="s">
        <v>643</v>
      </c>
      <c r="C22" s="1062" t="s">
        <v>643</v>
      </c>
      <c r="D22" s="1062" t="s">
        <v>643</v>
      </c>
    </row>
    <row r="23" spans="1:4" ht="15.75" customHeight="1">
      <c r="A23" s="524" t="s">
        <v>1127</v>
      </c>
      <c r="B23" s="463">
        <v>1</v>
      </c>
      <c r="C23" s="463">
        <v>681</v>
      </c>
      <c r="D23" s="463">
        <v>628871</v>
      </c>
    </row>
    <row r="24" spans="1:4" ht="15.75" customHeight="1">
      <c r="A24" s="524" t="s">
        <v>1128</v>
      </c>
      <c r="B24" s="1062" t="s">
        <v>643</v>
      </c>
      <c r="C24" s="1062" t="s">
        <v>643</v>
      </c>
      <c r="D24" s="1062" t="s">
        <v>643</v>
      </c>
    </row>
    <row r="25" spans="1:4" ht="15.75" customHeight="1">
      <c r="A25" s="524" t="s">
        <v>90</v>
      </c>
      <c r="B25" s="1062" t="s">
        <v>643</v>
      </c>
      <c r="C25" s="1062" t="s">
        <v>643</v>
      </c>
      <c r="D25" s="1062" t="s">
        <v>643</v>
      </c>
    </row>
    <row r="26" spans="1:4" ht="15.75" customHeight="1">
      <c r="A26" s="524" t="s">
        <v>1130</v>
      </c>
      <c r="B26" s="463">
        <v>2</v>
      </c>
      <c r="C26" s="463">
        <v>1373</v>
      </c>
      <c r="D26" s="463">
        <v>100607</v>
      </c>
    </row>
    <row r="27" spans="1:4" ht="15.75" customHeight="1">
      <c r="A27" s="523" t="s">
        <v>805</v>
      </c>
      <c r="B27" s="118">
        <f>SUM(B28:B36)</f>
        <v>6</v>
      </c>
      <c r="C27" s="118">
        <f>SUM(C28:C36)</f>
        <v>4977</v>
      </c>
      <c r="D27" s="118">
        <f>SUM(D28:D36)</f>
        <v>1329476</v>
      </c>
    </row>
    <row r="28" spans="1:4" ht="15.75" customHeight="1">
      <c r="A28" s="524" t="s">
        <v>1131</v>
      </c>
      <c r="B28" s="463">
        <v>1</v>
      </c>
      <c r="C28" s="463">
        <v>715</v>
      </c>
      <c r="D28" s="463">
        <v>22961</v>
      </c>
    </row>
    <row r="29" spans="1:4" ht="15.75" customHeight="1">
      <c r="A29" s="524" t="s">
        <v>1133</v>
      </c>
      <c r="B29" s="463">
        <v>1</v>
      </c>
      <c r="C29" s="463">
        <v>782</v>
      </c>
      <c r="D29" s="463">
        <v>4403</v>
      </c>
    </row>
    <row r="30" spans="1:4" ht="15.75" customHeight="1">
      <c r="A30" s="524" t="s">
        <v>1134</v>
      </c>
      <c r="B30" s="1062" t="s">
        <v>643</v>
      </c>
      <c r="C30" s="1062" t="s">
        <v>643</v>
      </c>
      <c r="D30" s="1062" t="s">
        <v>643</v>
      </c>
    </row>
    <row r="31" spans="1:4" ht="15.75" customHeight="1">
      <c r="A31" s="524" t="s">
        <v>1623</v>
      </c>
      <c r="B31" s="463">
        <v>1</v>
      </c>
      <c r="C31" s="463">
        <v>936</v>
      </c>
      <c r="D31" s="1062">
        <v>20429</v>
      </c>
    </row>
    <row r="32" spans="1:4" ht="15.75" customHeight="1">
      <c r="A32" s="524" t="s">
        <v>768</v>
      </c>
      <c r="B32" s="463">
        <v>2</v>
      </c>
      <c r="C32" s="463">
        <v>1738</v>
      </c>
      <c r="D32" s="463">
        <v>1280671</v>
      </c>
    </row>
    <row r="33" spans="1:4" ht="15.75" customHeight="1">
      <c r="A33" s="524" t="s">
        <v>1625</v>
      </c>
      <c r="B33" s="463">
        <v>1</v>
      </c>
      <c r="C33" s="463">
        <v>806</v>
      </c>
      <c r="D33" s="482">
        <v>1012</v>
      </c>
    </row>
    <row r="34" spans="1:4" ht="15.75" customHeight="1">
      <c r="A34" s="524" t="s">
        <v>1626</v>
      </c>
      <c r="B34" s="1062" t="s">
        <v>643</v>
      </c>
      <c r="C34" s="1062" t="s">
        <v>643</v>
      </c>
      <c r="D34" s="1062" t="s">
        <v>643</v>
      </c>
    </row>
    <row r="35" spans="1:4" ht="15.75" customHeight="1">
      <c r="A35" s="524" t="s">
        <v>714</v>
      </c>
      <c r="B35" s="1062" t="s">
        <v>643</v>
      </c>
      <c r="C35" s="1062" t="s">
        <v>643</v>
      </c>
      <c r="D35" s="1062" t="s">
        <v>643</v>
      </c>
    </row>
    <row r="36" spans="1:4" ht="15.75" customHeight="1">
      <c r="A36" s="524" t="s">
        <v>1238</v>
      </c>
      <c r="B36" s="1062" t="s">
        <v>643</v>
      </c>
      <c r="C36" s="1062" t="s">
        <v>643</v>
      </c>
      <c r="D36" s="1062" t="s">
        <v>643</v>
      </c>
    </row>
    <row r="37" spans="1:4" ht="15.75" customHeight="1">
      <c r="A37" s="523" t="s">
        <v>1265</v>
      </c>
      <c r="B37" s="118">
        <f>SUM(B38:B42)</f>
        <v>5</v>
      </c>
      <c r="C37" s="118">
        <f>SUM(C38:C42)</f>
        <v>3473</v>
      </c>
      <c r="D37" s="118">
        <f>SUM(D38:D42)</f>
        <v>380677</v>
      </c>
    </row>
    <row r="38" spans="1:4" ht="15.75" customHeight="1">
      <c r="A38" s="524" t="s">
        <v>769</v>
      </c>
      <c r="B38" s="463">
        <v>1</v>
      </c>
      <c r="C38" s="463">
        <v>570</v>
      </c>
      <c r="D38" s="463">
        <v>26403</v>
      </c>
    </row>
    <row r="39" spans="1:4" ht="15.75" customHeight="1">
      <c r="A39" s="524" t="s">
        <v>770</v>
      </c>
      <c r="B39" s="463">
        <v>1</v>
      </c>
      <c r="C39" s="463">
        <v>909</v>
      </c>
      <c r="D39" s="463">
        <v>176503</v>
      </c>
    </row>
    <row r="40" spans="1:4" ht="15.75" customHeight="1">
      <c r="A40" s="524" t="s">
        <v>771</v>
      </c>
      <c r="B40" s="463">
        <v>2</v>
      </c>
      <c r="C40" s="463">
        <v>1490</v>
      </c>
      <c r="D40" s="463">
        <v>163211</v>
      </c>
    </row>
    <row r="41" spans="1:4" ht="15.75" customHeight="1">
      <c r="A41" s="524" t="s">
        <v>1629</v>
      </c>
      <c r="B41" s="1062" t="s">
        <v>643</v>
      </c>
      <c r="C41" s="1062" t="s">
        <v>643</v>
      </c>
      <c r="D41" s="1062" t="s">
        <v>643</v>
      </c>
    </row>
    <row r="42" spans="1:4" ht="15.75" customHeight="1">
      <c r="A42" s="526" t="s">
        <v>772</v>
      </c>
      <c r="B42" s="468">
        <v>1</v>
      </c>
      <c r="C42" s="468">
        <v>504</v>
      </c>
      <c r="D42" s="605">
        <v>14560</v>
      </c>
    </row>
    <row r="43" spans="1:4" ht="11.25" customHeight="1">
      <c r="A43" s="336"/>
      <c r="B43" s="280" t="s">
        <v>1247</v>
      </c>
      <c r="C43" s="561" t="s">
        <v>879</v>
      </c>
      <c r="D43" s="18"/>
    </row>
    <row r="44" spans="1:4" ht="11.25" customHeight="1">
      <c r="A44" s="337"/>
      <c r="B44" s="280" t="s">
        <v>1248</v>
      </c>
      <c r="C44" s="561" t="s">
        <v>881</v>
      </c>
      <c r="D44" s="18"/>
    </row>
    <row r="45" spans="1:4" ht="11.25" customHeight="1">
      <c r="A45" s="337"/>
      <c r="B45" s="280"/>
      <c r="C45" s="561" t="s">
        <v>882</v>
      </c>
      <c r="D45" s="18"/>
    </row>
    <row r="46" spans="1:4" ht="11.25" customHeight="1">
      <c r="A46" s="337"/>
      <c r="B46" s="280" t="s">
        <v>137</v>
      </c>
      <c r="C46" s="561" t="s">
        <v>880</v>
      </c>
      <c r="D46" s="18"/>
    </row>
    <row r="47" spans="1:4" ht="11.25" customHeight="1">
      <c r="A47" s="337"/>
      <c r="B47" s="267"/>
      <c r="C47" s="18"/>
      <c r="D47" s="18"/>
    </row>
    <row r="48" spans="1:4" ht="12.4" customHeight="1">
      <c r="A48" s="438"/>
      <c r="B48" s="614"/>
      <c r="C48" s="604"/>
      <c r="D48" s="604"/>
    </row>
    <row r="49" spans="1:4" ht="12.4" customHeight="1">
      <c r="A49" s="438"/>
    </row>
    <row r="50" spans="1:4" ht="12.4" customHeight="1">
      <c r="C50" s="604"/>
      <c r="D50" s="604"/>
    </row>
    <row r="51" spans="1:4" ht="12.4" customHeight="1">
      <c r="C51" s="604"/>
      <c r="D51" s="604"/>
    </row>
    <row r="56" spans="1:4" ht="12.4" customHeight="1">
      <c r="A56" s="604"/>
      <c r="B56" s="604"/>
      <c r="C56" s="604"/>
      <c r="D56" s="604"/>
    </row>
    <row r="57" spans="1:4" ht="12.4" customHeight="1">
      <c r="A57" s="604"/>
      <c r="B57" s="604"/>
      <c r="C57" s="604"/>
      <c r="D57" s="604"/>
    </row>
  </sheetData>
  <mergeCells count="3">
    <mergeCell ref="A2:D2"/>
    <mergeCell ref="B11:D11"/>
    <mergeCell ref="A1:D1"/>
  </mergeCells>
  <phoneticPr fontId="0" type="noConversion"/>
  <printOptions horizontalCentered="1"/>
  <pageMargins left="0.1" right="0.1" top="0.63" bottom="0.1" header="0.41" footer="0.1"/>
  <pageSetup paperSize="9" orientation="portrait" blackAndWhite="1" r:id="rId1"/>
  <headerFooter alignWithMargins="0"/>
</worksheet>
</file>

<file path=xl/worksheets/sheet42.xml><?xml version="1.0" encoding="utf-8"?>
<worksheet xmlns="http://schemas.openxmlformats.org/spreadsheetml/2006/main" xmlns:r="http://schemas.openxmlformats.org/officeDocument/2006/relationships">
  <dimension ref="A1:J25"/>
  <sheetViews>
    <sheetView workbookViewId="0">
      <selection activeCell="H8" sqref="H8"/>
    </sheetView>
  </sheetViews>
  <sheetFormatPr defaultRowHeight="12.75"/>
  <cols>
    <col min="1" max="1" width="13.85546875" style="405" customWidth="1"/>
    <col min="2" max="2" width="20.28515625" style="405" customWidth="1"/>
    <col min="3" max="8" width="16.7109375" style="405" customWidth="1"/>
    <col min="9" max="16384" width="9.140625" style="405"/>
  </cols>
  <sheetData>
    <row r="1" spans="1:10" ht="12.75" customHeight="1">
      <c r="A1" s="432"/>
      <c r="B1" s="1435" t="s">
        <v>453</v>
      </c>
      <c r="C1" s="1435"/>
      <c r="D1" s="1435"/>
      <c r="E1" s="1435"/>
      <c r="F1" s="1435"/>
      <c r="G1" s="1435"/>
      <c r="H1" s="1435"/>
    </row>
    <row r="2" spans="1:10" ht="16.5">
      <c r="A2" s="433"/>
      <c r="B2" s="1297" t="str">
        <f>CONCATENATE("Newspapers and Periodicals published in the district of ",District!A1)</f>
        <v>Newspapers and Periodicals published in the district of Nadia</v>
      </c>
      <c r="C2" s="1297"/>
      <c r="D2" s="1297"/>
      <c r="E2" s="1297"/>
      <c r="F2" s="1479"/>
      <c r="G2" s="1479"/>
      <c r="H2" s="1479"/>
    </row>
    <row r="3" spans="1:10">
      <c r="A3" s="433"/>
      <c r="H3" s="27" t="s">
        <v>223</v>
      </c>
    </row>
    <row r="4" spans="1:10" s="5" customFormat="1" ht="26.25" customHeight="1">
      <c r="A4" s="195"/>
      <c r="B4" s="219" t="s">
        <v>984</v>
      </c>
      <c r="C4" s="204" t="s">
        <v>525</v>
      </c>
      <c r="D4" s="204" t="s">
        <v>526</v>
      </c>
      <c r="E4" s="204" t="s">
        <v>527</v>
      </c>
      <c r="F4" s="204" t="s">
        <v>528</v>
      </c>
      <c r="G4" s="204" t="s">
        <v>320</v>
      </c>
      <c r="H4" s="204" t="s">
        <v>210</v>
      </c>
    </row>
    <row r="5" spans="1:10">
      <c r="A5" s="433"/>
      <c r="B5" s="514" t="s">
        <v>163</v>
      </c>
      <c r="C5" s="225" t="s">
        <v>164</v>
      </c>
      <c r="D5" s="225" t="s">
        <v>165</v>
      </c>
      <c r="E5" s="225" t="s">
        <v>166</v>
      </c>
      <c r="F5" s="304" t="s">
        <v>167</v>
      </c>
      <c r="G5" s="304" t="s">
        <v>168</v>
      </c>
      <c r="H5" s="304" t="s">
        <v>169</v>
      </c>
    </row>
    <row r="6" spans="1:10" ht="24.95" customHeight="1">
      <c r="A6" s="433"/>
      <c r="B6" s="81">
        <v>2010</v>
      </c>
      <c r="C6" s="167" t="s">
        <v>643</v>
      </c>
      <c r="D6" s="462">
        <v>8</v>
      </c>
      <c r="E6" s="462">
        <v>29</v>
      </c>
      <c r="F6" s="462">
        <v>8</v>
      </c>
      <c r="G6" s="462">
        <v>6</v>
      </c>
      <c r="H6" s="463">
        <v>51</v>
      </c>
      <c r="J6" s="450"/>
    </row>
    <row r="7" spans="1:10" ht="24.95" customHeight="1">
      <c r="A7" s="433"/>
      <c r="B7" s="81">
        <v>2011</v>
      </c>
      <c r="C7" s="167" t="s">
        <v>643</v>
      </c>
      <c r="D7" s="174">
        <v>8</v>
      </c>
      <c r="E7" s="174">
        <v>30</v>
      </c>
      <c r="F7" s="174">
        <v>12</v>
      </c>
      <c r="G7" s="174">
        <v>6</v>
      </c>
      <c r="H7" s="463">
        <v>55</v>
      </c>
    </row>
    <row r="8" spans="1:10" ht="24.95" customHeight="1">
      <c r="A8" s="433"/>
      <c r="B8" s="81">
        <v>2012</v>
      </c>
      <c r="C8" s="167" t="s">
        <v>643</v>
      </c>
      <c r="D8" s="174">
        <v>8</v>
      </c>
      <c r="E8" s="174">
        <v>24</v>
      </c>
      <c r="F8" s="174">
        <v>8</v>
      </c>
      <c r="G8" s="174">
        <v>3</v>
      </c>
      <c r="H8" s="463">
        <v>43</v>
      </c>
    </row>
    <row r="9" spans="1:10" ht="24.95" customHeight="1">
      <c r="A9" s="433"/>
      <c r="B9" s="81">
        <v>2013</v>
      </c>
      <c r="C9" s="167" t="s">
        <v>643</v>
      </c>
      <c r="D9" s="174">
        <v>7</v>
      </c>
      <c r="E9" s="174">
        <v>24</v>
      </c>
      <c r="F9" s="174">
        <v>8</v>
      </c>
      <c r="G9" s="174">
        <v>3</v>
      </c>
      <c r="H9" s="463">
        <v>42</v>
      </c>
    </row>
    <row r="10" spans="1:10" ht="24.95" customHeight="1">
      <c r="A10" s="433"/>
      <c r="B10" s="81">
        <v>2014</v>
      </c>
      <c r="C10" s="175" t="str">
        <f>IF(SUM(C12:C16)=0,"-",SUM(C12:C16))</f>
        <v>-</v>
      </c>
      <c r="D10" s="175">
        <v>7</v>
      </c>
      <c r="E10" s="175">
        <v>24</v>
      </c>
      <c r="F10" s="175">
        <v>8</v>
      </c>
      <c r="G10" s="175">
        <v>3</v>
      </c>
      <c r="H10" s="463">
        <f>SUM(C10:G10)</f>
        <v>42</v>
      </c>
    </row>
    <row r="11" spans="1:10" ht="15.95" customHeight="1">
      <c r="A11" s="433"/>
      <c r="B11" s="305" t="s">
        <v>346</v>
      </c>
      <c r="C11" s="1385" t="str">
        <f>"Year : " &amp; B10</f>
        <v>Year : 2014</v>
      </c>
      <c r="D11" s="1385"/>
      <c r="E11" s="1385"/>
      <c r="F11" s="1385"/>
      <c r="G11" s="1385"/>
      <c r="H11" s="1386"/>
    </row>
    <row r="12" spans="1:10" ht="24.95" customHeight="1">
      <c r="A12" s="433"/>
      <c r="B12" s="81" t="s">
        <v>529</v>
      </c>
      <c r="C12" s="169" t="s">
        <v>643</v>
      </c>
      <c r="D12" s="615">
        <v>7</v>
      </c>
      <c r="E12" s="461">
        <v>24</v>
      </c>
      <c r="F12" s="615">
        <v>8</v>
      </c>
      <c r="G12" s="615">
        <v>3</v>
      </c>
      <c r="H12" s="421">
        <f>IF(SUM(C12:G12)=0,"-",SUM(C12:G12))</f>
        <v>42</v>
      </c>
    </row>
    <row r="13" spans="1:10" ht="24.95" customHeight="1">
      <c r="A13" s="433"/>
      <c r="B13" s="81" t="s">
        <v>530</v>
      </c>
      <c r="C13" s="170" t="s">
        <v>643</v>
      </c>
      <c r="D13" s="462" t="s">
        <v>643</v>
      </c>
      <c r="E13" s="461" t="s">
        <v>643</v>
      </c>
      <c r="F13" s="462" t="s">
        <v>643</v>
      </c>
      <c r="G13" s="462" t="s">
        <v>643</v>
      </c>
      <c r="H13" s="421" t="str">
        <f>IF(SUM(C13:G13)=0,"-",SUM(C13:G13))</f>
        <v>-</v>
      </c>
    </row>
    <row r="14" spans="1:10" ht="24.95" customHeight="1">
      <c r="A14" s="433"/>
      <c r="B14" s="81" t="s">
        <v>531</v>
      </c>
      <c r="C14" s="170" t="s">
        <v>643</v>
      </c>
      <c r="D14" s="462" t="s">
        <v>643</v>
      </c>
      <c r="E14" s="461" t="s">
        <v>643</v>
      </c>
      <c r="F14" s="462" t="s">
        <v>74</v>
      </c>
      <c r="G14" s="462" t="s">
        <v>643</v>
      </c>
      <c r="H14" s="421" t="str">
        <f>IF(SUM(C14:G14)=0,"-",SUM(C14:G14))</f>
        <v>-</v>
      </c>
    </row>
    <row r="15" spans="1:10" ht="24.95" customHeight="1">
      <c r="A15" s="433"/>
      <c r="B15" s="81" t="s">
        <v>532</v>
      </c>
      <c r="C15" s="170" t="s">
        <v>643</v>
      </c>
      <c r="D15" s="462" t="s">
        <v>643</v>
      </c>
      <c r="E15" s="461" t="s">
        <v>643</v>
      </c>
      <c r="F15" s="462" t="s">
        <v>643</v>
      </c>
      <c r="G15" s="462" t="s">
        <v>643</v>
      </c>
      <c r="H15" s="421" t="str">
        <f>IF(SUM(C15:G15)=0,"-",SUM(C15:G15))</f>
        <v>-</v>
      </c>
    </row>
    <row r="16" spans="1:10" ht="24.95" customHeight="1">
      <c r="A16" s="433"/>
      <c r="B16" s="129" t="s">
        <v>320</v>
      </c>
      <c r="C16" s="170" t="s">
        <v>643</v>
      </c>
      <c r="D16" s="462" t="s">
        <v>643</v>
      </c>
      <c r="E16" s="461" t="s">
        <v>643</v>
      </c>
      <c r="F16" s="462" t="s">
        <v>643</v>
      </c>
      <c r="G16" s="616" t="s">
        <v>643</v>
      </c>
      <c r="H16" s="421" t="str">
        <f>IF(SUM(C16:G16)=0,"-",SUM(C16:G16))</f>
        <v>-</v>
      </c>
    </row>
    <row r="17" spans="1:8" ht="24.95" customHeight="1">
      <c r="A17" s="433"/>
      <c r="B17" s="305" t="s">
        <v>210</v>
      </c>
      <c r="C17" s="305" t="str">
        <f t="shared" ref="C17" si="0">IF(SUM(C12:C16)=0,"-",SUM(C12:C16))</f>
        <v>-</v>
      </c>
      <c r="D17" s="305">
        <v>7</v>
      </c>
      <c r="E17" s="477">
        <v>24</v>
      </c>
      <c r="F17" s="305">
        <v>8</v>
      </c>
      <c r="G17" s="305">
        <v>3</v>
      </c>
      <c r="H17" s="306">
        <v>42</v>
      </c>
    </row>
    <row r="18" spans="1:8">
      <c r="A18" s="433"/>
      <c r="B18" s="604"/>
      <c r="C18" s="604"/>
      <c r="D18" s="1478" t="str">
        <f>CONCATENATE("Source : Dist. Information &amp; Cultural Officer, ",District!A1)</f>
        <v>Source : Dist. Information &amp; Cultural Officer, Nadia</v>
      </c>
      <c r="E18" s="1478"/>
      <c r="F18" s="1478"/>
      <c r="G18" s="1478"/>
      <c r="H18" s="1478"/>
    </row>
    <row r="19" spans="1:8">
      <c r="A19" s="433"/>
      <c r="B19" s="604"/>
      <c r="C19" s="604"/>
      <c r="D19" s="618"/>
      <c r="E19" s="618"/>
      <c r="F19" s="618"/>
      <c r="G19" s="618"/>
      <c r="H19" s="618"/>
    </row>
    <row r="20" spans="1:8">
      <c r="A20" s="433"/>
      <c r="B20" s="604"/>
      <c r="C20" s="604"/>
      <c r="D20" s="604"/>
      <c r="E20" s="604"/>
      <c r="F20" s="604"/>
      <c r="G20" s="604"/>
      <c r="H20" s="604"/>
    </row>
    <row r="21" spans="1:8">
      <c r="A21" s="433"/>
      <c r="B21" s="604"/>
      <c r="C21" s="604"/>
      <c r="D21" s="604"/>
      <c r="E21" s="604"/>
      <c r="F21" s="604"/>
      <c r="G21" s="604"/>
      <c r="H21" s="604"/>
    </row>
    <row r="22" spans="1:8">
      <c r="A22" s="433"/>
      <c r="B22" s="604"/>
      <c r="C22" s="604"/>
      <c r="D22" s="604"/>
      <c r="E22" s="604"/>
      <c r="F22" s="604"/>
      <c r="G22" s="604"/>
      <c r="H22" s="604"/>
    </row>
    <row r="23" spans="1:8">
      <c r="B23" s="604"/>
      <c r="C23" s="604"/>
      <c r="D23" s="604"/>
      <c r="E23" s="604"/>
      <c r="F23" s="604"/>
      <c r="G23" s="604"/>
      <c r="H23" s="604"/>
    </row>
    <row r="24" spans="1:8">
      <c r="B24" s="604"/>
      <c r="C24" s="604"/>
      <c r="D24" s="604"/>
      <c r="E24" s="604"/>
      <c r="F24" s="604"/>
      <c r="G24" s="604"/>
      <c r="H24" s="604"/>
    </row>
    <row r="25" spans="1:8">
      <c r="B25" s="604"/>
      <c r="C25" s="604"/>
      <c r="D25" s="604"/>
      <c r="E25" s="604"/>
      <c r="F25" s="604"/>
      <c r="G25" s="604"/>
      <c r="H25" s="604"/>
    </row>
  </sheetData>
  <mergeCells count="4">
    <mergeCell ref="B1:H1"/>
    <mergeCell ref="D18:H18"/>
    <mergeCell ref="C11:H11"/>
    <mergeCell ref="B2:H2"/>
  </mergeCells>
  <phoneticPr fontId="0" type="noConversion"/>
  <pageMargins left="0.1" right="0.1" top="1.0900000000000001" bottom="0.1" header="0.6" footer="0.5"/>
  <pageSetup paperSize="9" orientation="landscape" blackAndWhite="1" r:id="rId1"/>
  <headerFooter alignWithMargins="0"/>
</worksheet>
</file>

<file path=xl/worksheets/sheet43.xml><?xml version="1.0" encoding="utf-8"?>
<worksheet xmlns="http://schemas.openxmlformats.org/spreadsheetml/2006/main" xmlns:r="http://schemas.openxmlformats.org/officeDocument/2006/relationships">
  <dimension ref="A1:M26"/>
  <sheetViews>
    <sheetView topLeftCell="B1" workbookViewId="0">
      <selection activeCell="L10" sqref="L10"/>
    </sheetView>
  </sheetViews>
  <sheetFormatPr defaultRowHeight="12.75"/>
  <cols>
    <col min="1" max="1" width="4.7109375" style="405" customWidth="1"/>
    <col min="2" max="2" width="14.42578125" style="405" customWidth="1"/>
    <col min="3" max="3" width="11.85546875" style="405" customWidth="1"/>
    <col min="4" max="4" width="10.85546875" style="405" customWidth="1"/>
    <col min="5" max="5" width="13.42578125" style="405" customWidth="1"/>
    <col min="6" max="6" width="11.28515625" style="405" customWidth="1"/>
    <col min="7" max="7" width="13" style="405" customWidth="1"/>
    <col min="8" max="8" width="15.140625" style="405" customWidth="1"/>
    <col min="9" max="9" width="11" style="405" customWidth="1"/>
    <col min="10" max="10" width="12.42578125" style="405" customWidth="1"/>
    <col min="11" max="11" width="11" style="405" customWidth="1"/>
    <col min="12" max="12" width="12.5703125" style="405" customWidth="1"/>
    <col min="13" max="16384" width="9.140625" style="405"/>
  </cols>
  <sheetData>
    <row r="1" spans="1:13" ht="12" customHeight="1">
      <c r="A1" s="432"/>
      <c r="B1" s="1250" t="s">
        <v>454</v>
      </c>
      <c r="C1" s="1250"/>
      <c r="D1" s="1250"/>
      <c r="E1" s="1250"/>
      <c r="F1" s="1250"/>
      <c r="G1" s="1250"/>
      <c r="H1" s="1250"/>
      <c r="I1" s="1250"/>
      <c r="J1" s="1250"/>
      <c r="K1" s="1250"/>
      <c r="L1" s="1250"/>
    </row>
    <row r="2" spans="1:13" s="412" customFormat="1" ht="16.5" customHeight="1">
      <c r="A2" s="433"/>
      <c r="B2" s="1350" t="str">
        <f>CONCATENATE("Classification of Land Utilisation Statistics in the district of ",District!A1)</f>
        <v>Classification of Land Utilisation Statistics in the district of Nadia</v>
      </c>
      <c r="C2" s="1350"/>
      <c r="D2" s="1350"/>
      <c r="E2" s="1350"/>
      <c r="F2" s="1350"/>
      <c r="G2" s="1350"/>
      <c r="H2" s="1350"/>
      <c r="I2" s="1350"/>
      <c r="J2" s="1350"/>
      <c r="K2" s="1350"/>
      <c r="L2" s="1350"/>
    </row>
    <row r="3" spans="1:13">
      <c r="A3" s="435"/>
      <c r="B3" s="412"/>
      <c r="C3" s="436"/>
      <c r="D3" s="436"/>
      <c r="E3" s="436"/>
      <c r="F3" s="436"/>
      <c r="G3" s="436"/>
      <c r="H3" s="436"/>
      <c r="I3" s="13"/>
      <c r="J3" s="13"/>
      <c r="K3" s="619"/>
      <c r="L3" s="451" t="s">
        <v>599</v>
      </c>
    </row>
    <row r="4" spans="1:13" s="9" customFormat="1" ht="70.5" customHeight="1">
      <c r="A4" s="433"/>
      <c r="B4" s="204" t="s">
        <v>107</v>
      </c>
      <c r="C4" s="399" t="s">
        <v>533</v>
      </c>
      <c r="D4" s="219" t="s">
        <v>534</v>
      </c>
      <c r="E4" s="219" t="s">
        <v>863</v>
      </c>
      <c r="F4" s="219" t="s">
        <v>535</v>
      </c>
      <c r="G4" s="219" t="s">
        <v>536</v>
      </c>
      <c r="H4" s="219" t="s">
        <v>1030</v>
      </c>
      <c r="I4" s="219" t="s">
        <v>841</v>
      </c>
      <c r="J4" s="219" t="s">
        <v>1031</v>
      </c>
      <c r="K4" s="219" t="s">
        <v>539</v>
      </c>
      <c r="L4" s="219" t="s">
        <v>540</v>
      </c>
    </row>
    <row r="5" spans="1:13" s="9" customFormat="1" ht="18" customHeight="1">
      <c r="A5" s="433"/>
      <c r="B5" s="225" t="s">
        <v>163</v>
      </c>
      <c r="C5" s="537" t="s">
        <v>164</v>
      </c>
      <c r="D5" s="514" t="s">
        <v>165</v>
      </c>
      <c r="E5" s="514" t="s">
        <v>166</v>
      </c>
      <c r="F5" s="514" t="s">
        <v>167</v>
      </c>
      <c r="G5" s="514" t="s">
        <v>168</v>
      </c>
      <c r="H5" s="514" t="s">
        <v>169</v>
      </c>
      <c r="I5" s="514" t="s">
        <v>211</v>
      </c>
      <c r="J5" s="514" t="s">
        <v>212</v>
      </c>
      <c r="K5" s="514" t="s">
        <v>213</v>
      </c>
      <c r="L5" s="514" t="s">
        <v>214</v>
      </c>
    </row>
    <row r="6" spans="1:13" ht="40.5" customHeight="1">
      <c r="A6" s="433"/>
      <c r="B6" s="204" t="str">
        <f>District!D13</f>
        <v>2009-10</v>
      </c>
      <c r="C6" s="45">
        <f>SUM(D6:L6)</f>
        <v>390.66</v>
      </c>
      <c r="D6" s="151">
        <v>1.22</v>
      </c>
      <c r="E6" s="151">
        <v>88.94</v>
      </c>
      <c r="F6" s="151">
        <v>0.24</v>
      </c>
      <c r="G6" s="151">
        <v>0.05</v>
      </c>
      <c r="H6" s="151">
        <v>3.91</v>
      </c>
      <c r="I6" s="151">
        <v>0.79</v>
      </c>
      <c r="J6" s="151">
        <v>0.37</v>
      </c>
      <c r="K6" s="151">
        <v>4.4000000000000004</v>
      </c>
      <c r="L6" s="151">
        <v>290.74</v>
      </c>
    </row>
    <row r="7" spans="1:13" ht="40.5" customHeight="1">
      <c r="A7" s="433"/>
      <c r="B7" s="81" t="str">
        <f>District!D14</f>
        <v>2010-11</v>
      </c>
      <c r="C7" s="45">
        <f>SUM(D7:L7)</f>
        <v>390.65999999999997</v>
      </c>
      <c r="D7" s="151">
        <v>1.22</v>
      </c>
      <c r="E7" s="151">
        <v>90.22</v>
      </c>
      <c r="F7" s="151">
        <v>0.06</v>
      </c>
      <c r="G7" s="151">
        <v>0.06</v>
      </c>
      <c r="H7" s="151">
        <v>3.73</v>
      </c>
      <c r="I7" s="151">
        <v>0.63</v>
      </c>
      <c r="J7" s="151">
        <v>0.11</v>
      </c>
      <c r="K7" s="151">
        <v>4.18</v>
      </c>
      <c r="L7" s="151">
        <v>290.45</v>
      </c>
      <c r="M7" s="450"/>
    </row>
    <row r="8" spans="1:13" ht="40.5" customHeight="1">
      <c r="A8" s="433"/>
      <c r="B8" s="81" t="str">
        <f>District!D15</f>
        <v>2011-12</v>
      </c>
      <c r="C8" s="45">
        <f>SUM(D8:L8)</f>
        <v>390.66</v>
      </c>
      <c r="D8" s="151">
        <v>1.22</v>
      </c>
      <c r="E8" s="151">
        <v>88.45</v>
      </c>
      <c r="F8" s="151">
        <v>0.03</v>
      </c>
      <c r="G8" s="151">
        <v>0.01</v>
      </c>
      <c r="H8" s="151">
        <v>2.58</v>
      </c>
      <c r="I8" s="151">
        <v>0.57999999999999996</v>
      </c>
      <c r="J8" s="151">
        <v>0.59</v>
      </c>
      <c r="K8" s="151">
        <v>4.26</v>
      </c>
      <c r="L8" s="151">
        <v>292.94</v>
      </c>
    </row>
    <row r="9" spans="1:13" ht="40.5" customHeight="1">
      <c r="A9" s="433"/>
      <c r="B9" s="81" t="str">
        <f>District!D16</f>
        <v>2012-13</v>
      </c>
      <c r="C9" s="188">
        <f>SUM(D9:L9)</f>
        <v>390.65499999999997</v>
      </c>
      <c r="D9" s="151">
        <v>1.22</v>
      </c>
      <c r="E9" s="151">
        <v>89.02</v>
      </c>
      <c r="F9" s="151">
        <v>0.03</v>
      </c>
      <c r="G9" s="679" t="s">
        <v>643</v>
      </c>
      <c r="H9" s="151">
        <v>2.4900000000000002</v>
      </c>
      <c r="I9" s="151">
        <v>0.39500000000000002</v>
      </c>
      <c r="J9" s="151">
        <v>0.51600000000000001</v>
      </c>
      <c r="K9" s="151">
        <v>3.4340000000000002</v>
      </c>
      <c r="L9" s="151">
        <v>293.55</v>
      </c>
    </row>
    <row r="10" spans="1:13" ht="40.5" customHeight="1">
      <c r="A10" s="433"/>
      <c r="B10" s="129" t="str">
        <f>District!D17</f>
        <v>2013-14</v>
      </c>
      <c r="C10" s="160">
        <v>390.65499999999997</v>
      </c>
      <c r="D10" s="239">
        <v>1.216</v>
      </c>
      <c r="E10" s="239">
        <v>89.153999999999996</v>
      </c>
      <c r="F10" s="239">
        <v>2.8000000000000001E-2</v>
      </c>
      <c r="G10" s="1101" t="s">
        <v>643</v>
      </c>
      <c r="H10" s="239">
        <v>2.2749999999999999</v>
      </c>
      <c r="I10" s="239">
        <v>0.307</v>
      </c>
      <c r="J10" s="239">
        <v>0.433</v>
      </c>
      <c r="K10" s="239">
        <v>2.9409999999999998</v>
      </c>
      <c r="L10" s="160">
        <v>294.30099999999999</v>
      </c>
    </row>
    <row r="11" spans="1:13" ht="14.1" customHeight="1">
      <c r="A11" s="433"/>
      <c r="B11" s="604"/>
      <c r="C11" s="604"/>
      <c r="D11" s="604"/>
      <c r="E11" s="620"/>
      <c r="G11" s="36"/>
      <c r="H11" s="36"/>
      <c r="I11" s="36"/>
      <c r="J11" s="36"/>
      <c r="K11" s="36"/>
      <c r="L11" s="621" t="s">
        <v>691</v>
      </c>
    </row>
    <row r="12" spans="1:13">
      <c r="A12" s="433"/>
    </row>
    <row r="13" spans="1:13">
      <c r="A13" s="433"/>
      <c r="D13" s="450"/>
    </row>
    <row r="14" spans="1:13">
      <c r="A14" s="433"/>
    </row>
    <row r="15" spans="1:13">
      <c r="A15" s="433"/>
    </row>
    <row r="16" spans="1:13">
      <c r="A16" s="433"/>
    </row>
    <row r="17" spans="1:1">
      <c r="A17" s="433"/>
    </row>
    <row r="18" spans="1:1">
      <c r="A18" s="433"/>
    </row>
    <row r="19" spans="1:1">
      <c r="A19" s="433"/>
    </row>
    <row r="20" spans="1:1">
      <c r="A20" s="433"/>
    </row>
    <row r="26" spans="1:1" ht="13.5" customHeight="1"/>
  </sheetData>
  <mergeCells count="2">
    <mergeCell ref="B1:L1"/>
    <mergeCell ref="B2:L2"/>
  </mergeCells>
  <phoneticPr fontId="0" type="noConversion"/>
  <pageMargins left="0.13" right="0.1" top="1.43" bottom="0.16" header="0.65" footer="0.16"/>
  <pageSetup paperSize="9" orientation="landscape" blackAndWhite="1" r:id="rId1"/>
  <headerFooter alignWithMargins="0"/>
</worksheet>
</file>

<file path=xl/worksheets/sheet44.xml><?xml version="1.0" encoding="utf-8"?>
<worksheet xmlns="http://schemas.openxmlformats.org/spreadsheetml/2006/main" xmlns:r="http://schemas.openxmlformats.org/officeDocument/2006/relationships">
  <dimension ref="A1:O28"/>
  <sheetViews>
    <sheetView workbookViewId="0">
      <selection activeCell="C24" sqref="C24:D24"/>
    </sheetView>
  </sheetViews>
  <sheetFormatPr defaultRowHeight="12.75"/>
  <cols>
    <col min="1" max="1" width="5.85546875" style="405" customWidth="1"/>
    <col min="2" max="2" width="13.42578125" style="405" customWidth="1"/>
    <col min="3" max="3" width="9" style="405" customWidth="1"/>
    <col min="4" max="4" width="8.42578125" style="405" customWidth="1"/>
    <col min="5" max="5" width="9.85546875" style="405" customWidth="1"/>
    <col min="6" max="6" width="9.7109375" style="405" customWidth="1"/>
    <col min="7" max="7" width="10.28515625" style="405" customWidth="1"/>
    <col min="8" max="8" width="9.85546875" style="405" customWidth="1"/>
    <col min="9" max="9" width="10" style="405" customWidth="1"/>
    <col min="10" max="10" width="9.28515625" style="405" customWidth="1"/>
    <col min="11" max="11" width="9.7109375" style="405" customWidth="1"/>
    <col min="12" max="12" width="9.5703125" style="405" customWidth="1"/>
    <col min="13" max="14" width="9.140625" style="405"/>
    <col min="15" max="15" width="10.85546875" style="405" customWidth="1"/>
    <col min="16" max="16384" width="9.140625" style="405"/>
  </cols>
  <sheetData>
    <row r="1" spans="1:15" ht="15" customHeight="1">
      <c r="A1" s="432"/>
      <c r="B1" s="1250" t="s">
        <v>756</v>
      </c>
      <c r="C1" s="1250"/>
      <c r="D1" s="1250"/>
      <c r="E1" s="1250"/>
      <c r="F1" s="1250"/>
      <c r="G1" s="1250"/>
      <c r="H1" s="1250"/>
      <c r="I1" s="1250"/>
      <c r="J1" s="1250"/>
      <c r="K1" s="1250"/>
      <c r="L1" s="1250"/>
      <c r="M1" s="1250"/>
      <c r="N1" s="1250"/>
      <c r="O1" s="1250"/>
    </row>
    <row r="2" spans="1:15" s="412" customFormat="1" ht="19.5" customHeight="1">
      <c r="A2" s="433"/>
      <c r="B2" s="1350" t="str">
        <f>CONCATENATE("Distribution of Operational Holdings over size-classes in the district of ",District!A1)</f>
        <v>Distribution of Operational Holdings over size-classes in the district of Nadia</v>
      </c>
      <c r="C2" s="1350"/>
      <c r="D2" s="1350"/>
      <c r="E2" s="1350"/>
      <c r="F2" s="1350"/>
      <c r="G2" s="1350"/>
      <c r="H2" s="1350"/>
      <c r="I2" s="1350"/>
      <c r="J2" s="1350"/>
      <c r="K2" s="1350"/>
      <c r="L2" s="1350"/>
      <c r="M2" s="1350"/>
      <c r="N2" s="1350"/>
      <c r="O2" s="1350"/>
    </row>
    <row r="3" spans="1:15" ht="12" customHeight="1">
      <c r="A3" s="435"/>
      <c r="B3" s="412"/>
      <c r="C3" s="428"/>
      <c r="D3" s="428"/>
      <c r="E3" s="428"/>
      <c r="F3" s="428"/>
      <c r="G3" s="428"/>
      <c r="H3" s="428"/>
      <c r="I3" s="428"/>
      <c r="J3" s="428"/>
      <c r="K3" s="428"/>
      <c r="L3" s="428"/>
      <c r="M3" s="1503" t="s">
        <v>1036</v>
      </c>
      <c r="N3" s="1503"/>
      <c r="O3" s="1503"/>
    </row>
    <row r="4" spans="1:15" ht="15.75" customHeight="1">
      <c r="A4" s="433"/>
      <c r="B4" s="1257" t="s">
        <v>107</v>
      </c>
      <c r="C4" s="1268" t="s">
        <v>546</v>
      </c>
      <c r="D4" s="1265"/>
      <c r="E4" s="1265"/>
      <c r="F4" s="1265"/>
      <c r="G4" s="1265"/>
      <c r="H4" s="1265"/>
      <c r="I4" s="1265"/>
      <c r="J4" s="1265"/>
      <c r="K4" s="1265"/>
      <c r="L4" s="1265"/>
      <c r="M4" s="1265"/>
      <c r="N4" s="1266"/>
      <c r="O4" s="1495" t="s">
        <v>1035</v>
      </c>
    </row>
    <row r="5" spans="1:15" ht="18" customHeight="1">
      <c r="A5" s="433"/>
      <c r="B5" s="1270"/>
      <c r="C5" s="1253" t="s">
        <v>541</v>
      </c>
      <c r="D5" s="1252"/>
      <c r="E5" s="1253" t="s">
        <v>542</v>
      </c>
      <c r="F5" s="1252"/>
      <c r="G5" s="1253" t="s">
        <v>543</v>
      </c>
      <c r="H5" s="1252"/>
      <c r="I5" s="1253" t="s">
        <v>544</v>
      </c>
      <c r="J5" s="1252"/>
      <c r="K5" s="1253" t="s">
        <v>545</v>
      </c>
      <c r="L5" s="1252"/>
      <c r="M5" s="1251" t="s">
        <v>210</v>
      </c>
      <c r="N5" s="1252"/>
      <c r="O5" s="1504"/>
    </row>
    <row r="6" spans="1:15" ht="32.25" customHeight="1">
      <c r="A6" s="433"/>
      <c r="B6" s="1270"/>
      <c r="C6" s="484" t="s">
        <v>1034</v>
      </c>
      <c r="D6" s="485" t="s">
        <v>1406</v>
      </c>
      <c r="E6" s="484" t="s">
        <v>1034</v>
      </c>
      <c r="F6" s="485" t="s">
        <v>1406</v>
      </c>
      <c r="G6" s="484" t="s">
        <v>1034</v>
      </c>
      <c r="H6" s="485" t="s">
        <v>1406</v>
      </c>
      <c r="I6" s="484" t="s">
        <v>1034</v>
      </c>
      <c r="J6" s="485" t="s">
        <v>1406</v>
      </c>
      <c r="K6" s="484" t="s">
        <v>1034</v>
      </c>
      <c r="L6" s="485" t="s">
        <v>1406</v>
      </c>
      <c r="M6" s="484" t="s">
        <v>1034</v>
      </c>
      <c r="N6" s="485" t="s">
        <v>1406</v>
      </c>
      <c r="O6" s="1504"/>
    </row>
    <row r="7" spans="1:15" ht="21" customHeight="1">
      <c r="A7" s="433"/>
      <c r="B7" s="225" t="s">
        <v>163</v>
      </c>
      <c r="C7" s="537" t="s">
        <v>164</v>
      </c>
      <c r="D7" s="515" t="s">
        <v>165</v>
      </c>
      <c r="E7" s="537" t="s">
        <v>166</v>
      </c>
      <c r="F7" s="515" t="s">
        <v>167</v>
      </c>
      <c r="G7" s="537" t="s">
        <v>168</v>
      </c>
      <c r="H7" s="515" t="s">
        <v>169</v>
      </c>
      <c r="I7" s="537" t="s">
        <v>211</v>
      </c>
      <c r="J7" s="515" t="s">
        <v>212</v>
      </c>
      <c r="K7" s="537" t="s">
        <v>213</v>
      </c>
      <c r="L7" s="515" t="s">
        <v>214</v>
      </c>
      <c r="M7" s="513" t="s">
        <v>253</v>
      </c>
      <c r="N7" s="515" t="s">
        <v>254</v>
      </c>
      <c r="O7" s="515" t="s">
        <v>255</v>
      </c>
    </row>
    <row r="8" spans="1:15" ht="39" customHeight="1">
      <c r="A8" s="433"/>
      <c r="B8" s="129" t="s">
        <v>521</v>
      </c>
      <c r="C8" s="467">
        <v>329150</v>
      </c>
      <c r="D8" s="489">
        <v>182763</v>
      </c>
      <c r="E8" s="467">
        <v>75752</v>
      </c>
      <c r="F8" s="489">
        <v>128679</v>
      </c>
      <c r="G8" s="467">
        <v>12443</v>
      </c>
      <c r="H8" s="489">
        <v>33910</v>
      </c>
      <c r="I8" s="467">
        <v>880</v>
      </c>
      <c r="J8" s="489">
        <v>4822</v>
      </c>
      <c r="K8" s="467">
        <v>13</v>
      </c>
      <c r="L8" s="622">
        <v>415</v>
      </c>
      <c r="M8" s="488">
        <v>418238</v>
      </c>
      <c r="N8" s="489">
        <v>350589</v>
      </c>
      <c r="O8" s="489">
        <f>ROUND(N8/M8,2)</f>
        <v>0.84</v>
      </c>
    </row>
    <row r="9" spans="1:15" ht="39" customHeight="1">
      <c r="A9" s="433"/>
      <c r="B9" s="129" t="s">
        <v>1339</v>
      </c>
      <c r="C9" s="467">
        <v>338475</v>
      </c>
      <c r="D9" s="489">
        <v>188532</v>
      </c>
      <c r="E9" s="467">
        <v>73274</v>
      </c>
      <c r="F9" s="489">
        <v>123849</v>
      </c>
      <c r="G9" s="467">
        <v>11937</v>
      </c>
      <c r="H9" s="489">
        <v>34547</v>
      </c>
      <c r="I9" s="467">
        <v>500</v>
      </c>
      <c r="J9" s="489">
        <v>2534</v>
      </c>
      <c r="K9" s="467">
        <v>20</v>
      </c>
      <c r="L9" s="622">
        <v>526</v>
      </c>
      <c r="M9" s="488">
        <f>SUM(C9,E9,G9,I9,K9)</f>
        <v>424206</v>
      </c>
      <c r="N9" s="510">
        <f>SUM(D9,F9,H9,J9,L9)</f>
        <v>349988</v>
      </c>
      <c r="O9" s="489">
        <f>ROUND(N9/M9,2)</f>
        <v>0.83</v>
      </c>
    </row>
    <row r="10" spans="1:15" ht="11.85" customHeight="1">
      <c r="A10" s="433"/>
      <c r="B10" s="621" t="s">
        <v>1226</v>
      </c>
      <c r="C10" s="288" t="s">
        <v>551</v>
      </c>
      <c r="D10" s="18"/>
      <c r="E10" s="288"/>
      <c r="F10" s="288"/>
      <c r="G10" s="288"/>
      <c r="H10" s="288"/>
      <c r="I10" s="288"/>
      <c r="J10" s="1488" t="s">
        <v>887</v>
      </c>
      <c r="K10" s="1488"/>
      <c r="L10" s="1488"/>
      <c r="M10" s="1488"/>
      <c r="N10" s="1488"/>
      <c r="O10" s="1488"/>
    </row>
    <row r="11" spans="1:15" ht="11.85" customHeight="1">
      <c r="A11" s="433"/>
      <c r="B11" s="608" t="s">
        <v>1227</v>
      </c>
      <c r="C11" s="288" t="s">
        <v>1405</v>
      </c>
      <c r="D11" s="18"/>
      <c r="E11" s="288"/>
      <c r="F11" s="288"/>
      <c r="G11" s="288"/>
      <c r="H11" s="288"/>
      <c r="I11" s="288"/>
      <c r="J11" s="288"/>
      <c r="K11" s="618"/>
      <c r="L11" s="618"/>
      <c r="M11" s="618"/>
      <c r="N11" s="604"/>
    </row>
    <row r="12" spans="1:15" ht="11.85" customHeight="1">
      <c r="A12" s="433"/>
      <c r="B12" s="608" t="s">
        <v>1228</v>
      </c>
      <c r="C12" s="288" t="s">
        <v>326</v>
      </c>
      <c r="D12" s="18"/>
      <c r="E12" s="288"/>
      <c r="F12" s="288"/>
      <c r="G12" s="288"/>
      <c r="H12" s="288"/>
      <c r="I12" s="288"/>
      <c r="J12" s="288"/>
      <c r="K12" s="618"/>
      <c r="L12" s="618"/>
      <c r="M12" s="618"/>
      <c r="N12" s="604"/>
    </row>
    <row r="13" spans="1:15" ht="11.85" customHeight="1">
      <c r="A13" s="433"/>
      <c r="B13" s="608" t="s">
        <v>1229</v>
      </c>
      <c r="C13" s="288" t="s">
        <v>327</v>
      </c>
      <c r="D13" s="18"/>
      <c r="E13" s="288"/>
      <c r="F13" s="288"/>
      <c r="G13" s="288"/>
      <c r="H13" s="288"/>
      <c r="I13" s="288"/>
      <c r="J13" s="288"/>
      <c r="K13" s="618"/>
      <c r="L13" s="618"/>
      <c r="M13" s="618"/>
      <c r="N13" s="604"/>
    </row>
    <row r="14" spans="1:15" ht="12.75" customHeight="1">
      <c r="A14" s="433"/>
      <c r="B14" s="608" t="s">
        <v>1230</v>
      </c>
      <c r="C14" s="288" t="s">
        <v>553</v>
      </c>
      <c r="D14" s="18"/>
      <c r="E14" s="288"/>
      <c r="F14" s="288"/>
      <c r="G14" s="288"/>
      <c r="H14" s="288"/>
      <c r="I14" s="288"/>
      <c r="J14" s="288"/>
      <c r="K14" s="618"/>
      <c r="L14" s="618"/>
      <c r="M14" s="618"/>
      <c r="N14" s="604"/>
    </row>
    <row r="15" spans="1:15" ht="11.85" customHeight="1">
      <c r="A15" s="433"/>
      <c r="B15" s="608" t="s">
        <v>182</v>
      </c>
      <c r="C15" s="288" t="s">
        <v>183</v>
      </c>
      <c r="D15" s="288"/>
      <c r="E15" s="288"/>
      <c r="F15" s="288"/>
      <c r="G15" s="288"/>
      <c r="H15" s="288"/>
      <c r="I15" s="288"/>
      <c r="J15" s="288"/>
      <c r="K15" s="618"/>
      <c r="L15" s="618"/>
      <c r="M15" s="618"/>
      <c r="N15" s="604"/>
    </row>
    <row r="16" spans="1:15" ht="11.85" customHeight="1">
      <c r="A16" s="433"/>
      <c r="B16" s="288"/>
      <c r="C16" s="288"/>
      <c r="D16" s="288"/>
      <c r="E16" s="288"/>
      <c r="F16" s="288"/>
      <c r="G16" s="288"/>
      <c r="H16" s="288"/>
      <c r="I16" s="288"/>
      <c r="J16" s="288"/>
      <c r="K16" s="623"/>
      <c r="L16" s="623"/>
      <c r="M16" s="618"/>
      <c r="N16" s="604"/>
    </row>
    <row r="17" spans="1:15">
      <c r="A17" s="433"/>
      <c r="C17" s="1250" t="s">
        <v>755</v>
      </c>
      <c r="D17" s="1250"/>
      <c r="E17" s="1250"/>
      <c r="F17" s="1250"/>
      <c r="G17" s="1250"/>
      <c r="H17" s="1250"/>
      <c r="I17" s="1250"/>
      <c r="J17" s="1250"/>
      <c r="K17" s="1250"/>
      <c r="L17" s="1250"/>
      <c r="M17" s="1250"/>
      <c r="N17" s="1250"/>
    </row>
    <row r="18" spans="1:15" s="412" customFormat="1" ht="24.75" customHeight="1">
      <c r="A18" s="433"/>
      <c r="B18" s="405"/>
      <c r="C18" s="1355" t="str">
        <f>CONCATENATE("Area of Vested Agricultural Land distributed and Number of Beneficiaries in the district of ",District!A1)</f>
        <v>Area of Vested Agricultural Land distributed and Number of Beneficiaries in the district of Nadia</v>
      </c>
      <c r="D18" s="1355"/>
      <c r="E18" s="1355"/>
      <c r="F18" s="1355"/>
      <c r="G18" s="1355"/>
      <c r="H18" s="1355"/>
      <c r="I18" s="1355"/>
      <c r="J18" s="1355"/>
      <c r="K18" s="1355"/>
      <c r="L18" s="1355"/>
      <c r="M18" s="1355"/>
      <c r="N18" s="1355"/>
    </row>
    <row r="19" spans="1:15" s="412" customFormat="1">
      <c r="A19" s="435"/>
      <c r="D19" s="436"/>
      <c r="E19" s="428"/>
      <c r="F19" s="428"/>
      <c r="G19" s="428"/>
      <c r="H19" s="624"/>
    </row>
    <row r="20" spans="1:15" ht="20.25" customHeight="1">
      <c r="A20" s="435"/>
      <c r="B20" s="412"/>
      <c r="C20" s="1489" t="s">
        <v>602</v>
      </c>
      <c r="D20" s="1490"/>
      <c r="E20" s="1494" t="s">
        <v>1037</v>
      </c>
      <c r="F20" s="1495"/>
      <c r="G20" s="1253" t="s">
        <v>1038</v>
      </c>
      <c r="H20" s="1251"/>
      <c r="I20" s="1251"/>
      <c r="J20" s="1251"/>
      <c r="K20" s="1251"/>
      <c r="L20" s="1251"/>
      <c r="M20" s="1251"/>
      <c r="N20" s="1252"/>
      <c r="O20" s="6"/>
    </row>
    <row r="21" spans="1:15" ht="20.25" customHeight="1">
      <c r="A21" s="433"/>
      <c r="C21" s="1491"/>
      <c r="D21" s="1492"/>
      <c r="E21" s="1496"/>
      <c r="F21" s="1497"/>
      <c r="G21" s="1491" t="s">
        <v>185</v>
      </c>
      <c r="H21" s="1498"/>
      <c r="I21" s="1489" t="s">
        <v>186</v>
      </c>
      <c r="J21" s="1493"/>
      <c r="K21" s="1489" t="s">
        <v>320</v>
      </c>
      <c r="L21" s="1493"/>
      <c r="M21" s="1480" t="s">
        <v>210</v>
      </c>
      <c r="N21" s="1481"/>
      <c r="O21" s="6"/>
    </row>
    <row r="22" spans="1:15" ht="16.5" customHeight="1">
      <c r="A22" s="433"/>
      <c r="C22" s="1259" t="s">
        <v>163</v>
      </c>
      <c r="D22" s="1327"/>
      <c r="E22" s="1486" t="s">
        <v>164</v>
      </c>
      <c r="F22" s="1487"/>
      <c r="G22" s="1259" t="s">
        <v>165</v>
      </c>
      <c r="H22" s="1260"/>
      <c r="I22" s="1259" t="s">
        <v>166</v>
      </c>
      <c r="J22" s="1327"/>
      <c r="K22" s="1259" t="s">
        <v>167</v>
      </c>
      <c r="L22" s="1327"/>
      <c r="M22" s="1259" t="s">
        <v>168</v>
      </c>
      <c r="N22" s="1260"/>
      <c r="O22" s="450"/>
    </row>
    <row r="23" spans="1:15" ht="23.25" customHeight="1">
      <c r="A23" s="433"/>
      <c r="C23" s="1268" t="s">
        <v>1664</v>
      </c>
      <c r="D23" s="1266"/>
      <c r="E23" s="1482">
        <v>8999</v>
      </c>
      <c r="F23" s="1483"/>
      <c r="G23" s="1412">
        <v>31067</v>
      </c>
      <c r="H23" s="1413"/>
      <c r="I23" s="1412">
        <v>6497</v>
      </c>
      <c r="J23" s="1413"/>
      <c r="K23" s="1412">
        <v>63098</v>
      </c>
      <c r="L23" s="1413"/>
      <c r="M23" s="1268">
        <f>SUM(G23:K23)</f>
        <v>100662</v>
      </c>
      <c r="N23" s="1266"/>
      <c r="O23" s="450"/>
    </row>
    <row r="24" spans="1:15" ht="23.25" customHeight="1">
      <c r="A24" s="433"/>
      <c r="C24" s="1351" t="s">
        <v>469</v>
      </c>
      <c r="D24" s="1398"/>
      <c r="E24" s="1484">
        <v>9038</v>
      </c>
      <c r="F24" s="1485"/>
      <c r="G24" s="1396">
        <v>31376</v>
      </c>
      <c r="H24" s="1397"/>
      <c r="I24" s="1396">
        <v>6497</v>
      </c>
      <c r="J24" s="1397"/>
      <c r="K24" s="1396">
        <v>63909</v>
      </c>
      <c r="L24" s="1397"/>
      <c r="M24" s="1351">
        <f>SUM(G24:K24)</f>
        <v>101782</v>
      </c>
      <c r="N24" s="1398"/>
      <c r="O24" s="450"/>
    </row>
    <row r="25" spans="1:15" ht="23.25" customHeight="1">
      <c r="A25" s="433"/>
      <c r="C25" s="1351" t="s">
        <v>470</v>
      </c>
      <c r="D25" s="1398"/>
      <c r="E25" s="1484">
        <v>9064</v>
      </c>
      <c r="F25" s="1485"/>
      <c r="G25" s="1396">
        <v>31579</v>
      </c>
      <c r="H25" s="1397"/>
      <c r="I25" s="1396">
        <v>6497</v>
      </c>
      <c r="J25" s="1397"/>
      <c r="K25" s="1396">
        <v>64794</v>
      </c>
      <c r="L25" s="1397"/>
      <c r="M25" s="1351">
        <f>SUM(G25:K25)</f>
        <v>102870</v>
      </c>
      <c r="N25" s="1398"/>
      <c r="O25" s="450"/>
    </row>
    <row r="26" spans="1:15" ht="23.25" customHeight="1">
      <c r="A26" s="433"/>
      <c r="C26" s="1351" t="s">
        <v>1202</v>
      </c>
      <c r="D26" s="1404"/>
      <c r="E26" s="1484">
        <v>9105</v>
      </c>
      <c r="F26" s="1485"/>
      <c r="G26" s="1396">
        <v>31725</v>
      </c>
      <c r="H26" s="1397"/>
      <c r="I26" s="1396">
        <v>6530</v>
      </c>
      <c r="J26" s="1397"/>
      <c r="K26" s="1396">
        <v>65058</v>
      </c>
      <c r="L26" s="1397"/>
      <c r="M26" s="1404">
        <f>SUM(G26:K26)</f>
        <v>103313</v>
      </c>
      <c r="N26" s="1398"/>
      <c r="O26" s="450"/>
    </row>
    <row r="27" spans="1:15" ht="23.25" customHeight="1">
      <c r="A27" s="433"/>
      <c r="C27" s="1499" t="s">
        <v>400</v>
      </c>
      <c r="D27" s="1500"/>
      <c r="E27" s="1501">
        <v>8994</v>
      </c>
      <c r="F27" s="1502"/>
      <c r="G27" s="1394">
        <v>34163</v>
      </c>
      <c r="H27" s="1395"/>
      <c r="I27" s="1394">
        <v>6852</v>
      </c>
      <c r="J27" s="1395"/>
      <c r="K27" s="1394">
        <v>67689</v>
      </c>
      <c r="L27" s="1395"/>
      <c r="M27" s="1290">
        <f>SUM(G27:K27)</f>
        <v>108704</v>
      </c>
      <c r="N27" s="1325"/>
      <c r="O27" s="450"/>
    </row>
    <row r="28" spans="1:15">
      <c r="A28" s="433"/>
      <c r="I28" s="36"/>
      <c r="J28" s="36"/>
      <c r="K28" s="36"/>
      <c r="L28" s="36"/>
      <c r="N28" s="621" t="s">
        <v>692</v>
      </c>
    </row>
  </sheetData>
  <mergeCells count="58">
    <mergeCell ref="M3:O3"/>
    <mergeCell ref="B1:O1"/>
    <mergeCell ref="B4:B6"/>
    <mergeCell ref="C4:N4"/>
    <mergeCell ref="C5:D5"/>
    <mergeCell ref="E5:F5"/>
    <mergeCell ref="G5:H5"/>
    <mergeCell ref="M5:N5"/>
    <mergeCell ref="B2:O2"/>
    <mergeCell ref="K5:L5"/>
    <mergeCell ref="O4:O6"/>
    <mergeCell ref="I5:J5"/>
    <mergeCell ref="C27:D27"/>
    <mergeCell ref="E27:F27"/>
    <mergeCell ref="G27:H27"/>
    <mergeCell ref="I27:J27"/>
    <mergeCell ref="C26:D26"/>
    <mergeCell ref="E26:F26"/>
    <mergeCell ref="G26:H26"/>
    <mergeCell ref="I26:J26"/>
    <mergeCell ref="J10:O10"/>
    <mergeCell ref="C17:N17"/>
    <mergeCell ref="G20:N20"/>
    <mergeCell ref="C20:D21"/>
    <mergeCell ref="K21:L21"/>
    <mergeCell ref="I21:J21"/>
    <mergeCell ref="E20:F21"/>
    <mergeCell ref="G21:H21"/>
    <mergeCell ref="C18:N18"/>
    <mergeCell ref="C25:D25"/>
    <mergeCell ref="E25:F25"/>
    <mergeCell ref="C22:D22"/>
    <mergeCell ref="E22:F22"/>
    <mergeCell ref="I22:J22"/>
    <mergeCell ref="I24:J24"/>
    <mergeCell ref="G22:H22"/>
    <mergeCell ref="C23:D23"/>
    <mergeCell ref="K22:L22"/>
    <mergeCell ref="C24:D24"/>
    <mergeCell ref="K24:L24"/>
    <mergeCell ref="E23:F23"/>
    <mergeCell ref="G23:H23"/>
    <mergeCell ref="I23:J23"/>
    <mergeCell ref="E24:F24"/>
    <mergeCell ref="K27:L27"/>
    <mergeCell ref="K26:L26"/>
    <mergeCell ref="K23:L23"/>
    <mergeCell ref="G24:H24"/>
    <mergeCell ref="I25:J25"/>
    <mergeCell ref="G25:H25"/>
    <mergeCell ref="K25:L25"/>
    <mergeCell ref="M27:N27"/>
    <mergeCell ref="M21:N21"/>
    <mergeCell ref="M22:N22"/>
    <mergeCell ref="M23:N23"/>
    <mergeCell ref="M24:N24"/>
    <mergeCell ref="M25:N25"/>
    <mergeCell ref="M26:N26"/>
  </mergeCells>
  <phoneticPr fontId="0" type="noConversion"/>
  <pageMargins left="0.1" right="0.1" top="0.68" bottom="0.16" header="0.26" footer="0.16"/>
  <pageSetup paperSize="9" orientation="landscape" blackAndWhite="1" r:id="rId1"/>
  <headerFooter alignWithMargins="0"/>
</worksheet>
</file>

<file path=xl/worksheets/sheet45.xml><?xml version="1.0" encoding="utf-8"?>
<worksheet xmlns="http://schemas.openxmlformats.org/spreadsheetml/2006/main" xmlns:r="http://schemas.openxmlformats.org/officeDocument/2006/relationships">
  <dimension ref="A1:G42"/>
  <sheetViews>
    <sheetView topLeftCell="A25" workbookViewId="0">
      <selection activeCell="J26" sqref="J26"/>
    </sheetView>
  </sheetViews>
  <sheetFormatPr defaultRowHeight="12.75"/>
  <cols>
    <col min="1" max="1" width="3.42578125" style="405" customWidth="1"/>
    <col min="2" max="2" width="18.7109375" style="405" customWidth="1"/>
    <col min="3" max="7" width="12.7109375" style="405" customWidth="1"/>
    <col min="8" max="16384" width="9.140625" style="405"/>
  </cols>
  <sheetData>
    <row r="1" spans="1:7">
      <c r="A1" s="1435" t="s">
        <v>455</v>
      </c>
      <c r="B1" s="1435"/>
      <c r="C1" s="1435"/>
      <c r="D1" s="1435"/>
      <c r="E1" s="1435"/>
      <c r="F1" s="1435"/>
      <c r="G1" s="1435"/>
    </row>
    <row r="2" spans="1:7" ht="16.5">
      <c r="A2" s="1264" t="str">
        <f>CONCATENATE("Area under Principal Crops in the district of ",District!A1)</f>
        <v>Area under Principal Crops in the district of Nadia</v>
      </c>
      <c r="B2" s="1264"/>
      <c r="C2" s="1264"/>
      <c r="D2" s="1264"/>
      <c r="E2" s="1264"/>
      <c r="F2" s="1264"/>
      <c r="G2" s="1264"/>
    </row>
    <row r="3" spans="1:7">
      <c r="G3" s="429" t="s">
        <v>599</v>
      </c>
    </row>
    <row r="4" spans="1:7" ht="18" customHeight="1">
      <c r="A4" s="1505" t="s">
        <v>563</v>
      </c>
      <c r="B4" s="1477"/>
      <c r="C4" s="625" t="str">
        <f>District!C8</f>
        <v>2009-10</v>
      </c>
      <c r="D4" s="625" t="str">
        <f>District!D8</f>
        <v>2010-11</v>
      </c>
      <c r="E4" s="625" t="str">
        <f>District!E8</f>
        <v>2011-12</v>
      </c>
      <c r="F4" s="625" t="str">
        <f>District!F8</f>
        <v>2012-13</v>
      </c>
      <c r="G4" s="625" t="str">
        <f>District!G8</f>
        <v>2013-14</v>
      </c>
    </row>
    <row r="5" spans="1:7" ht="18" customHeight="1">
      <c r="A5" s="1463" t="s">
        <v>163</v>
      </c>
      <c r="B5" s="1477"/>
      <c r="C5" s="417" t="s">
        <v>164</v>
      </c>
      <c r="D5" s="418" t="s">
        <v>165</v>
      </c>
      <c r="E5" s="417" t="s">
        <v>166</v>
      </c>
      <c r="F5" s="419" t="s">
        <v>167</v>
      </c>
      <c r="G5" s="419" t="s">
        <v>168</v>
      </c>
    </row>
    <row r="6" spans="1:7" ht="18" customHeight="1">
      <c r="A6" s="140" t="s">
        <v>554</v>
      </c>
      <c r="B6" s="141"/>
      <c r="C6" s="596"/>
      <c r="D6" s="410"/>
      <c r="E6" s="596"/>
      <c r="F6" s="626"/>
      <c r="G6" s="626"/>
    </row>
    <row r="7" spans="1:7" ht="18" customHeight="1">
      <c r="A7" s="353" t="s">
        <v>555</v>
      </c>
      <c r="B7" s="141" t="s">
        <v>564</v>
      </c>
      <c r="C7" s="118">
        <f>SUM(C8:C10)</f>
        <v>238.8</v>
      </c>
      <c r="D7" s="118">
        <f>SUM(D8:D10)</f>
        <v>235.7</v>
      </c>
      <c r="E7" s="118">
        <f>SUM(E8:E10)</f>
        <v>252.10000000000002</v>
      </c>
      <c r="F7" s="329">
        <f>SUM(F8:F10)</f>
        <v>232.8</v>
      </c>
      <c r="G7" s="329">
        <f>SUM(G8:G10)</f>
        <v>239</v>
      </c>
    </row>
    <row r="8" spans="1:7" ht="18" customHeight="1">
      <c r="A8" s="353"/>
      <c r="B8" s="627" t="s">
        <v>565</v>
      </c>
      <c r="C8" s="462">
        <v>43.8</v>
      </c>
      <c r="D8" s="628">
        <v>48.4</v>
      </c>
      <c r="E8" s="628">
        <v>47.5</v>
      </c>
      <c r="F8" s="633">
        <v>47.5</v>
      </c>
      <c r="G8" s="633">
        <v>47.7</v>
      </c>
    </row>
    <row r="9" spans="1:7" ht="18" customHeight="1">
      <c r="A9" s="353"/>
      <c r="B9" s="627" t="s">
        <v>566</v>
      </c>
      <c r="C9" s="462">
        <v>98.5</v>
      </c>
      <c r="D9" s="628">
        <v>88.8</v>
      </c>
      <c r="E9" s="628">
        <v>106.9</v>
      </c>
      <c r="F9" s="633">
        <v>90.1</v>
      </c>
      <c r="G9" s="633">
        <v>97</v>
      </c>
    </row>
    <row r="10" spans="1:7" ht="18" customHeight="1">
      <c r="A10" s="353"/>
      <c r="B10" s="627" t="s">
        <v>567</v>
      </c>
      <c r="C10" s="462">
        <v>96.5</v>
      </c>
      <c r="D10" s="628">
        <v>98.5</v>
      </c>
      <c r="E10" s="628">
        <v>97.7</v>
      </c>
      <c r="F10" s="633">
        <v>95.2</v>
      </c>
      <c r="G10" s="633">
        <v>94.3</v>
      </c>
    </row>
    <row r="11" spans="1:7" ht="18" customHeight="1">
      <c r="A11" s="353" t="s">
        <v>556</v>
      </c>
      <c r="B11" s="627" t="s">
        <v>568</v>
      </c>
      <c r="C11" s="462">
        <v>37.200000000000003</v>
      </c>
      <c r="D11" s="628">
        <v>38.700000000000003</v>
      </c>
      <c r="E11" s="628">
        <v>40.299999999999997</v>
      </c>
      <c r="F11" s="633">
        <v>41.7</v>
      </c>
      <c r="G11" s="633">
        <v>44.3</v>
      </c>
    </row>
    <row r="12" spans="1:7" ht="18" customHeight="1">
      <c r="A12" s="353" t="s">
        <v>557</v>
      </c>
      <c r="B12" s="627" t="s">
        <v>569</v>
      </c>
      <c r="C12" s="462">
        <v>0.2</v>
      </c>
      <c r="D12" s="628">
        <v>0.2</v>
      </c>
      <c r="E12" s="628" t="s">
        <v>305</v>
      </c>
      <c r="F12" s="632">
        <v>0.1</v>
      </c>
      <c r="G12" s="632">
        <v>0.1</v>
      </c>
    </row>
    <row r="13" spans="1:7" ht="18" customHeight="1">
      <c r="A13" s="353" t="s">
        <v>558</v>
      </c>
      <c r="B13" s="627" t="s">
        <v>570</v>
      </c>
      <c r="C13" s="462">
        <v>3.6</v>
      </c>
      <c r="D13" s="628">
        <v>2.6</v>
      </c>
      <c r="E13" s="628">
        <v>2.6</v>
      </c>
      <c r="F13" s="633">
        <v>3</v>
      </c>
      <c r="G13" s="633">
        <v>3.1</v>
      </c>
    </row>
    <row r="14" spans="1:7" ht="18" customHeight="1">
      <c r="A14" s="353" t="s">
        <v>559</v>
      </c>
      <c r="B14" s="627" t="s">
        <v>571</v>
      </c>
      <c r="C14" s="462" t="s">
        <v>643</v>
      </c>
      <c r="D14" s="628" t="s">
        <v>643</v>
      </c>
      <c r="E14" s="628" t="s">
        <v>643</v>
      </c>
      <c r="F14" s="996" t="s">
        <v>643</v>
      </c>
      <c r="G14" s="996" t="s">
        <v>643</v>
      </c>
    </row>
    <row r="15" spans="1:7" ht="18" customHeight="1">
      <c r="A15" s="629"/>
      <c r="B15" s="141" t="s">
        <v>572</v>
      </c>
      <c r="C15" s="329">
        <f>SUM(SUM(C11:C14),C7)</f>
        <v>279.8</v>
      </c>
      <c r="D15" s="329">
        <f>SUM(SUM(D11:D14),D7)</f>
        <v>277.2</v>
      </c>
      <c r="E15" s="329">
        <f>SUM(SUM(E11:E14),E7)</f>
        <v>295</v>
      </c>
      <c r="F15" s="329">
        <f>SUM(SUM(F11:F14),F7)</f>
        <v>277.60000000000002</v>
      </c>
      <c r="G15" s="329">
        <f>SUM(SUM(G11:G14),G7)</f>
        <v>286.5</v>
      </c>
    </row>
    <row r="16" spans="1:7" ht="18" customHeight="1">
      <c r="A16" s="353" t="s">
        <v>560</v>
      </c>
      <c r="B16" s="627" t="s">
        <v>221</v>
      </c>
      <c r="C16" s="632">
        <v>4.0999999999999996</v>
      </c>
      <c r="D16" s="633">
        <v>6.1</v>
      </c>
      <c r="E16" s="633">
        <v>6.3</v>
      </c>
      <c r="F16" s="633">
        <v>7.1</v>
      </c>
      <c r="G16" s="633">
        <v>6.8</v>
      </c>
    </row>
    <row r="17" spans="1:7" ht="18" customHeight="1">
      <c r="A17" s="353" t="s">
        <v>561</v>
      </c>
      <c r="B17" s="627" t="s">
        <v>573</v>
      </c>
      <c r="C17" s="462" t="s">
        <v>305</v>
      </c>
      <c r="D17" s="462">
        <v>0.6</v>
      </c>
      <c r="E17" s="462">
        <v>0.4</v>
      </c>
      <c r="F17" s="632">
        <v>0.5</v>
      </c>
      <c r="G17" s="632">
        <v>0.3</v>
      </c>
    </row>
    <row r="18" spans="1:7" ht="18" customHeight="1">
      <c r="A18" s="353" t="s">
        <v>562</v>
      </c>
      <c r="B18" s="627" t="s">
        <v>574</v>
      </c>
      <c r="C18" s="632">
        <v>32.299999999999997</v>
      </c>
      <c r="D18" s="633">
        <v>39.1</v>
      </c>
      <c r="E18" s="633">
        <v>46</v>
      </c>
      <c r="F18" s="1024">
        <v>48.7</v>
      </c>
      <c r="G18" s="1024">
        <v>48</v>
      </c>
    </row>
    <row r="19" spans="1:7" ht="18" customHeight="1">
      <c r="A19" s="629"/>
      <c r="B19" s="141" t="s">
        <v>575</v>
      </c>
      <c r="C19" s="329">
        <f>SUM(C16:C18)</f>
        <v>36.4</v>
      </c>
      <c r="D19" s="329">
        <f>SUM(D16:D18)</f>
        <v>45.8</v>
      </c>
      <c r="E19" s="329">
        <f>SUM(E16:E18)</f>
        <v>52.7</v>
      </c>
      <c r="F19" s="1025">
        <f>SUM(F16:F18)</f>
        <v>56.300000000000004</v>
      </c>
      <c r="G19" s="1025">
        <f>SUM(G16:G18)</f>
        <v>55.1</v>
      </c>
    </row>
    <row r="20" spans="1:7" ht="18" customHeight="1">
      <c r="A20" s="629"/>
      <c r="B20" s="141" t="s">
        <v>576</v>
      </c>
      <c r="C20" s="118">
        <f>SUM(C15,C19)</f>
        <v>316.2</v>
      </c>
      <c r="D20" s="634">
        <f>SUM(D15,D19)</f>
        <v>323</v>
      </c>
      <c r="E20" s="634">
        <f>SUM(E15,E19)</f>
        <v>347.7</v>
      </c>
      <c r="F20" s="634">
        <f>SUM(F15,F19)</f>
        <v>333.90000000000003</v>
      </c>
      <c r="G20" s="634">
        <f>SUM(G15,G19)</f>
        <v>341.6</v>
      </c>
    </row>
    <row r="21" spans="1:7" ht="18" customHeight="1">
      <c r="A21" s="140" t="s">
        <v>1372</v>
      </c>
      <c r="B21" s="635"/>
      <c r="C21" s="463"/>
      <c r="D21" s="421"/>
      <c r="E21" s="421"/>
      <c r="F21" s="421"/>
      <c r="G21" s="421"/>
    </row>
    <row r="22" spans="1:7" ht="18" customHeight="1">
      <c r="A22" s="636" t="s">
        <v>555</v>
      </c>
      <c r="B22" s="627" t="s">
        <v>328</v>
      </c>
      <c r="C22" s="632">
        <v>63.3</v>
      </c>
      <c r="D22" s="633">
        <v>72.8</v>
      </c>
      <c r="E22" s="633">
        <v>72.2</v>
      </c>
      <c r="F22" s="633">
        <v>86.5</v>
      </c>
      <c r="G22" s="633">
        <v>77.099999999999994</v>
      </c>
    </row>
    <row r="23" spans="1:7" ht="18" customHeight="1">
      <c r="A23" s="636" t="s">
        <v>556</v>
      </c>
      <c r="B23" s="627" t="s">
        <v>1198</v>
      </c>
      <c r="C23" s="462">
        <v>0.7</v>
      </c>
      <c r="D23" s="628">
        <v>0.5</v>
      </c>
      <c r="E23" s="628">
        <v>0.5</v>
      </c>
      <c r="F23" s="633">
        <v>0.6</v>
      </c>
      <c r="G23" s="633">
        <v>0.43</v>
      </c>
    </row>
    <row r="24" spans="1:7" ht="18" customHeight="1">
      <c r="A24" s="636" t="s">
        <v>557</v>
      </c>
      <c r="B24" s="627" t="s">
        <v>585</v>
      </c>
      <c r="C24" s="462">
        <v>27.7</v>
      </c>
      <c r="D24" s="628">
        <v>26.9</v>
      </c>
      <c r="E24" s="628">
        <v>29.6</v>
      </c>
      <c r="F24" s="995">
        <v>36.4</v>
      </c>
      <c r="G24" s="995">
        <v>36.799999999999997</v>
      </c>
    </row>
    <row r="25" spans="1:7" ht="18" customHeight="1">
      <c r="A25" s="629"/>
      <c r="B25" s="141" t="s">
        <v>586</v>
      </c>
      <c r="C25" s="118">
        <f>SUM(C22:C24)</f>
        <v>91.7</v>
      </c>
      <c r="D25" s="118">
        <f>SUM(D22:D24)</f>
        <v>100.19999999999999</v>
      </c>
      <c r="E25" s="118">
        <f>SUM(E22:E24)</f>
        <v>102.30000000000001</v>
      </c>
      <c r="F25" s="1026">
        <f>SUM(F22:F24)</f>
        <v>123.5</v>
      </c>
      <c r="G25" s="1026">
        <f>SUM(G22:G24)</f>
        <v>114.33</v>
      </c>
    </row>
    <row r="26" spans="1:7" ht="18" customHeight="1">
      <c r="A26" s="140" t="s">
        <v>1373</v>
      </c>
      <c r="B26" s="635"/>
      <c r="C26" s="463"/>
      <c r="D26" s="421"/>
      <c r="E26" s="421"/>
      <c r="F26" s="421"/>
      <c r="G26" s="421"/>
    </row>
    <row r="27" spans="1:7" ht="18" customHeight="1">
      <c r="A27" s="636" t="s">
        <v>555</v>
      </c>
      <c r="B27" s="627" t="s">
        <v>587</v>
      </c>
      <c r="C27" s="462">
        <v>127.6</v>
      </c>
      <c r="D27" s="628">
        <v>114.6</v>
      </c>
      <c r="E27" s="628">
        <v>126.8</v>
      </c>
      <c r="F27" s="633">
        <v>125.1</v>
      </c>
      <c r="G27" s="633">
        <v>120.2</v>
      </c>
    </row>
    <row r="28" spans="1:7" ht="18" customHeight="1">
      <c r="A28" s="636" t="s">
        <v>556</v>
      </c>
      <c r="B28" s="627" t="s">
        <v>588</v>
      </c>
      <c r="C28" s="462">
        <v>0.2</v>
      </c>
      <c r="D28" s="628" t="s">
        <v>305</v>
      </c>
      <c r="E28" s="628">
        <v>0.1</v>
      </c>
      <c r="F28" s="628" t="s">
        <v>305</v>
      </c>
      <c r="G28" s="992">
        <v>0.2</v>
      </c>
    </row>
    <row r="29" spans="1:7" ht="18" customHeight="1">
      <c r="A29" s="636" t="s">
        <v>557</v>
      </c>
      <c r="B29" s="627" t="s">
        <v>1407</v>
      </c>
      <c r="C29" s="137" t="s">
        <v>643</v>
      </c>
      <c r="D29" s="79" t="s">
        <v>643</v>
      </c>
      <c r="E29" s="79" t="s">
        <v>643</v>
      </c>
      <c r="F29" s="79" t="s">
        <v>643</v>
      </c>
      <c r="G29" s="79" t="s">
        <v>643</v>
      </c>
    </row>
    <row r="30" spans="1:7" ht="18" customHeight="1">
      <c r="A30" s="629"/>
      <c r="B30" s="141" t="s">
        <v>1408</v>
      </c>
      <c r="C30" s="118">
        <f>SUM(C27:C29)</f>
        <v>127.8</v>
      </c>
      <c r="D30" s="118">
        <f>SUM(D27:D29)</f>
        <v>114.6</v>
      </c>
      <c r="E30" s="118">
        <f>SUM(E27:E29)</f>
        <v>126.89999999999999</v>
      </c>
      <c r="F30" s="329">
        <f>SUM(F27:F29)</f>
        <v>125.1</v>
      </c>
      <c r="G30" s="329">
        <f>SUM(G27:G29)</f>
        <v>120.4</v>
      </c>
    </row>
    <row r="31" spans="1:7" ht="18" customHeight="1">
      <c r="A31" s="140" t="s">
        <v>1374</v>
      </c>
      <c r="B31" s="635"/>
      <c r="C31" s="463"/>
      <c r="D31" s="421"/>
      <c r="E31" s="421"/>
      <c r="F31" s="421"/>
      <c r="G31" s="421"/>
    </row>
    <row r="32" spans="1:7" ht="18" customHeight="1">
      <c r="A32" s="636" t="s">
        <v>555</v>
      </c>
      <c r="B32" s="627" t="s">
        <v>592</v>
      </c>
      <c r="C32" s="632">
        <v>1.8</v>
      </c>
      <c r="D32" s="633">
        <v>0.7</v>
      </c>
      <c r="E32" s="633">
        <v>1.8</v>
      </c>
      <c r="F32" s="633">
        <v>1.8</v>
      </c>
      <c r="G32" s="633">
        <v>1.923</v>
      </c>
    </row>
    <row r="33" spans="1:7" ht="18" customHeight="1">
      <c r="A33" s="636" t="s">
        <v>556</v>
      </c>
      <c r="B33" s="627" t="s">
        <v>593</v>
      </c>
      <c r="C33" s="632">
        <v>5</v>
      </c>
      <c r="D33" s="633">
        <v>7.1</v>
      </c>
      <c r="E33" s="633">
        <v>5.3</v>
      </c>
      <c r="F33" s="633">
        <v>5.6</v>
      </c>
      <c r="G33" s="633">
        <v>5.0339999999999998</v>
      </c>
    </row>
    <row r="34" spans="1:7" ht="18" customHeight="1">
      <c r="A34" s="636" t="s">
        <v>557</v>
      </c>
      <c r="B34" s="627" t="s">
        <v>594</v>
      </c>
      <c r="C34" s="632" t="s">
        <v>305</v>
      </c>
      <c r="D34" s="633" t="s">
        <v>305</v>
      </c>
      <c r="E34" s="633" t="s">
        <v>305</v>
      </c>
      <c r="F34" s="633" t="s">
        <v>305</v>
      </c>
      <c r="G34" s="633" t="s">
        <v>305</v>
      </c>
    </row>
    <row r="35" spans="1:7" ht="18" customHeight="1">
      <c r="A35" s="636" t="s">
        <v>558</v>
      </c>
      <c r="B35" s="627" t="s">
        <v>595</v>
      </c>
      <c r="C35" s="138" t="s">
        <v>643</v>
      </c>
      <c r="D35" s="139" t="s">
        <v>643</v>
      </c>
      <c r="E35" s="139" t="s">
        <v>643</v>
      </c>
      <c r="F35" s="139" t="s">
        <v>643</v>
      </c>
      <c r="G35" s="139" t="s">
        <v>643</v>
      </c>
    </row>
    <row r="36" spans="1:7" ht="18" customHeight="1">
      <c r="A36" s="636" t="s">
        <v>559</v>
      </c>
      <c r="B36" s="627" t="s">
        <v>596</v>
      </c>
      <c r="C36" s="632">
        <v>6.7</v>
      </c>
      <c r="D36" s="633">
        <v>6.7</v>
      </c>
      <c r="E36" s="633">
        <v>6.7</v>
      </c>
      <c r="F36" s="995">
        <v>6.7</v>
      </c>
      <c r="G36" s="995">
        <v>6.7370000000000001</v>
      </c>
    </row>
    <row r="37" spans="1:7" ht="18" customHeight="1">
      <c r="A37" s="636" t="s">
        <v>560</v>
      </c>
      <c r="B37" s="627" t="s">
        <v>597</v>
      </c>
      <c r="C37" s="632">
        <v>0.2</v>
      </c>
      <c r="D37" s="633">
        <v>0.2</v>
      </c>
      <c r="E37" s="633">
        <v>0.2</v>
      </c>
      <c r="F37" s="995">
        <v>0.2</v>
      </c>
      <c r="G37" s="995">
        <v>0.24</v>
      </c>
    </row>
    <row r="38" spans="1:7" ht="26.25" customHeight="1">
      <c r="A38" s="637"/>
      <c r="B38" s="142" t="s">
        <v>598</v>
      </c>
      <c r="C38" s="639">
        <f>SUM(C32:C37)</f>
        <v>13.7</v>
      </c>
      <c r="D38" s="638">
        <f>SUM(D32:D37)</f>
        <v>14.7</v>
      </c>
      <c r="E38" s="638">
        <f>SUM(E32:E37)</f>
        <v>14</v>
      </c>
      <c r="F38" s="638">
        <f>SUM(F32:F37)</f>
        <v>14.299999999999999</v>
      </c>
      <c r="G38" s="638">
        <f>SUM(G32:G37)</f>
        <v>13.933999999999999</v>
      </c>
    </row>
    <row r="39" spans="1:7">
      <c r="A39" s="575" t="s">
        <v>1336</v>
      </c>
      <c r="B39" s="6"/>
      <c r="D39" s="280" t="s">
        <v>600</v>
      </c>
      <c r="E39" s="18" t="s">
        <v>693</v>
      </c>
      <c r="F39" s="6"/>
      <c r="G39" s="6"/>
    </row>
    <row r="40" spans="1:7">
      <c r="A40" s="640"/>
      <c r="B40" s="6"/>
      <c r="C40" s="6"/>
      <c r="D40" s="18"/>
      <c r="E40" s="18" t="s">
        <v>694</v>
      </c>
      <c r="F40" s="6"/>
      <c r="G40" s="6"/>
    </row>
    <row r="41" spans="1:7">
      <c r="A41" s="6" t="s">
        <v>1609</v>
      </c>
      <c r="B41" s="6"/>
      <c r="C41" s="6"/>
      <c r="D41" s="6"/>
    </row>
    <row r="42" spans="1:7">
      <c r="A42" s="6"/>
      <c r="B42" s="6"/>
      <c r="C42" s="6"/>
      <c r="D42" s="6"/>
    </row>
  </sheetData>
  <mergeCells count="4">
    <mergeCell ref="A1:G1"/>
    <mergeCell ref="A4:B4"/>
    <mergeCell ref="A5:B5"/>
    <mergeCell ref="A2:G2"/>
  </mergeCells>
  <phoneticPr fontId="0" type="noConversion"/>
  <printOptions horizontalCentered="1"/>
  <pageMargins left="0.1" right="0.1" top="0.68" bottom="0.1" header="0.36" footer="0.1"/>
  <pageSetup paperSize="9" orientation="portrait" blackAndWhite="1" r:id="rId1"/>
  <headerFooter alignWithMargins="0"/>
</worksheet>
</file>

<file path=xl/worksheets/sheet46.xml><?xml version="1.0" encoding="utf-8"?>
<worksheet xmlns="http://schemas.openxmlformats.org/spreadsheetml/2006/main" xmlns:r="http://schemas.openxmlformats.org/officeDocument/2006/relationships">
  <dimension ref="A1:K43"/>
  <sheetViews>
    <sheetView topLeftCell="A22" workbookViewId="0">
      <selection activeCell="J38" sqref="J38"/>
    </sheetView>
  </sheetViews>
  <sheetFormatPr defaultRowHeight="12.75"/>
  <cols>
    <col min="1" max="1" width="3.42578125" style="405" customWidth="1"/>
    <col min="2" max="2" width="18.7109375" style="405" customWidth="1"/>
    <col min="3" max="3" width="11.140625" style="405" customWidth="1"/>
    <col min="4" max="4" width="10.42578125" style="405" customWidth="1"/>
    <col min="5" max="5" width="13.5703125" style="405" customWidth="1"/>
    <col min="6" max="6" width="13.42578125" style="405" customWidth="1"/>
    <col min="7" max="7" width="12.7109375" style="405" customWidth="1"/>
    <col min="8" max="16384" width="9.140625" style="405"/>
  </cols>
  <sheetData>
    <row r="1" spans="1:11">
      <c r="A1" s="1435" t="s">
        <v>456</v>
      </c>
      <c r="B1" s="1435"/>
      <c r="C1" s="1435"/>
      <c r="D1" s="1435"/>
      <c r="E1" s="1435"/>
      <c r="F1" s="1435"/>
      <c r="G1" s="1435"/>
    </row>
    <row r="2" spans="1:11" ht="16.5">
      <c r="A2" s="1264" t="str">
        <f>CONCATENATE("Production of Principal Crops in the district of ",District!A1)</f>
        <v>Production of Principal Crops in the district of Nadia</v>
      </c>
      <c r="B2" s="1264"/>
      <c r="C2" s="1264"/>
      <c r="D2" s="1264"/>
      <c r="E2" s="1264"/>
      <c r="F2" s="1264"/>
      <c r="G2" s="1264"/>
      <c r="H2" s="19"/>
      <c r="I2" s="19"/>
      <c r="J2" s="19"/>
      <c r="K2" s="19"/>
    </row>
    <row r="3" spans="1:11">
      <c r="G3" s="27" t="s">
        <v>603</v>
      </c>
    </row>
    <row r="4" spans="1:11" ht="18" customHeight="1">
      <c r="A4" s="1253" t="s">
        <v>563</v>
      </c>
      <c r="B4" s="1252"/>
      <c r="C4" s="625" t="str">
        <f>District!C8</f>
        <v>2009-10</v>
      </c>
      <c r="D4" s="625" t="str">
        <f>District!D8</f>
        <v>2010-11</v>
      </c>
      <c r="E4" s="625" t="str">
        <f>District!E8</f>
        <v>2011-12</v>
      </c>
      <c r="F4" s="625" t="str">
        <f>District!F8</f>
        <v>2012-13</v>
      </c>
      <c r="G4" s="625" t="str">
        <f>District!G8</f>
        <v>2013-14</v>
      </c>
    </row>
    <row r="5" spans="1:11" ht="18" customHeight="1">
      <c r="A5" s="1259" t="s">
        <v>163</v>
      </c>
      <c r="B5" s="1252"/>
      <c r="C5" s="225" t="s">
        <v>164</v>
      </c>
      <c r="D5" s="226" t="s">
        <v>165</v>
      </c>
      <c r="E5" s="225" t="s">
        <v>166</v>
      </c>
      <c r="F5" s="224" t="s">
        <v>167</v>
      </c>
      <c r="G5" s="224" t="s">
        <v>168</v>
      </c>
    </row>
    <row r="6" spans="1:11" ht="18" customHeight="1">
      <c r="A6" s="140" t="s">
        <v>554</v>
      </c>
      <c r="B6" s="141"/>
      <c r="C6" s="596"/>
      <c r="D6" s="448"/>
      <c r="E6" s="596"/>
      <c r="F6" s="626"/>
      <c r="G6" s="626"/>
    </row>
    <row r="7" spans="1:11" ht="18" customHeight="1">
      <c r="A7" s="641" t="s">
        <v>555</v>
      </c>
      <c r="B7" s="141" t="s">
        <v>564</v>
      </c>
      <c r="C7" s="329">
        <f>SUM(C8:C10)</f>
        <v>664.9</v>
      </c>
      <c r="D7" s="329">
        <f>SUM(D8:D10)</f>
        <v>650.5</v>
      </c>
      <c r="E7" s="329">
        <f>SUM(E8:E10)</f>
        <v>744.5</v>
      </c>
      <c r="F7" s="329">
        <f>SUM(F8:F10)</f>
        <v>668.3</v>
      </c>
      <c r="G7" s="329">
        <f>SUM(G8:G10)</f>
        <v>734.4</v>
      </c>
      <c r="I7" s="630"/>
    </row>
    <row r="8" spans="1:11" ht="18" customHeight="1">
      <c r="A8" s="641"/>
      <c r="B8" s="627" t="s">
        <v>565</v>
      </c>
      <c r="C8" s="463">
        <v>99.5</v>
      </c>
      <c r="D8" s="421">
        <v>100.7</v>
      </c>
      <c r="E8" s="421">
        <v>104.9</v>
      </c>
      <c r="F8" s="642">
        <v>105.1</v>
      </c>
      <c r="G8" s="642">
        <v>114.5</v>
      </c>
      <c r="I8" s="631"/>
    </row>
    <row r="9" spans="1:11" ht="18" customHeight="1">
      <c r="A9" s="641"/>
      <c r="B9" s="627" t="s">
        <v>566</v>
      </c>
      <c r="C9" s="632">
        <v>242.5</v>
      </c>
      <c r="D9" s="633">
        <v>201.7</v>
      </c>
      <c r="E9" s="633">
        <v>289.39999999999998</v>
      </c>
      <c r="F9" s="633">
        <v>205.5</v>
      </c>
      <c r="G9" s="633">
        <v>268.89999999999998</v>
      </c>
      <c r="I9" s="631"/>
    </row>
    <row r="10" spans="1:11" ht="18" customHeight="1">
      <c r="A10" s="641"/>
      <c r="B10" s="627" t="s">
        <v>567</v>
      </c>
      <c r="C10" s="632">
        <v>322.89999999999998</v>
      </c>
      <c r="D10" s="633">
        <v>348.1</v>
      </c>
      <c r="E10" s="633">
        <v>350.2</v>
      </c>
      <c r="F10" s="633">
        <v>357.7</v>
      </c>
      <c r="G10" s="633">
        <v>351</v>
      </c>
      <c r="I10" s="631"/>
    </row>
    <row r="11" spans="1:11" ht="18" customHeight="1">
      <c r="A11" s="641" t="s">
        <v>556</v>
      </c>
      <c r="B11" s="627" t="s">
        <v>568</v>
      </c>
      <c r="C11" s="463">
        <v>94.8</v>
      </c>
      <c r="D11" s="421">
        <v>98.3</v>
      </c>
      <c r="E11" s="642">
        <v>124</v>
      </c>
      <c r="F11" s="642">
        <v>138.5</v>
      </c>
      <c r="G11" s="642">
        <v>149</v>
      </c>
      <c r="I11" s="631"/>
    </row>
    <row r="12" spans="1:11" ht="18" customHeight="1">
      <c r="A12" s="641" t="s">
        <v>557</v>
      </c>
      <c r="B12" s="627" t="s">
        <v>569</v>
      </c>
      <c r="C12" s="632">
        <v>0.3</v>
      </c>
      <c r="D12" s="633">
        <v>0.2</v>
      </c>
      <c r="E12" s="633" t="s">
        <v>308</v>
      </c>
      <c r="F12" s="632">
        <v>0.2</v>
      </c>
      <c r="G12" s="632">
        <v>0.1</v>
      </c>
      <c r="I12" s="631"/>
    </row>
    <row r="13" spans="1:11" ht="18" customHeight="1">
      <c r="A13" s="641" t="s">
        <v>558</v>
      </c>
      <c r="B13" s="627" t="s">
        <v>570</v>
      </c>
      <c r="C13" s="632">
        <v>8.5</v>
      </c>
      <c r="D13" s="633">
        <v>6.7</v>
      </c>
      <c r="E13" s="633">
        <v>6.7</v>
      </c>
      <c r="F13" s="633">
        <v>7.4</v>
      </c>
      <c r="G13" s="633">
        <v>8.1999999999999993</v>
      </c>
      <c r="I13" s="631"/>
    </row>
    <row r="14" spans="1:11" ht="18" customHeight="1">
      <c r="A14" s="641" t="s">
        <v>559</v>
      </c>
      <c r="B14" s="627" t="s">
        <v>571</v>
      </c>
      <c r="C14" s="632" t="s">
        <v>643</v>
      </c>
      <c r="D14" s="633" t="s">
        <v>643</v>
      </c>
      <c r="E14" s="633" t="s">
        <v>643</v>
      </c>
      <c r="F14" s="997" t="s">
        <v>643</v>
      </c>
      <c r="G14" s="997" t="s">
        <v>643</v>
      </c>
      <c r="I14" s="631"/>
    </row>
    <row r="15" spans="1:11" ht="18" customHeight="1">
      <c r="A15" s="643"/>
      <c r="B15" s="141" t="s">
        <v>572</v>
      </c>
      <c r="C15" s="329">
        <f>SUM(SUM(C11:C14),C7)</f>
        <v>768.5</v>
      </c>
      <c r="D15" s="329">
        <f>SUM(SUM(D11:D14),D7)</f>
        <v>755.7</v>
      </c>
      <c r="E15" s="329">
        <f>SUM(SUM(E11:E14),E7)</f>
        <v>875.2</v>
      </c>
      <c r="F15" s="329">
        <f>SUM(SUM(F11:F14),F7)</f>
        <v>814.4</v>
      </c>
      <c r="G15" s="329">
        <f>SUM(SUM(G11:G14),G7)</f>
        <v>891.69999999999993</v>
      </c>
      <c r="H15" s="426"/>
      <c r="I15" s="630"/>
    </row>
    <row r="16" spans="1:11" ht="18" customHeight="1">
      <c r="A16" s="641" t="s">
        <v>560</v>
      </c>
      <c r="B16" s="627" t="s">
        <v>221</v>
      </c>
      <c r="C16" s="632">
        <v>3.6</v>
      </c>
      <c r="D16" s="633">
        <v>5.2</v>
      </c>
      <c r="E16" s="633">
        <v>6.9</v>
      </c>
      <c r="F16" s="633">
        <v>6.5</v>
      </c>
      <c r="G16" s="633">
        <v>7.3</v>
      </c>
      <c r="I16" s="631"/>
    </row>
    <row r="17" spans="1:9" ht="18" customHeight="1">
      <c r="A17" s="641" t="s">
        <v>561</v>
      </c>
      <c r="B17" s="627" t="s">
        <v>573</v>
      </c>
      <c r="C17" s="632">
        <v>0.1</v>
      </c>
      <c r="D17" s="633">
        <v>0.9</v>
      </c>
      <c r="E17" s="633">
        <v>0.2</v>
      </c>
      <c r="F17" s="633">
        <v>0.6</v>
      </c>
      <c r="G17" s="633">
        <v>0.4</v>
      </c>
      <c r="I17" s="631"/>
    </row>
    <row r="18" spans="1:9" ht="18" customHeight="1">
      <c r="A18" s="641" t="s">
        <v>562</v>
      </c>
      <c r="B18" s="627" t="s">
        <v>574</v>
      </c>
      <c r="C18" s="632">
        <v>28.7</v>
      </c>
      <c r="D18" s="633">
        <v>38.5</v>
      </c>
      <c r="E18" s="633">
        <v>42.2</v>
      </c>
      <c r="F18" s="995">
        <v>46.3</v>
      </c>
      <c r="G18" s="995">
        <v>43.5</v>
      </c>
      <c r="I18" s="631"/>
    </row>
    <row r="19" spans="1:9" ht="18" customHeight="1">
      <c r="A19" s="643"/>
      <c r="B19" s="141" t="s">
        <v>575</v>
      </c>
      <c r="C19" s="138">
        <f>SUM(C16:C18)</f>
        <v>32.4</v>
      </c>
      <c r="D19" s="138">
        <f>SUM(D16:D18)</f>
        <v>44.6</v>
      </c>
      <c r="E19" s="138">
        <f>SUM(E16:E18)</f>
        <v>49.300000000000004</v>
      </c>
      <c r="F19" s="138">
        <f>SUM(F16:F18)</f>
        <v>53.4</v>
      </c>
      <c r="G19" s="138">
        <f>SUM(G16:G18)</f>
        <v>51.2</v>
      </c>
      <c r="H19" s="426"/>
      <c r="I19" s="631"/>
    </row>
    <row r="20" spans="1:9" ht="18" customHeight="1">
      <c r="A20" s="643"/>
      <c r="B20" s="141" t="s">
        <v>576</v>
      </c>
      <c r="C20" s="329">
        <f>SUM(C15,C19)</f>
        <v>800.9</v>
      </c>
      <c r="D20" s="329">
        <f>SUM(D15,D19)</f>
        <v>800.30000000000007</v>
      </c>
      <c r="E20" s="329">
        <f>SUM(E15,E19)</f>
        <v>924.5</v>
      </c>
      <c r="F20" s="329">
        <f>SUM(F15,F19)</f>
        <v>867.8</v>
      </c>
      <c r="G20" s="329">
        <f>SUM(G15,G19)</f>
        <v>942.9</v>
      </c>
      <c r="H20" s="426"/>
      <c r="I20" s="630"/>
    </row>
    <row r="21" spans="1:9" ht="18" customHeight="1">
      <c r="A21" s="140" t="s">
        <v>1372</v>
      </c>
      <c r="B21" s="635"/>
      <c r="C21" s="632"/>
      <c r="D21" s="633"/>
      <c r="E21" s="633"/>
      <c r="F21" s="633"/>
      <c r="G21" s="633"/>
      <c r="I21" s="644"/>
    </row>
    <row r="22" spans="1:9" ht="18" customHeight="1">
      <c r="A22" s="645" t="s">
        <v>555</v>
      </c>
      <c r="B22" s="627" t="s">
        <v>328</v>
      </c>
      <c r="C22" s="632">
        <v>69.599999999999994</v>
      </c>
      <c r="D22" s="633">
        <v>74.900000000000006</v>
      </c>
      <c r="E22" s="633">
        <v>68.5</v>
      </c>
      <c r="F22" s="633">
        <v>103.2</v>
      </c>
      <c r="G22" s="633">
        <v>90.8</v>
      </c>
      <c r="I22" s="631"/>
    </row>
    <row r="23" spans="1:9" ht="18" customHeight="1">
      <c r="A23" s="645" t="s">
        <v>556</v>
      </c>
      <c r="B23" s="627" t="s">
        <v>1198</v>
      </c>
      <c r="C23" s="632">
        <v>0.4</v>
      </c>
      <c r="D23" s="633">
        <v>0.3</v>
      </c>
      <c r="E23" s="633">
        <v>0.2</v>
      </c>
      <c r="F23" s="633">
        <v>0.3</v>
      </c>
      <c r="G23" s="633">
        <v>0.20799999999999999</v>
      </c>
      <c r="I23" s="631"/>
    </row>
    <row r="24" spans="1:9" ht="18" customHeight="1">
      <c r="A24" s="645" t="s">
        <v>557</v>
      </c>
      <c r="B24" s="627" t="s">
        <v>585</v>
      </c>
      <c r="C24" s="632">
        <v>34.5</v>
      </c>
      <c r="D24" s="633">
        <v>33.1</v>
      </c>
      <c r="E24" s="633">
        <v>36.200000000000003</v>
      </c>
      <c r="F24" s="995">
        <v>48.8</v>
      </c>
      <c r="G24" s="995">
        <v>50.5</v>
      </c>
      <c r="I24" s="631"/>
    </row>
    <row r="25" spans="1:9" ht="18" customHeight="1">
      <c r="A25" s="643"/>
      <c r="B25" s="141" t="s">
        <v>586</v>
      </c>
      <c r="C25" s="329">
        <f>SUM(C22:C24)</f>
        <v>104.5</v>
      </c>
      <c r="D25" s="329">
        <f>SUM(D22:D24)</f>
        <v>108.30000000000001</v>
      </c>
      <c r="E25" s="329">
        <f>SUM(E22:E24)</f>
        <v>104.9</v>
      </c>
      <c r="F25" s="329">
        <f>SUM(F22:F24)</f>
        <v>152.30000000000001</v>
      </c>
      <c r="G25" s="329">
        <f>SUM(G22:G24)</f>
        <v>141.50799999999998</v>
      </c>
      <c r="I25" s="630"/>
    </row>
    <row r="26" spans="1:9" ht="18" customHeight="1">
      <c r="A26" s="140" t="s">
        <v>1375</v>
      </c>
      <c r="B26" s="635"/>
      <c r="C26" s="632"/>
      <c r="D26" s="633"/>
      <c r="E26" s="633"/>
      <c r="F26" s="633"/>
      <c r="G26" s="633"/>
      <c r="I26" s="644"/>
    </row>
    <row r="27" spans="1:9" ht="18" customHeight="1">
      <c r="A27" s="645" t="s">
        <v>555</v>
      </c>
      <c r="B27" s="627" t="s">
        <v>587</v>
      </c>
      <c r="C27" s="632">
        <v>2047.9</v>
      </c>
      <c r="D27" s="633">
        <v>1565.9</v>
      </c>
      <c r="E27" s="633">
        <v>1762.1</v>
      </c>
      <c r="F27" s="633">
        <v>1775.3</v>
      </c>
      <c r="G27" s="633">
        <v>2087.6999999999998</v>
      </c>
      <c r="I27" s="631"/>
    </row>
    <row r="28" spans="1:9" ht="18" customHeight="1">
      <c r="A28" s="645" t="s">
        <v>556</v>
      </c>
      <c r="B28" s="627" t="s">
        <v>588</v>
      </c>
      <c r="C28" s="632">
        <v>1.8</v>
      </c>
      <c r="D28" s="633">
        <v>0.2</v>
      </c>
      <c r="E28" s="633">
        <v>1.8</v>
      </c>
      <c r="F28" s="633">
        <v>0.6</v>
      </c>
      <c r="G28" s="633">
        <v>3.1629999999999998</v>
      </c>
      <c r="I28" s="631"/>
    </row>
    <row r="29" spans="1:9" ht="18" customHeight="1">
      <c r="A29" s="645" t="s">
        <v>557</v>
      </c>
      <c r="B29" s="627" t="s">
        <v>1407</v>
      </c>
      <c r="C29" s="329" t="s">
        <v>643</v>
      </c>
      <c r="D29" s="646" t="s">
        <v>643</v>
      </c>
      <c r="E29" s="646" t="s">
        <v>643</v>
      </c>
      <c r="F29" s="646" t="s">
        <v>643</v>
      </c>
      <c r="G29" s="646" t="s">
        <v>643</v>
      </c>
      <c r="I29" s="631"/>
    </row>
    <row r="30" spans="1:9" ht="18" customHeight="1">
      <c r="A30" s="643"/>
      <c r="B30" s="141" t="s">
        <v>1408</v>
      </c>
      <c r="C30" s="329">
        <f>SUM(C27:C29)</f>
        <v>2049.7000000000003</v>
      </c>
      <c r="D30" s="329">
        <f>SUM(D27:D29)</f>
        <v>1566.1000000000001</v>
      </c>
      <c r="E30" s="329">
        <f>SUM(E27:E29)</f>
        <v>1763.8999999999999</v>
      </c>
      <c r="F30" s="329">
        <f>SUM(F27:F29)</f>
        <v>1775.8999999999999</v>
      </c>
      <c r="G30" s="329">
        <f>SUM(G27:G29)</f>
        <v>2090.8629999999998</v>
      </c>
      <c r="I30" s="630"/>
    </row>
    <row r="31" spans="1:9" ht="18" customHeight="1">
      <c r="A31" s="140" t="s">
        <v>1374</v>
      </c>
      <c r="B31" s="635"/>
      <c r="C31" s="632"/>
      <c r="D31" s="633"/>
      <c r="E31" s="633"/>
      <c r="F31" s="633"/>
      <c r="G31" s="633"/>
      <c r="I31" s="644"/>
    </row>
    <row r="32" spans="1:9" ht="18" customHeight="1">
      <c r="A32" s="645" t="s">
        <v>555</v>
      </c>
      <c r="B32" s="627" t="s">
        <v>592</v>
      </c>
      <c r="C32" s="632">
        <v>87.2</v>
      </c>
      <c r="D32" s="633">
        <v>57.6</v>
      </c>
      <c r="E32" s="633">
        <v>244.1</v>
      </c>
      <c r="F32" s="633">
        <v>182.7</v>
      </c>
      <c r="G32" s="633">
        <v>192.7</v>
      </c>
      <c r="I32" s="631"/>
    </row>
    <row r="33" spans="1:9" ht="18" customHeight="1">
      <c r="A33" s="645" t="s">
        <v>556</v>
      </c>
      <c r="B33" s="627" t="s">
        <v>593</v>
      </c>
      <c r="C33" s="632">
        <v>153.6</v>
      </c>
      <c r="D33" s="633">
        <v>193.1</v>
      </c>
      <c r="E33" s="633">
        <v>162.30000000000001</v>
      </c>
      <c r="F33" s="633">
        <v>177.6</v>
      </c>
      <c r="G33" s="633">
        <v>154</v>
      </c>
      <c r="I33" s="631"/>
    </row>
    <row r="34" spans="1:9" ht="18" customHeight="1">
      <c r="A34" s="645" t="s">
        <v>557</v>
      </c>
      <c r="B34" s="627" t="s">
        <v>594</v>
      </c>
      <c r="C34" s="632" t="s">
        <v>308</v>
      </c>
      <c r="D34" s="632" t="s">
        <v>308</v>
      </c>
      <c r="E34" s="632" t="s">
        <v>308</v>
      </c>
      <c r="F34" s="632" t="s">
        <v>308</v>
      </c>
      <c r="G34" s="632" t="s">
        <v>308</v>
      </c>
      <c r="I34" s="631"/>
    </row>
    <row r="35" spans="1:9" ht="18" customHeight="1">
      <c r="A35" s="645" t="s">
        <v>558</v>
      </c>
      <c r="B35" s="627" t="s">
        <v>595</v>
      </c>
      <c r="C35" s="647" t="s">
        <v>643</v>
      </c>
      <c r="D35" s="642" t="s">
        <v>643</v>
      </c>
      <c r="E35" s="642" t="s">
        <v>643</v>
      </c>
      <c r="F35" s="334" t="s">
        <v>643</v>
      </c>
      <c r="G35" s="334" t="s">
        <v>643</v>
      </c>
      <c r="I35" s="631"/>
    </row>
    <row r="36" spans="1:9" ht="18" customHeight="1">
      <c r="A36" s="645" t="s">
        <v>559</v>
      </c>
      <c r="B36" s="627" t="s">
        <v>596</v>
      </c>
      <c r="C36" s="632">
        <v>11</v>
      </c>
      <c r="D36" s="633">
        <v>11</v>
      </c>
      <c r="E36" s="633">
        <v>11</v>
      </c>
      <c r="F36" s="633">
        <v>11.1</v>
      </c>
      <c r="G36" s="633">
        <v>11.1</v>
      </c>
      <c r="I36" s="631"/>
    </row>
    <row r="37" spans="1:9" ht="18" customHeight="1">
      <c r="A37" s="645" t="s">
        <v>560</v>
      </c>
      <c r="B37" s="627" t="s">
        <v>597</v>
      </c>
      <c r="C37" s="632">
        <v>0.4</v>
      </c>
      <c r="D37" s="633">
        <v>0.4</v>
      </c>
      <c r="E37" s="633">
        <v>0.4</v>
      </c>
      <c r="F37" s="633">
        <v>0.4</v>
      </c>
      <c r="G37" s="633">
        <v>0.5</v>
      </c>
      <c r="I37" s="631"/>
    </row>
    <row r="38" spans="1:9" ht="25.5" customHeight="1">
      <c r="A38" s="648"/>
      <c r="B38" s="142" t="s">
        <v>598</v>
      </c>
      <c r="C38" s="638">
        <f>SUM(C32:C37)</f>
        <v>252.20000000000002</v>
      </c>
      <c r="D38" s="638">
        <f>SUM(D32:D37)</f>
        <v>262.09999999999997</v>
      </c>
      <c r="E38" s="638">
        <f>SUM(E32:E37)</f>
        <v>417.79999999999995</v>
      </c>
      <c r="F38" s="638">
        <f>SUM(F32:F37)</f>
        <v>371.79999999999995</v>
      </c>
      <c r="G38" s="638">
        <f>SUM(G32:G37)</f>
        <v>358.3</v>
      </c>
      <c r="I38" s="630"/>
    </row>
    <row r="39" spans="1:9">
      <c r="A39" s="336" t="s">
        <v>933</v>
      </c>
      <c r="B39" s="336"/>
      <c r="C39" s="336"/>
      <c r="D39" s="280" t="s">
        <v>600</v>
      </c>
      <c r="E39" s="18" t="s">
        <v>693</v>
      </c>
      <c r="F39" s="18"/>
      <c r="G39" s="649"/>
    </row>
    <row r="40" spans="1:9">
      <c r="A40" s="575" t="s">
        <v>1337</v>
      </c>
      <c r="B40" s="18"/>
      <c r="C40" s="337"/>
      <c r="D40" s="18"/>
      <c r="E40" s="18" t="s">
        <v>601</v>
      </c>
      <c r="F40" s="18"/>
      <c r="G40" s="649"/>
    </row>
    <row r="41" spans="1:9">
      <c r="B41" s="6"/>
      <c r="C41" s="6"/>
    </row>
    <row r="42" spans="1:9">
      <c r="C42" s="6"/>
    </row>
    <row r="43" spans="1:9">
      <c r="A43" s="6"/>
      <c r="B43" s="6"/>
      <c r="C43" s="6"/>
    </row>
  </sheetData>
  <mergeCells count="4">
    <mergeCell ref="A1:G1"/>
    <mergeCell ref="A2:G2"/>
    <mergeCell ref="A4:B4"/>
    <mergeCell ref="A5:B5"/>
  </mergeCells>
  <phoneticPr fontId="0" type="noConversion"/>
  <printOptions horizontalCentered="1"/>
  <pageMargins left="0.1" right="0.1" top="0.77" bottom="0.1" header="0.44" footer="0.1"/>
  <pageSetup paperSize="9" orientation="portrait" blackAndWhite="1" r:id="rId1"/>
  <headerFooter alignWithMargins="0"/>
</worksheet>
</file>

<file path=xl/worksheets/sheet47.xml><?xml version="1.0" encoding="utf-8"?>
<worksheet xmlns="http://schemas.openxmlformats.org/spreadsheetml/2006/main" xmlns:r="http://schemas.openxmlformats.org/officeDocument/2006/relationships">
  <dimension ref="A1:J51"/>
  <sheetViews>
    <sheetView topLeftCell="A19" workbookViewId="0">
      <selection activeCell="K32" sqref="K32"/>
    </sheetView>
  </sheetViews>
  <sheetFormatPr defaultRowHeight="12.75"/>
  <cols>
    <col min="1" max="1" width="3.42578125" style="405" customWidth="1"/>
    <col min="2" max="2" width="19.140625" style="405" customWidth="1"/>
    <col min="3" max="3" width="12.7109375" style="405" customWidth="1"/>
    <col min="4" max="4" width="11.85546875" style="405" customWidth="1"/>
    <col min="5" max="5" width="12.7109375" style="405" customWidth="1"/>
    <col min="6" max="6" width="11.7109375" style="405" customWidth="1"/>
    <col min="7" max="7" width="12.7109375" style="405" customWidth="1"/>
    <col min="8" max="16384" width="9.140625" style="405"/>
  </cols>
  <sheetData>
    <row r="1" spans="1:10">
      <c r="A1" s="1435" t="s">
        <v>457</v>
      </c>
      <c r="B1" s="1435"/>
      <c r="C1" s="1435"/>
      <c r="D1" s="1435"/>
      <c r="E1" s="1435"/>
      <c r="F1" s="1435"/>
      <c r="G1" s="1435"/>
    </row>
    <row r="2" spans="1:10" ht="16.5">
      <c r="A2" s="1264" t="str">
        <f>CONCATENATE("Yield rates of Principal Crops in the district of ",District!A1)</f>
        <v>Yield rates of Principal Crops in the district of Nadia</v>
      </c>
      <c r="B2" s="1264"/>
      <c r="C2" s="1264"/>
      <c r="D2" s="1264"/>
      <c r="E2" s="1264"/>
      <c r="F2" s="1264"/>
      <c r="G2" s="1264"/>
      <c r="H2" s="19"/>
      <c r="I2" s="19"/>
      <c r="J2" s="19"/>
    </row>
    <row r="3" spans="1:10">
      <c r="G3" s="27" t="s">
        <v>604</v>
      </c>
    </row>
    <row r="4" spans="1:10" ht="18" customHeight="1">
      <c r="A4" s="1253" t="s">
        <v>563</v>
      </c>
      <c r="B4" s="1252"/>
      <c r="C4" s="625" t="str">
        <f>District!C8</f>
        <v>2009-10</v>
      </c>
      <c r="D4" s="625" t="str">
        <f>District!D8</f>
        <v>2010-11</v>
      </c>
      <c r="E4" s="625" t="str">
        <f>District!E8</f>
        <v>2011-12</v>
      </c>
      <c r="F4" s="625" t="str">
        <f>District!F8</f>
        <v>2012-13</v>
      </c>
      <c r="G4" s="625" t="str">
        <f>District!G8</f>
        <v>2013-14</v>
      </c>
    </row>
    <row r="5" spans="1:10" ht="18" customHeight="1">
      <c r="A5" s="1259" t="s">
        <v>163</v>
      </c>
      <c r="B5" s="1252"/>
      <c r="C5" s="225" t="s">
        <v>164</v>
      </c>
      <c r="D5" s="226" t="s">
        <v>165</v>
      </c>
      <c r="E5" s="225" t="s">
        <v>166</v>
      </c>
      <c r="F5" s="224" t="s">
        <v>167</v>
      </c>
      <c r="G5" s="224" t="s">
        <v>168</v>
      </c>
    </row>
    <row r="6" spans="1:10" ht="18" customHeight="1">
      <c r="A6" s="140" t="s">
        <v>554</v>
      </c>
      <c r="B6" s="141"/>
      <c r="C6" s="596"/>
      <c r="D6" s="448"/>
      <c r="E6" s="596"/>
      <c r="F6" s="650"/>
      <c r="G6" s="650"/>
    </row>
    <row r="7" spans="1:10" ht="18" customHeight="1">
      <c r="A7" s="641" t="s">
        <v>555</v>
      </c>
      <c r="B7" s="141" t="s">
        <v>564</v>
      </c>
      <c r="C7" s="118">
        <v>2784</v>
      </c>
      <c r="D7" s="118">
        <v>2759</v>
      </c>
      <c r="E7" s="118">
        <v>2953</v>
      </c>
      <c r="F7" s="998">
        <v>2870</v>
      </c>
      <c r="G7" s="998">
        <v>3072</v>
      </c>
    </row>
    <row r="8" spans="1:10" ht="18" customHeight="1">
      <c r="A8" s="641"/>
      <c r="B8" s="627" t="s">
        <v>565</v>
      </c>
      <c r="C8" s="463">
        <v>2270</v>
      </c>
      <c r="D8" s="463">
        <v>2080</v>
      </c>
      <c r="E8" s="463">
        <v>2210</v>
      </c>
      <c r="F8" s="463">
        <v>2214</v>
      </c>
      <c r="G8" s="463">
        <v>2401</v>
      </c>
    </row>
    <row r="9" spans="1:10" ht="18" customHeight="1">
      <c r="A9" s="641"/>
      <c r="B9" s="627" t="s">
        <v>566</v>
      </c>
      <c r="C9" s="463">
        <v>2462</v>
      </c>
      <c r="D9" s="463">
        <v>2272</v>
      </c>
      <c r="E9" s="463">
        <v>2706</v>
      </c>
      <c r="F9" s="463">
        <v>2280</v>
      </c>
      <c r="G9" s="463">
        <v>2772</v>
      </c>
    </row>
    <row r="10" spans="1:10" ht="18" customHeight="1">
      <c r="A10" s="641"/>
      <c r="B10" s="627" t="s">
        <v>567</v>
      </c>
      <c r="C10" s="463">
        <v>3345</v>
      </c>
      <c r="D10" s="463">
        <v>3532</v>
      </c>
      <c r="E10" s="463">
        <v>3584</v>
      </c>
      <c r="F10" s="463">
        <v>3756</v>
      </c>
      <c r="G10" s="463">
        <v>3721</v>
      </c>
    </row>
    <row r="11" spans="1:10" ht="18" customHeight="1">
      <c r="A11" s="641" t="s">
        <v>556</v>
      </c>
      <c r="B11" s="627" t="s">
        <v>568</v>
      </c>
      <c r="C11" s="463">
        <v>2549</v>
      </c>
      <c r="D11" s="463">
        <v>2536</v>
      </c>
      <c r="E11" s="463">
        <v>3078</v>
      </c>
      <c r="F11" s="463">
        <v>3320</v>
      </c>
      <c r="G11" s="463">
        <v>3366</v>
      </c>
    </row>
    <row r="12" spans="1:10" ht="18" customHeight="1">
      <c r="A12" s="641" t="s">
        <v>557</v>
      </c>
      <c r="B12" s="627" t="s">
        <v>569</v>
      </c>
      <c r="C12" s="463">
        <v>1960</v>
      </c>
      <c r="D12" s="463">
        <v>1384</v>
      </c>
      <c r="E12" s="463">
        <v>1630</v>
      </c>
      <c r="F12" s="463">
        <v>1670</v>
      </c>
      <c r="G12" s="463">
        <v>1505</v>
      </c>
    </row>
    <row r="13" spans="1:10" ht="18" customHeight="1">
      <c r="A13" s="641" t="s">
        <v>558</v>
      </c>
      <c r="B13" s="627" t="s">
        <v>570</v>
      </c>
      <c r="C13" s="463">
        <v>2362</v>
      </c>
      <c r="D13" s="463">
        <v>2622</v>
      </c>
      <c r="E13" s="463">
        <v>2613</v>
      </c>
      <c r="F13" s="463">
        <v>2541</v>
      </c>
      <c r="G13" s="463">
        <v>2614</v>
      </c>
    </row>
    <row r="14" spans="1:10" ht="18" customHeight="1">
      <c r="A14" s="641" t="s">
        <v>559</v>
      </c>
      <c r="B14" s="627" t="s">
        <v>571</v>
      </c>
      <c r="C14" s="463" t="s">
        <v>643</v>
      </c>
      <c r="D14" s="463" t="s">
        <v>643</v>
      </c>
      <c r="E14" s="463" t="s">
        <v>643</v>
      </c>
      <c r="F14" s="81" t="s">
        <v>643</v>
      </c>
      <c r="G14" s="81" t="s">
        <v>643</v>
      </c>
    </row>
    <row r="15" spans="1:10" s="5" customFormat="1" ht="18" customHeight="1">
      <c r="A15" s="140"/>
      <c r="B15" s="141" t="s">
        <v>572</v>
      </c>
      <c r="C15" s="118">
        <v>2747</v>
      </c>
      <c r="D15" s="118">
        <v>2726</v>
      </c>
      <c r="E15" s="118">
        <v>2967</v>
      </c>
      <c r="F15" s="118">
        <v>2934</v>
      </c>
      <c r="G15" s="118">
        <v>3112</v>
      </c>
    </row>
    <row r="16" spans="1:10" ht="18" customHeight="1">
      <c r="A16" s="641" t="s">
        <v>560</v>
      </c>
      <c r="B16" s="627" t="s">
        <v>221</v>
      </c>
      <c r="C16" s="463">
        <v>861</v>
      </c>
      <c r="D16" s="463">
        <v>853</v>
      </c>
      <c r="E16" s="463">
        <v>1095</v>
      </c>
      <c r="F16" s="463">
        <v>913</v>
      </c>
      <c r="G16" s="463">
        <v>1074</v>
      </c>
    </row>
    <row r="17" spans="1:7" ht="18" customHeight="1">
      <c r="A17" s="641" t="s">
        <v>561</v>
      </c>
      <c r="B17" s="627" t="s">
        <v>573</v>
      </c>
      <c r="C17" s="463">
        <v>1327</v>
      </c>
      <c r="D17" s="463">
        <v>1626</v>
      </c>
      <c r="E17" s="463">
        <v>448</v>
      </c>
      <c r="F17" s="463">
        <v>1403</v>
      </c>
      <c r="G17" s="463">
        <v>1555</v>
      </c>
    </row>
    <row r="18" spans="1:7" ht="18" customHeight="1">
      <c r="A18" s="641" t="s">
        <v>562</v>
      </c>
      <c r="B18" s="627" t="s">
        <v>574</v>
      </c>
      <c r="C18" s="463">
        <v>917</v>
      </c>
      <c r="D18" s="463">
        <v>984</v>
      </c>
      <c r="E18" s="463">
        <v>918</v>
      </c>
      <c r="F18" s="703">
        <v>951</v>
      </c>
      <c r="G18" s="703">
        <v>906</v>
      </c>
    </row>
    <row r="19" spans="1:7" ht="18" customHeight="1">
      <c r="A19" s="643"/>
      <c r="B19" s="141" t="s">
        <v>575</v>
      </c>
      <c r="C19" s="118">
        <v>890</v>
      </c>
      <c r="D19" s="118">
        <v>974</v>
      </c>
      <c r="E19" s="118">
        <v>935</v>
      </c>
      <c r="F19" s="118">
        <v>950</v>
      </c>
      <c r="G19" s="118">
        <v>930</v>
      </c>
    </row>
    <row r="20" spans="1:7" s="5" customFormat="1" ht="18" customHeight="1">
      <c r="A20" s="140"/>
      <c r="B20" s="141" t="s">
        <v>576</v>
      </c>
      <c r="C20" s="118">
        <v>2533</v>
      </c>
      <c r="D20" s="118">
        <v>2478</v>
      </c>
      <c r="E20" s="118">
        <v>2659</v>
      </c>
      <c r="F20" s="118">
        <v>2599</v>
      </c>
      <c r="G20" s="118">
        <v>2761</v>
      </c>
    </row>
    <row r="21" spans="1:7" ht="18" customHeight="1">
      <c r="A21" s="140" t="s">
        <v>1372</v>
      </c>
      <c r="B21" s="635"/>
      <c r="C21" s="463"/>
      <c r="D21" s="463"/>
      <c r="E21" s="463"/>
      <c r="F21" s="463"/>
      <c r="G21" s="463"/>
    </row>
    <row r="22" spans="1:7" ht="18" customHeight="1">
      <c r="A22" s="645" t="s">
        <v>555</v>
      </c>
      <c r="B22" s="627" t="s">
        <v>328</v>
      </c>
      <c r="C22" s="463">
        <v>1100</v>
      </c>
      <c r="D22" s="463">
        <v>1028</v>
      </c>
      <c r="E22" s="463">
        <v>949</v>
      </c>
      <c r="F22" s="463">
        <v>1193</v>
      </c>
      <c r="G22" s="463">
        <v>1177</v>
      </c>
    </row>
    <row r="23" spans="1:7" ht="18" customHeight="1">
      <c r="A23" s="645" t="s">
        <v>556</v>
      </c>
      <c r="B23" s="627" t="s">
        <v>1198</v>
      </c>
      <c r="C23" s="463">
        <v>555</v>
      </c>
      <c r="D23" s="463">
        <v>600</v>
      </c>
      <c r="E23" s="463">
        <v>451</v>
      </c>
      <c r="F23" s="463">
        <v>497</v>
      </c>
      <c r="G23" s="463">
        <v>484</v>
      </c>
    </row>
    <row r="24" spans="1:7" ht="18" customHeight="1">
      <c r="A24" s="645" t="s">
        <v>557</v>
      </c>
      <c r="B24" s="627" t="s">
        <v>585</v>
      </c>
      <c r="C24" s="463">
        <v>1243</v>
      </c>
      <c r="D24" s="463">
        <v>1230</v>
      </c>
      <c r="E24" s="463">
        <v>1222</v>
      </c>
      <c r="F24" s="703">
        <v>1341</v>
      </c>
      <c r="G24" s="703">
        <v>1372</v>
      </c>
    </row>
    <row r="25" spans="1:7" s="5" customFormat="1" ht="18" customHeight="1">
      <c r="A25" s="140"/>
      <c r="B25" s="141" t="s">
        <v>586</v>
      </c>
      <c r="C25" s="118">
        <v>1139</v>
      </c>
      <c r="D25" s="118">
        <v>1080</v>
      </c>
      <c r="E25" s="118">
        <v>1025</v>
      </c>
      <c r="F25" s="998">
        <v>1233</v>
      </c>
      <c r="G25" s="998">
        <v>1238</v>
      </c>
    </row>
    <row r="26" spans="1:7" ht="18" customHeight="1">
      <c r="A26" s="140" t="s">
        <v>1375</v>
      </c>
      <c r="B26" s="635"/>
      <c r="C26" s="463"/>
      <c r="D26" s="463"/>
      <c r="E26" s="463"/>
      <c r="F26" s="463"/>
      <c r="G26" s="463"/>
    </row>
    <row r="27" spans="1:7" ht="18" customHeight="1">
      <c r="A27" s="645" t="s">
        <v>555</v>
      </c>
      <c r="B27" s="627" t="s">
        <v>587</v>
      </c>
      <c r="C27" s="463">
        <v>16.100000000000001</v>
      </c>
      <c r="D27" s="463">
        <v>13.7</v>
      </c>
      <c r="E27" s="463">
        <v>13.9</v>
      </c>
      <c r="F27" s="647">
        <v>14.19</v>
      </c>
      <c r="G27" s="647">
        <v>17.399999999999999</v>
      </c>
    </row>
    <row r="28" spans="1:7" ht="18" customHeight="1">
      <c r="A28" s="645" t="s">
        <v>556</v>
      </c>
      <c r="B28" s="627" t="s">
        <v>588</v>
      </c>
      <c r="C28" s="463">
        <v>10.1</v>
      </c>
      <c r="D28" s="463">
        <v>9.6999999999999993</v>
      </c>
      <c r="E28" s="463">
        <v>17.100000000000001</v>
      </c>
      <c r="F28" s="647">
        <v>11.91</v>
      </c>
      <c r="G28" s="647">
        <v>13.2</v>
      </c>
    </row>
    <row r="29" spans="1:7" ht="18" customHeight="1">
      <c r="A29" s="645" t="s">
        <v>557</v>
      </c>
      <c r="B29" s="627" t="s">
        <v>1407</v>
      </c>
      <c r="C29" s="463" t="s">
        <v>643</v>
      </c>
      <c r="D29" s="463" t="s">
        <v>643</v>
      </c>
      <c r="E29" s="463" t="s">
        <v>643</v>
      </c>
      <c r="F29" s="81" t="s">
        <v>643</v>
      </c>
      <c r="G29" s="81" t="s">
        <v>643</v>
      </c>
    </row>
    <row r="30" spans="1:7" s="5" customFormat="1" ht="18" customHeight="1">
      <c r="A30" s="140"/>
      <c r="B30" s="141" t="s">
        <v>1408</v>
      </c>
      <c r="C30" s="329">
        <v>16</v>
      </c>
      <c r="D30" s="118">
        <v>13.7</v>
      </c>
      <c r="E30" s="118">
        <v>13.9</v>
      </c>
      <c r="F30" s="1026">
        <v>14.19</v>
      </c>
      <c r="G30" s="1026">
        <v>17.399999999999999</v>
      </c>
    </row>
    <row r="31" spans="1:7" ht="18" customHeight="1">
      <c r="A31" s="140" t="s">
        <v>1374</v>
      </c>
      <c r="B31" s="635"/>
      <c r="C31" s="463"/>
      <c r="D31" s="463"/>
      <c r="E31" s="463"/>
      <c r="F31" s="463"/>
      <c r="G31" s="463"/>
    </row>
    <row r="32" spans="1:7" ht="18" customHeight="1">
      <c r="A32" s="645" t="s">
        <v>555</v>
      </c>
      <c r="B32" s="627" t="s">
        <v>592</v>
      </c>
      <c r="C32" s="463">
        <v>47088</v>
      </c>
      <c r="D32" s="463">
        <v>81190</v>
      </c>
      <c r="E32" s="463">
        <v>137139</v>
      </c>
      <c r="F32" s="463">
        <v>101323</v>
      </c>
      <c r="G32" s="463">
        <v>100232</v>
      </c>
    </row>
    <row r="33" spans="1:10" ht="18" customHeight="1">
      <c r="A33" s="645" t="s">
        <v>556</v>
      </c>
      <c r="B33" s="627" t="s">
        <v>593</v>
      </c>
      <c r="C33" s="463">
        <v>30676</v>
      </c>
      <c r="D33" s="463">
        <v>27301</v>
      </c>
      <c r="E33" s="463">
        <v>30959</v>
      </c>
      <c r="F33" s="463">
        <v>31905</v>
      </c>
      <c r="G33" s="463">
        <v>30590</v>
      </c>
    </row>
    <row r="34" spans="1:10" ht="18" customHeight="1">
      <c r="A34" s="645" t="s">
        <v>557</v>
      </c>
      <c r="B34" s="627" t="s">
        <v>594</v>
      </c>
      <c r="C34" s="463">
        <v>850</v>
      </c>
      <c r="D34" s="463">
        <v>867</v>
      </c>
      <c r="E34" s="463">
        <v>850</v>
      </c>
      <c r="F34" s="463">
        <v>875</v>
      </c>
      <c r="G34" s="463">
        <v>800</v>
      </c>
    </row>
    <row r="35" spans="1:10" ht="18" customHeight="1">
      <c r="A35" s="645" t="s">
        <v>558</v>
      </c>
      <c r="B35" s="627" t="s">
        <v>595</v>
      </c>
      <c r="C35" s="463" t="s">
        <v>643</v>
      </c>
      <c r="D35" s="463" t="s">
        <v>643</v>
      </c>
      <c r="E35" s="463" t="s">
        <v>643</v>
      </c>
      <c r="F35" s="81" t="s">
        <v>643</v>
      </c>
      <c r="G35" s="81" t="s">
        <v>643</v>
      </c>
    </row>
    <row r="36" spans="1:10" ht="18" customHeight="1">
      <c r="A36" s="645" t="s">
        <v>559</v>
      </c>
      <c r="B36" s="627" t="s">
        <v>596</v>
      </c>
      <c r="C36" s="463">
        <v>1641</v>
      </c>
      <c r="D36" s="463">
        <v>1645</v>
      </c>
      <c r="E36" s="463">
        <v>1644</v>
      </c>
      <c r="F36" s="703">
        <v>1644</v>
      </c>
      <c r="G36" s="703">
        <v>1645</v>
      </c>
    </row>
    <row r="37" spans="1:10" ht="18" customHeight="1">
      <c r="A37" s="645" t="s">
        <v>560</v>
      </c>
      <c r="B37" s="627" t="s">
        <v>597</v>
      </c>
      <c r="C37" s="463">
        <v>1702</v>
      </c>
      <c r="D37" s="463">
        <v>1778</v>
      </c>
      <c r="E37" s="463">
        <v>1783</v>
      </c>
      <c r="F37" s="463">
        <v>1823</v>
      </c>
      <c r="G37" s="463">
        <v>1892</v>
      </c>
    </row>
    <row r="38" spans="1:10" ht="27.75" customHeight="1">
      <c r="A38" s="648"/>
      <c r="B38" s="143" t="s">
        <v>598</v>
      </c>
      <c r="C38" s="119">
        <v>18409</v>
      </c>
      <c r="D38" s="119">
        <v>17830</v>
      </c>
      <c r="E38" s="119">
        <v>29875</v>
      </c>
      <c r="F38" s="1027">
        <v>26000</v>
      </c>
      <c r="G38" s="1027">
        <v>25777</v>
      </c>
      <c r="H38" s="5"/>
    </row>
    <row r="39" spans="1:10">
      <c r="A39" s="18" t="s">
        <v>618</v>
      </c>
      <c r="B39" s="18"/>
      <c r="C39" s="18"/>
      <c r="D39" s="280" t="s">
        <v>600</v>
      </c>
      <c r="E39" s="18" t="s">
        <v>693</v>
      </c>
      <c r="F39" s="18"/>
      <c r="G39" s="18"/>
    </row>
    <row r="40" spans="1:10">
      <c r="A40" s="18"/>
      <c r="B40" s="18"/>
      <c r="C40" s="18"/>
      <c r="D40" s="18"/>
      <c r="E40" s="18" t="s">
        <v>601</v>
      </c>
      <c r="F40" s="18"/>
      <c r="G40" s="18"/>
    </row>
    <row r="41" spans="1:10">
      <c r="G41" s="450"/>
    </row>
    <row r="42" spans="1:10">
      <c r="B42" s="471"/>
      <c r="C42" s="471"/>
      <c r="D42" s="471"/>
      <c r="E42" s="471"/>
      <c r="F42" s="471"/>
      <c r="G42" s="487"/>
      <c r="H42" s="487"/>
      <c r="I42" s="651"/>
      <c r="J42" s="487"/>
    </row>
    <row r="43" spans="1:10">
      <c r="G43" s="450"/>
    </row>
    <row r="44" spans="1:10">
      <c r="B44" s="652"/>
      <c r="C44" s="487"/>
      <c r="D44" s="652"/>
      <c r="E44" s="487"/>
      <c r="F44" s="652"/>
      <c r="G44" s="487"/>
      <c r="H44" s="487"/>
      <c r="I44" s="651"/>
      <c r="J44" s="487"/>
    </row>
    <row r="45" spans="1:10">
      <c r="G45" s="450"/>
    </row>
    <row r="46" spans="1:10">
      <c r="G46" s="450"/>
    </row>
    <row r="47" spans="1:10">
      <c r="G47" s="450"/>
    </row>
    <row r="48" spans="1:10">
      <c r="G48" s="450"/>
    </row>
    <row r="49" spans="7:7">
      <c r="G49" s="450"/>
    </row>
    <row r="50" spans="7:7">
      <c r="G50" s="450"/>
    </row>
    <row r="51" spans="7:7">
      <c r="G51" s="450"/>
    </row>
  </sheetData>
  <mergeCells count="4">
    <mergeCell ref="A1:G1"/>
    <mergeCell ref="A4:B4"/>
    <mergeCell ref="A5:B5"/>
    <mergeCell ref="A2:G2"/>
  </mergeCells>
  <phoneticPr fontId="0" type="noConversion"/>
  <printOptions horizontalCentered="1"/>
  <pageMargins left="0.1" right="0.1" top="0.77" bottom="0.1" header="0.54" footer="0.1"/>
  <pageSetup paperSize="9" orientation="portrait" blackAndWhite="1" r:id="rId1"/>
  <headerFooter alignWithMargins="0"/>
</worksheet>
</file>

<file path=xl/worksheets/sheet48.xml><?xml version="1.0" encoding="utf-8"?>
<worksheet xmlns="http://schemas.openxmlformats.org/spreadsheetml/2006/main" xmlns:r="http://schemas.openxmlformats.org/officeDocument/2006/relationships">
  <dimension ref="A1:L30"/>
  <sheetViews>
    <sheetView topLeftCell="A10" workbookViewId="0">
      <selection activeCell="J10" sqref="J10"/>
    </sheetView>
  </sheetViews>
  <sheetFormatPr defaultRowHeight="12.75"/>
  <cols>
    <col min="1" max="1" width="14.7109375" style="405" customWidth="1"/>
    <col min="2" max="2" width="10.28515625" style="405" customWidth="1"/>
    <col min="3" max="3" width="12.7109375" style="405" customWidth="1"/>
    <col min="4" max="4" width="10.42578125" style="405" customWidth="1"/>
    <col min="5" max="5" width="12.7109375" style="405" customWidth="1"/>
    <col min="6" max="6" width="10.28515625" style="405" customWidth="1"/>
    <col min="7" max="7" width="12.7109375" style="405" customWidth="1"/>
    <col min="8" max="8" width="10.28515625" style="405" customWidth="1"/>
    <col min="9" max="9" width="14.5703125" style="405" customWidth="1"/>
    <col min="10" max="10" width="10.140625" style="405" customWidth="1"/>
    <col min="11" max="11" width="11.7109375" style="405" customWidth="1"/>
    <col min="12" max="16384" width="9.140625" style="405"/>
  </cols>
  <sheetData>
    <row r="1" spans="1:12" ht="12.75" customHeight="1">
      <c r="A1" s="1435" t="s">
        <v>758</v>
      </c>
      <c r="B1" s="1435"/>
      <c r="C1" s="1435"/>
      <c r="D1" s="1435"/>
      <c r="E1" s="1435"/>
      <c r="F1" s="1435"/>
      <c r="G1" s="1435"/>
      <c r="H1" s="1435"/>
      <c r="I1" s="1435"/>
      <c r="J1" s="1435"/>
      <c r="K1" s="1435"/>
    </row>
    <row r="2" spans="1:12" s="412" customFormat="1" ht="15.95" customHeight="1">
      <c r="A2" s="1254" t="str">
        <f>CONCATENATE("Yield rates of some Selected Crops in the district of ",District!A1," and West Bengal")</f>
        <v>Yield rates of some Selected Crops in the district of Nadia and West Bengal</v>
      </c>
      <c r="B2" s="1254"/>
      <c r="C2" s="1254"/>
      <c r="D2" s="1254"/>
      <c r="E2" s="1254"/>
      <c r="F2" s="1254"/>
      <c r="G2" s="1254"/>
      <c r="H2" s="1254"/>
      <c r="I2" s="1254"/>
      <c r="J2" s="1254"/>
      <c r="K2" s="1254"/>
    </row>
    <row r="3" spans="1:12" ht="15.95" customHeight="1">
      <c r="A3" s="412"/>
      <c r="B3" s="412"/>
      <c r="C3" s="412"/>
      <c r="D3" s="412"/>
      <c r="E3" s="412"/>
      <c r="F3" s="412"/>
      <c r="G3" s="412"/>
      <c r="H3" s="412"/>
      <c r="I3" s="412"/>
      <c r="J3" s="412"/>
      <c r="K3" s="27" t="s">
        <v>604</v>
      </c>
    </row>
    <row r="4" spans="1:12" ht="15.95" customHeight="1">
      <c r="A4" s="1257" t="s">
        <v>563</v>
      </c>
      <c r="B4" s="1253" t="str">
        <f>District!C11</f>
        <v>2009-10</v>
      </c>
      <c r="C4" s="1252"/>
      <c r="D4" s="1253" t="str">
        <f>District!E11</f>
        <v>2010-11</v>
      </c>
      <c r="E4" s="1252"/>
      <c r="F4" s="1253" t="str">
        <f>District!G11</f>
        <v>2011-12</v>
      </c>
      <c r="G4" s="1252"/>
      <c r="H4" s="1253" t="str">
        <f>District!I11</f>
        <v>2012-13</v>
      </c>
      <c r="I4" s="1252"/>
      <c r="J4" s="1253" t="str">
        <f>District!K11</f>
        <v>2013-14</v>
      </c>
      <c r="K4" s="1252"/>
    </row>
    <row r="5" spans="1:12" ht="15.95" customHeight="1">
      <c r="A5" s="1258"/>
      <c r="B5" s="223" t="s">
        <v>619</v>
      </c>
      <c r="C5" s="94" t="s">
        <v>620</v>
      </c>
      <c r="D5" s="223" t="s">
        <v>619</v>
      </c>
      <c r="E5" s="94" t="s">
        <v>620</v>
      </c>
      <c r="F5" s="223" t="s">
        <v>619</v>
      </c>
      <c r="G5" s="94" t="s">
        <v>620</v>
      </c>
      <c r="H5" s="223" t="s">
        <v>619</v>
      </c>
      <c r="I5" s="221" t="s">
        <v>1422</v>
      </c>
      <c r="J5" s="223" t="s">
        <v>619</v>
      </c>
      <c r="K5" s="94" t="s">
        <v>620</v>
      </c>
    </row>
    <row r="6" spans="1:12" ht="15.95" customHeight="1">
      <c r="A6" s="365" t="s">
        <v>163</v>
      </c>
      <c r="B6" s="225" t="s">
        <v>164</v>
      </c>
      <c r="C6" s="208" t="s">
        <v>165</v>
      </c>
      <c r="D6" s="365" t="s">
        <v>166</v>
      </c>
      <c r="E6" s="224" t="s">
        <v>167</v>
      </c>
      <c r="F6" s="304" t="s">
        <v>168</v>
      </c>
      <c r="G6" s="481" t="s">
        <v>169</v>
      </c>
      <c r="H6" s="304" t="s">
        <v>211</v>
      </c>
      <c r="I6" s="304" t="s">
        <v>212</v>
      </c>
      <c r="J6" s="480" t="s">
        <v>213</v>
      </c>
      <c r="K6" s="304" t="s">
        <v>214</v>
      </c>
      <c r="L6" s="450"/>
    </row>
    <row r="7" spans="1:12" ht="19.5" customHeight="1">
      <c r="A7" s="81" t="s">
        <v>564</v>
      </c>
      <c r="B7" s="462">
        <v>2784</v>
      </c>
      <c r="C7" s="615">
        <v>2547</v>
      </c>
      <c r="D7" s="653">
        <v>2759</v>
      </c>
      <c r="E7" s="462">
        <v>2708</v>
      </c>
      <c r="F7" s="653">
        <v>2953</v>
      </c>
      <c r="G7" s="462">
        <v>2688</v>
      </c>
      <c r="H7" s="653">
        <v>2870</v>
      </c>
      <c r="I7" s="462">
        <v>2745</v>
      </c>
      <c r="J7" s="653">
        <v>3072</v>
      </c>
      <c r="K7" s="1211">
        <v>2789</v>
      </c>
      <c r="L7" s="487"/>
    </row>
    <row r="8" spans="1:12" ht="19.5" customHeight="1">
      <c r="A8" s="81" t="s">
        <v>568</v>
      </c>
      <c r="B8" s="462">
        <v>2549</v>
      </c>
      <c r="C8" s="462">
        <v>2680</v>
      </c>
      <c r="D8" s="653">
        <v>2536</v>
      </c>
      <c r="E8" s="462">
        <v>2760</v>
      </c>
      <c r="F8" s="653">
        <v>3078</v>
      </c>
      <c r="G8" s="462">
        <v>2765</v>
      </c>
      <c r="H8" s="653">
        <v>3320</v>
      </c>
      <c r="I8" s="462">
        <v>2786</v>
      </c>
      <c r="J8" s="653">
        <v>3366</v>
      </c>
      <c r="K8" s="1211">
        <v>2799</v>
      </c>
      <c r="L8" s="487"/>
    </row>
    <row r="9" spans="1:12" ht="19.5" customHeight="1">
      <c r="A9" s="81" t="s">
        <v>221</v>
      </c>
      <c r="B9" s="462">
        <v>861</v>
      </c>
      <c r="C9" s="462">
        <v>1110</v>
      </c>
      <c r="D9" s="653">
        <v>853</v>
      </c>
      <c r="E9" s="462">
        <v>1069</v>
      </c>
      <c r="F9" s="653">
        <v>1095</v>
      </c>
      <c r="G9" s="462">
        <v>1049</v>
      </c>
      <c r="H9" s="653">
        <v>913</v>
      </c>
      <c r="I9" s="462">
        <v>1176</v>
      </c>
      <c r="J9" s="653">
        <v>1074</v>
      </c>
      <c r="K9" s="1211">
        <v>1175</v>
      </c>
      <c r="L9" s="487"/>
    </row>
    <row r="10" spans="1:12" ht="19.5" customHeight="1">
      <c r="A10" s="81" t="s">
        <v>587</v>
      </c>
      <c r="B10" s="462">
        <v>2898</v>
      </c>
      <c r="C10" s="462">
        <v>2573</v>
      </c>
      <c r="D10" s="653">
        <v>2466</v>
      </c>
      <c r="E10" s="462">
        <v>2576</v>
      </c>
      <c r="F10" s="653">
        <v>2502</v>
      </c>
      <c r="G10" s="462">
        <v>2572</v>
      </c>
      <c r="H10" s="1000">
        <v>2554.1999999999998</v>
      </c>
      <c r="I10" s="999">
        <v>2568.6</v>
      </c>
      <c r="J10" s="1000">
        <v>3128</v>
      </c>
      <c r="K10" s="1211">
        <v>2788</v>
      </c>
      <c r="L10" s="487"/>
    </row>
    <row r="11" spans="1:12" ht="25.5" customHeight="1">
      <c r="A11" s="404" t="s">
        <v>328</v>
      </c>
      <c r="B11" s="462">
        <v>1100</v>
      </c>
      <c r="C11" s="462">
        <v>850</v>
      </c>
      <c r="D11" s="653">
        <v>1028</v>
      </c>
      <c r="E11" s="462">
        <v>1021</v>
      </c>
      <c r="F11" s="653">
        <v>949</v>
      </c>
      <c r="G11" s="462">
        <v>908</v>
      </c>
      <c r="H11" s="653">
        <v>1193</v>
      </c>
      <c r="I11" s="462">
        <v>1062</v>
      </c>
      <c r="J11" s="653">
        <v>1177</v>
      </c>
      <c r="K11" s="1211">
        <v>1066</v>
      </c>
      <c r="L11" s="487"/>
    </row>
    <row r="12" spans="1:12" ht="19.5" customHeight="1">
      <c r="A12" s="81" t="s">
        <v>593</v>
      </c>
      <c r="B12" s="462">
        <v>30676</v>
      </c>
      <c r="C12" s="462">
        <v>35768</v>
      </c>
      <c r="D12" s="653">
        <v>27301</v>
      </c>
      <c r="E12" s="462">
        <v>32831</v>
      </c>
      <c r="F12" s="653">
        <v>30959</v>
      </c>
      <c r="G12" s="462">
        <v>25641</v>
      </c>
      <c r="H12" s="653">
        <v>31905</v>
      </c>
      <c r="I12" s="462">
        <v>29869</v>
      </c>
      <c r="J12" s="653">
        <v>30590</v>
      </c>
      <c r="K12" s="1211">
        <v>21955</v>
      </c>
      <c r="L12" s="487"/>
    </row>
    <row r="13" spans="1:12" ht="19.5" customHeight="1">
      <c r="A13" s="129" t="s">
        <v>595</v>
      </c>
      <c r="B13" s="989" t="s">
        <v>643</v>
      </c>
      <c r="C13" s="116" t="s">
        <v>985</v>
      </c>
      <c r="D13" s="1213" t="s">
        <v>643</v>
      </c>
      <c r="E13" s="116" t="s">
        <v>986</v>
      </c>
      <c r="F13" s="1213" t="s">
        <v>643</v>
      </c>
      <c r="G13" s="116" t="s">
        <v>1699</v>
      </c>
      <c r="H13" s="1213" t="s">
        <v>643</v>
      </c>
      <c r="I13" s="116" t="s">
        <v>1700</v>
      </c>
      <c r="J13" s="1213" t="s">
        <v>643</v>
      </c>
      <c r="K13" s="116">
        <v>2222</v>
      </c>
      <c r="L13" s="487"/>
    </row>
    <row r="14" spans="1:12">
      <c r="C14" s="426"/>
      <c r="H14" s="280" t="s">
        <v>600</v>
      </c>
      <c r="I14" s="18" t="s">
        <v>693</v>
      </c>
      <c r="J14" s="6"/>
      <c r="K14" s="6"/>
    </row>
    <row r="15" spans="1:12">
      <c r="H15" s="18"/>
      <c r="I15" s="18" t="s">
        <v>694</v>
      </c>
      <c r="J15" s="6"/>
      <c r="K15" s="6"/>
    </row>
    <row r="16" spans="1:12">
      <c r="H16" s="18"/>
      <c r="I16" s="18" t="s">
        <v>647</v>
      </c>
      <c r="J16" s="6"/>
      <c r="K16" s="6"/>
    </row>
    <row r="17" spans="1:11">
      <c r="G17" s="6"/>
      <c r="H17" s="6"/>
      <c r="I17" s="6"/>
      <c r="J17" s="6"/>
      <c r="K17" s="6"/>
    </row>
    <row r="18" spans="1:11">
      <c r="A18" s="1250" t="s">
        <v>757</v>
      </c>
      <c r="B18" s="1250"/>
      <c r="C18" s="1250"/>
      <c r="D18" s="1250"/>
      <c r="E18" s="1250"/>
      <c r="F18" s="1250"/>
      <c r="G18" s="1250"/>
      <c r="H18" s="1250"/>
      <c r="I18" s="1250"/>
      <c r="J18" s="1250"/>
      <c r="K18" s="1250"/>
    </row>
    <row r="19" spans="1:11" s="412" customFormat="1" ht="15.75" customHeight="1">
      <c r="A19" s="1513" t="str">
        <f>CONCATENATE("Index Numbers of Agricultural Area, Production &amp; Productivity in the district of ",District!$A$1)</f>
        <v>Index Numbers of Agricultural Area, Production &amp; Productivity in the district of Nadia</v>
      </c>
      <c r="B19" s="1513"/>
      <c r="C19" s="1513"/>
      <c r="D19" s="1513"/>
      <c r="E19" s="1513"/>
      <c r="F19" s="1513"/>
      <c r="G19" s="1513"/>
      <c r="H19" s="1513"/>
      <c r="I19" s="1513"/>
      <c r="J19" s="1513"/>
      <c r="K19" s="1513"/>
    </row>
    <row r="20" spans="1:11">
      <c r="A20" s="412"/>
      <c r="B20" s="412"/>
      <c r="C20" s="1510" t="s">
        <v>103</v>
      </c>
      <c r="D20" s="1510"/>
      <c r="E20" s="1510"/>
      <c r="F20" s="1510"/>
      <c r="G20" s="1510"/>
      <c r="H20" s="1510"/>
      <c r="I20" s="1510"/>
    </row>
    <row r="21" spans="1:11" ht="15" customHeight="1">
      <c r="A21" s="1268" t="s">
        <v>107</v>
      </c>
      <c r="B21" s="1511"/>
      <c r="C21" s="1253" t="s">
        <v>1215</v>
      </c>
      <c r="D21" s="1509"/>
      <c r="E21" s="1508"/>
      <c r="F21" s="1253" t="s">
        <v>648</v>
      </c>
      <c r="G21" s="1509"/>
      <c r="H21" s="1508"/>
      <c r="I21" s="1253" t="s">
        <v>105</v>
      </c>
      <c r="J21" s="1509"/>
      <c r="K21" s="1508"/>
    </row>
    <row r="22" spans="1:11" ht="18.75" customHeight="1">
      <c r="A22" s="1512"/>
      <c r="B22" s="1506"/>
      <c r="C22" s="221" t="s">
        <v>104</v>
      </c>
      <c r="D22" s="1253" t="s">
        <v>1409</v>
      </c>
      <c r="E22" s="1508"/>
      <c r="F22" s="221" t="s">
        <v>104</v>
      </c>
      <c r="G22" s="1253" t="s">
        <v>1409</v>
      </c>
      <c r="H22" s="1508"/>
      <c r="I22" s="221" t="s">
        <v>104</v>
      </c>
      <c r="J22" s="1253" t="s">
        <v>1409</v>
      </c>
      <c r="K22" s="1508"/>
    </row>
    <row r="23" spans="1:11" ht="18.75" customHeight="1">
      <c r="A23" s="1259" t="s">
        <v>163</v>
      </c>
      <c r="B23" s="1508"/>
      <c r="C23" s="225" t="s">
        <v>164</v>
      </c>
      <c r="D23" s="1259" t="s">
        <v>165</v>
      </c>
      <c r="E23" s="1508"/>
      <c r="F23" s="225" t="s">
        <v>166</v>
      </c>
      <c r="G23" s="1259" t="s">
        <v>167</v>
      </c>
      <c r="H23" s="1508"/>
      <c r="I23" s="225" t="s">
        <v>168</v>
      </c>
      <c r="J23" s="1259" t="s">
        <v>169</v>
      </c>
      <c r="K23" s="1508"/>
    </row>
    <row r="24" spans="1:11" ht="20.25" customHeight="1">
      <c r="A24" s="1268" t="s">
        <v>1340</v>
      </c>
      <c r="B24" s="1266"/>
      <c r="C24" s="204">
        <v>107.49</v>
      </c>
      <c r="D24" s="1268">
        <v>110.35</v>
      </c>
      <c r="E24" s="1266"/>
      <c r="F24" s="188">
        <v>211.5</v>
      </c>
      <c r="G24" s="1514">
        <v>230.22</v>
      </c>
      <c r="H24" s="1515"/>
      <c r="I24" s="188">
        <v>196.76</v>
      </c>
      <c r="J24" s="1268">
        <v>208.63</v>
      </c>
      <c r="K24" s="1266"/>
    </row>
    <row r="25" spans="1:11" ht="20.25" customHeight="1">
      <c r="A25" s="1351" t="s">
        <v>1339</v>
      </c>
      <c r="B25" s="1398"/>
      <c r="C25" s="81">
        <v>106.51</v>
      </c>
      <c r="D25" s="1351">
        <v>110.99</v>
      </c>
      <c r="E25" s="1398"/>
      <c r="F25" s="188">
        <v>207.23</v>
      </c>
      <c r="G25" s="1351">
        <v>221.35</v>
      </c>
      <c r="H25" s="1398"/>
      <c r="I25" s="188">
        <v>194.56</v>
      </c>
      <c r="J25" s="1351">
        <v>199.43</v>
      </c>
      <c r="K25" s="1398"/>
    </row>
    <row r="26" spans="1:11" ht="20.25" customHeight="1">
      <c r="A26" s="1351" t="s">
        <v>1200</v>
      </c>
      <c r="B26" s="1398"/>
      <c r="C26" s="81">
        <v>113.33</v>
      </c>
      <c r="D26" s="1351">
        <v>118.68</v>
      </c>
      <c r="E26" s="1398"/>
      <c r="F26" s="188">
        <v>239.64</v>
      </c>
      <c r="G26" s="1351">
        <v>246.01</v>
      </c>
      <c r="H26" s="1398"/>
      <c r="I26" s="188">
        <v>211.45</v>
      </c>
      <c r="J26" s="1351">
        <v>207.29</v>
      </c>
      <c r="K26" s="1398"/>
    </row>
    <row r="27" spans="1:11" ht="20.25" customHeight="1">
      <c r="A27" s="1351" t="s">
        <v>1223</v>
      </c>
      <c r="B27" s="1404"/>
      <c r="C27" s="81">
        <v>106.65</v>
      </c>
      <c r="D27" s="1351">
        <v>120.17</v>
      </c>
      <c r="E27" s="1507"/>
      <c r="F27" s="188">
        <v>219.41</v>
      </c>
      <c r="G27" s="1351">
        <v>248.46</v>
      </c>
      <c r="H27" s="1507"/>
      <c r="I27" s="188">
        <v>205.73</v>
      </c>
      <c r="J27" s="1351">
        <v>206.76</v>
      </c>
      <c r="K27" s="1507"/>
    </row>
    <row r="28" spans="1:11" ht="20.25" customHeight="1">
      <c r="A28" s="1399" t="s">
        <v>720</v>
      </c>
      <c r="B28" s="1290"/>
      <c r="C28" s="129">
        <v>286.55</v>
      </c>
      <c r="D28" s="1399">
        <v>118.53</v>
      </c>
      <c r="E28" s="1506"/>
      <c r="F28" s="222">
        <v>240.98</v>
      </c>
      <c r="G28" s="1399">
        <v>264.18</v>
      </c>
      <c r="H28" s="1506"/>
      <c r="I28" s="222">
        <v>218.89</v>
      </c>
      <c r="J28" s="1399">
        <v>222.88</v>
      </c>
      <c r="K28" s="1506"/>
    </row>
    <row r="29" spans="1:11">
      <c r="B29" s="450"/>
      <c r="C29" s="183"/>
      <c r="G29" s="6"/>
      <c r="J29" s="6"/>
      <c r="K29" s="280" t="s">
        <v>1485</v>
      </c>
    </row>
    <row r="30" spans="1:11">
      <c r="B30" s="450"/>
      <c r="C30" s="450"/>
    </row>
  </sheetData>
  <mergeCells count="42">
    <mergeCell ref="A24:B24"/>
    <mergeCell ref="A21:B22"/>
    <mergeCell ref="I21:K21"/>
    <mergeCell ref="D22:E22"/>
    <mergeCell ref="A19:K19"/>
    <mergeCell ref="G22:H22"/>
    <mergeCell ref="J24:K24"/>
    <mergeCell ref="J23:K23"/>
    <mergeCell ref="G24:H24"/>
    <mergeCell ref="D24:E24"/>
    <mergeCell ref="B4:C4"/>
    <mergeCell ref="D4:E4"/>
    <mergeCell ref="F4:G4"/>
    <mergeCell ref="A23:B23"/>
    <mergeCell ref="A1:K1"/>
    <mergeCell ref="A18:K18"/>
    <mergeCell ref="J4:K4"/>
    <mergeCell ref="H4:I4"/>
    <mergeCell ref="A4:A5"/>
    <mergeCell ref="A2:K2"/>
    <mergeCell ref="F21:H21"/>
    <mergeCell ref="G23:H23"/>
    <mergeCell ref="D23:E23"/>
    <mergeCell ref="C20:I20"/>
    <mergeCell ref="C21:E21"/>
    <mergeCell ref="J22:K22"/>
    <mergeCell ref="A28:B28"/>
    <mergeCell ref="A25:B25"/>
    <mergeCell ref="A26:B26"/>
    <mergeCell ref="J28:K28"/>
    <mergeCell ref="D26:E26"/>
    <mergeCell ref="D25:E25"/>
    <mergeCell ref="G27:H27"/>
    <mergeCell ref="J27:K27"/>
    <mergeCell ref="D28:E28"/>
    <mergeCell ref="G26:H26"/>
    <mergeCell ref="G25:H25"/>
    <mergeCell ref="G28:H28"/>
    <mergeCell ref="A27:B27"/>
    <mergeCell ref="J25:K25"/>
    <mergeCell ref="D27:E27"/>
    <mergeCell ref="J26:K26"/>
  </mergeCells>
  <phoneticPr fontId="0" type="noConversion"/>
  <printOptions horizontalCentered="1"/>
  <pageMargins left="0.1" right="0.1" top="0.85" bottom="0.21" header="0.27" footer="0.16"/>
  <pageSetup paperSize="9" orientation="landscape" blackAndWhite="1" r:id="rId1"/>
  <headerFooter alignWithMargins="0"/>
</worksheet>
</file>

<file path=xl/worksheets/sheet49.xml><?xml version="1.0" encoding="utf-8"?>
<worksheet xmlns="http://schemas.openxmlformats.org/spreadsheetml/2006/main" xmlns:r="http://schemas.openxmlformats.org/officeDocument/2006/relationships">
  <dimension ref="A1:S36"/>
  <sheetViews>
    <sheetView topLeftCell="B1" workbookViewId="0">
      <selection activeCell="O23" sqref="O23"/>
    </sheetView>
  </sheetViews>
  <sheetFormatPr defaultRowHeight="12.75"/>
  <cols>
    <col min="1" max="1" width="10.140625" style="405" customWidth="1"/>
    <col min="2" max="2" width="3.42578125" style="405" customWidth="1"/>
    <col min="3" max="3" width="16.28515625" style="405" customWidth="1"/>
    <col min="4" max="13" width="10.7109375" style="405" customWidth="1"/>
    <col min="14" max="16384" width="9.140625" style="405"/>
  </cols>
  <sheetData>
    <row r="1" spans="1:19" ht="15.75" customHeight="1">
      <c r="A1" s="432"/>
      <c r="B1" s="1250" t="s">
        <v>458</v>
      </c>
      <c r="C1" s="1250"/>
      <c r="D1" s="1250"/>
      <c r="E1" s="1250"/>
      <c r="F1" s="1250"/>
      <c r="G1" s="1250"/>
      <c r="H1" s="1250"/>
      <c r="I1" s="1250"/>
      <c r="J1" s="1250"/>
      <c r="K1" s="1250"/>
      <c r="L1" s="1250"/>
      <c r="M1" s="1250"/>
    </row>
    <row r="2" spans="1:19" s="412" customFormat="1" ht="16.5">
      <c r="A2" s="433"/>
      <c r="B2" s="1516" t="str">
        <f>CONCATENATE("Area and Production of Fruits and Vegetables in the district of ",District!A1)</f>
        <v>Area and Production of Fruits and Vegetables in the district of Nadia</v>
      </c>
      <c r="C2" s="1516"/>
      <c r="D2" s="1516"/>
      <c r="E2" s="1516"/>
      <c r="F2" s="1516"/>
      <c r="G2" s="1516"/>
      <c r="H2" s="1516"/>
      <c r="I2" s="1516"/>
      <c r="J2" s="1516"/>
      <c r="K2" s="1516"/>
      <c r="L2" s="1516"/>
      <c r="M2" s="1516"/>
    </row>
    <row r="3" spans="1:19" ht="15" customHeight="1">
      <c r="A3" s="435"/>
      <c r="B3" s="1333" t="s">
        <v>695</v>
      </c>
      <c r="C3" s="1278"/>
      <c r="D3" s="1268" t="s">
        <v>1039</v>
      </c>
      <c r="E3" s="1265"/>
      <c r="F3" s="1265"/>
      <c r="G3" s="1265"/>
      <c r="H3" s="1266"/>
      <c r="I3" s="1265" t="s">
        <v>1040</v>
      </c>
      <c r="J3" s="1265"/>
      <c r="K3" s="1265"/>
      <c r="L3" s="1265"/>
      <c r="M3" s="1266"/>
    </row>
    <row r="4" spans="1:19" ht="15" customHeight="1">
      <c r="A4" s="433"/>
      <c r="B4" s="1334"/>
      <c r="C4" s="1308"/>
      <c r="D4" s="394" t="str">
        <f>District!C8</f>
        <v>2009-10</v>
      </c>
      <c r="E4" s="452" t="str">
        <f>District!D8</f>
        <v>2010-11</v>
      </c>
      <c r="F4" s="452" t="str">
        <f>District!E8</f>
        <v>2011-12</v>
      </c>
      <c r="G4" s="452" t="str">
        <f>District!F8</f>
        <v>2012-13</v>
      </c>
      <c r="H4" s="393" t="str">
        <f>District!G8</f>
        <v>2013-14</v>
      </c>
      <c r="I4" s="394" t="str">
        <f>District!C8</f>
        <v>2009-10</v>
      </c>
      <c r="J4" s="452" t="str">
        <f>District!D8</f>
        <v>2010-11</v>
      </c>
      <c r="K4" s="452" t="str">
        <f>District!E8</f>
        <v>2011-12</v>
      </c>
      <c r="L4" s="452" t="str">
        <f>District!F8</f>
        <v>2012-13</v>
      </c>
      <c r="M4" s="393" t="str">
        <f>District!G8</f>
        <v>2013-14</v>
      </c>
    </row>
    <row r="5" spans="1:19" ht="15" customHeight="1">
      <c r="A5" s="433"/>
      <c r="B5" s="1259" t="s">
        <v>163</v>
      </c>
      <c r="C5" s="1252"/>
      <c r="D5" s="654" t="s">
        <v>164</v>
      </c>
      <c r="E5" s="655" t="s">
        <v>165</v>
      </c>
      <c r="F5" s="655" t="s">
        <v>166</v>
      </c>
      <c r="G5" s="655" t="s">
        <v>167</v>
      </c>
      <c r="H5" s="208" t="s">
        <v>168</v>
      </c>
      <c r="I5" s="655" t="s">
        <v>169</v>
      </c>
      <c r="J5" s="655" t="s">
        <v>211</v>
      </c>
      <c r="K5" s="655" t="s">
        <v>212</v>
      </c>
      <c r="L5" s="655" t="s">
        <v>213</v>
      </c>
      <c r="M5" s="208" t="s">
        <v>214</v>
      </c>
      <c r="O5" s="45"/>
      <c r="P5" s="183"/>
      <c r="Q5" s="183"/>
      <c r="R5" s="183"/>
      <c r="S5" s="183"/>
    </row>
    <row r="6" spans="1:19" ht="17.25" customHeight="1">
      <c r="A6" s="433"/>
      <c r="B6" s="140" t="s">
        <v>311</v>
      </c>
      <c r="C6" s="141" t="s">
        <v>621</v>
      </c>
      <c r="D6" s="656"/>
      <c r="E6" s="657"/>
      <c r="F6" s="657"/>
      <c r="G6" s="1041"/>
      <c r="H6" s="658"/>
      <c r="I6" s="657"/>
      <c r="J6" s="657"/>
      <c r="K6" s="657"/>
      <c r="L6" s="1041"/>
      <c r="M6" s="659"/>
    </row>
    <row r="7" spans="1:19" ht="17.25" customHeight="1">
      <c r="A7" s="433"/>
      <c r="B7" s="641"/>
      <c r="C7" s="627" t="s">
        <v>622</v>
      </c>
      <c r="D7" s="447">
        <v>4.96</v>
      </c>
      <c r="E7" s="447">
        <v>4.97</v>
      </c>
      <c r="F7" s="447">
        <v>5.07</v>
      </c>
      <c r="G7" s="447">
        <v>5.18</v>
      </c>
      <c r="H7" s="454">
        <v>5.41</v>
      </c>
      <c r="I7" s="447">
        <v>55.53</v>
      </c>
      <c r="J7" s="447">
        <v>57.53</v>
      </c>
      <c r="K7" s="447">
        <v>58.67</v>
      </c>
      <c r="L7" s="447">
        <v>59.5</v>
      </c>
      <c r="M7" s="454">
        <v>35.5</v>
      </c>
    </row>
    <row r="8" spans="1:19" ht="17.25" customHeight="1">
      <c r="A8" s="433"/>
      <c r="B8" s="641"/>
      <c r="C8" s="627" t="s">
        <v>623</v>
      </c>
      <c r="D8" s="447">
        <v>11.19</v>
      </c>
      <c r="E8" s="447">
        <v>11.29</v>
      </c>
      <c r="F8" s="447">
        <v>11.49</v>
      </c>
      <c r="G8" s="447">
        <v>11.51</v>
      </c>
      <c r="H8" s="454">
        <v>11.6</v>
      </c>
      <c r="I8" s="447">
        <v>388.8</v>
      </c>
      <c r="J8" s="447">
        <v>394.9</v>
      </c>
      <c r="K8" s="447">
        <v>396</v>
      </c>
      <c r="L8" s="447">
        <v>395.8</v>
      </c>
      <c r="M8" s="454">
        <v>398.67</v>
      </c>
    </row>
    <row r="9" spans="1:19" ht="17.25" customHeight="1">
      <c r="A9" s="433"/>
      <c r="B9" s="641"/>
      <c r="C9" s="627" t="s">
        <v>624</v>
      </c>
      <c r="D9" s="447">
        <v>0.03</v>
      </c>
      <c r="E9" s="447">
        <v>0.03</v>
      </c>
      <c r="F9" s="447">
        <v>0.02</v>
      </c>
      <c r="G9" s="447">
        <v>0.02</v>
      </c>
      <c r="H9" s="454">
        <v>0.02</v>
      </c>
      <c r="I9" s="447">
        <v>0.5</v>
      </c>
      <c r="J9" s="447">
        <v>0.5</v>
      </c>
      <c r="K9" s="447">
        <v>0.4</v>
      </c>
      <c r="L9" s="447">
        <v>0.38</v>
      </c>
      <c r="M9" s="454">
        <v>0.35</v>
      </c>
    </row>
    <row r="10" spans="1:19" ht="17.25" customHeight="1">
      <c r="A10" s="433"/>
      <c r="B10" s="641"/>
      <c r="C10" s="627" t="s">
        <v>625</v>
      </c>
      <c r="D10" s="447">
        <v>0.82</v>
      </c>
      <c r="E10" s="447">
        <v>0.82</v>
      </c>
      <c r="F10" s="447">
        <v>0.83</v>
      </c>
      <c r="G10" s="447">
        <v>0.83</v>
      </c>
      <c r="H10" s="454">
        <v>0.85</v>
      </c>
      <c r="I10" s="447">
        <v>26.71</v>
      </c>
      <c r="J10" s="447">
        <v>26.89</v>
      </c>
      <c r="K10" s="447">
        <v>27.14</v>
      </c>
      <c r="L10" s="447">
        <v>29.14</v>
      </c>
      <c r="M10" s="454">
        <v>29.71</v>
      </c>
    </row>
    <row r="11" spans="1:19" ht="17.25" customHeight="1">
      <c r="A11" s="433"/>
      <c r="B11" s="641"/>
      <c r="C11" s="627" t="s">
        <v>626</v>
      </c>
      <c r="D11" s="447">
        <v>1.1599999999999999</v>
      </c>
      <c r="E11" s="447">
        <v>1.1599999999999999</v>
      </c>
      <c r="F11" s="447">
        <v>1.21</v>
      </c>
      <c r="G11" s="447">
        <v>1.23</v>
      </c>
      <c r="H11" s="454">
        <v>1.26</v>
      </c>
      <c r="I11" s="447">
        <v>12.54</v>
      </c>
      <c r="J11" s="447">
        <v>12.53</v>
      </c>
      <c r="K11" s="447">
        <v>12.63</v>
      </c>
      <c r="L11" s="447">
        <v>12.9</v>
      </c>
      <c r="M11" s="454">
        <v>13</v>
      </c>
    </row>
    <row r="12" spans="1:19" ht="17.25" customHeight="1">
      <c r="A12" s="433"/>
      <c r="B12" s="641"/>
      <c r="C12" s="627" t="s">
        <v>627</v>
      </c>
      <c r="D12" s="447">
        <v>1.35</v>
      </c>
      <c r="E12" s="447">
        <v>1.35</v>
      </c>
      <c r="F12" s="447">
        <v>1.35</v>
      </c>
      <c r="G12" s="447">
        <v>1.35</v>
      </c>
      <c r="H12" s="454">
        <v>1.35</v>
      </c>
      <c r="I12" s="447">
        <v>17.399999999999999</v>
      </c>
      <c r="J12" s="447">
        <v>17.399999999999999</v>
      </c>
      <c r="K12" s="447">
        <v>17.41</v>
      </c>
      <c r="L12" s="447">
        <v>17.920000000000002</v>
      </c>
      <c r="M12" s="454">
        <v>17.91</v>
      </c>
    </row>
    <row r="13" spans="1:19" ht="17.25" customHeight="1">
      <c r="A13" s="433"/>
      <c r="B13" s="641"/>
      <c r="C13" s="627" t="s">
        <v>628</v>
      </c>
      <c r="D13" s="447">
        <v>0.87</v>
      </c>
      <c r="E13" s="447">
        <v>0.87</v>
      </c>
      <c r="F13" s="447">
        <v>0.89</v>
      </c>
      <c r="G13" s="447">
        <v>0.93</v>
      </c>
      <c r="H13" s="454">
        <v>0.98</v>
      </c>
      <c r="I13" s="447">
        <v>9.1999999999999993</v>
      </c>
      <c r="J13" s="447">
        <v>9.3000000000000007</v>
      </c>
      <c r="K13" s="447">
        <v>9.1999999999999993</v>
      </c>
      <c r="L13" s="447">
        <v>9.5500000000000007</v>
      </c>
      <c r="M13" s="454">
        <v>9.8699999999999992</v>
      </c>
    </row>
    <row r="14" spans="1:19" ht="17.25" customHeight="1">
      <c r="A14" s="433"/>
      <c r="B14" s="641"/>
      <c r="C14" s="627" t="s">
        <v>629</v>
      </c>
      <c r="D14" s="447" t="s">
        <v>643</v>
      </c>
      <c r="E14" s="447" t="s">
        <v>643</v>
      </c>
      <c r="F14" s="447" t="s">
        <v>643</v>
      </c>
      <c r="G14" s="1042" t="s">
        <v>643</v>
      </c>
      <c r="H14" s="1038"/>
      <c r="I14" s="447" t="s">
        <v>643</v>
      </c>
      <c r="J14" s="447" t="s">
        <v>643</v>
      </c>
      <c r="K14" s="447" t="s">
        <v>643</v>
      </c>
      <c r="L14" s="1042" t="s">
        <v>643</v>
      </c>
      <c r="M14" s="1038" t="s">
        <v>643</v>
      </c>
    </row>
    <row r="15" spans="1:19" ht="17.25" customHeight="1">
      <c r="A15" s="433"/>
      <c r="B15" s="643"/>
      <c r="C15" s="627" t="s">
        <v>630</v>
      </c>
      <c r="D15" s="447">
        <v>0.44</v>
      </c>
      <c r="E15" s="447">
        <v>0.44</v>
      </c>
      <c r="F15" s="447">
        <v>0.44</v>
      </c>
      <c r="G15" s="447">
        <v>0.45</v>
      </c>
      <c r="H15" s="454">
        <v>0.46</v>
      </c>
      <c r="I15" s="447">
        <v>2.6</v>
      </c>
      <c r="J15" s="447">
        <v>2.6</v>
      </c>
      <c r="K15" s="447">
        <v>2.79</v>
      </c>
      <c r="L15" s="447">
        <v>2.95</v>
      </c>
      <c r="M15" s="454">
        <v>3.149</v>
      </c>
    </row>
    <row r="16" spans="1:19" ht="17.25" customHeight="1">
      <c r="A16" s="433"/>
      <c r="B16" s="641"/>
      <c r="C16" s="627" t="s">
        <v>631</v>
      </c>
      <c r="D16" s="447">
        <v>0.02</v>
      </c>
      <c r="E16" s="447">
        <v>0.02</v>
      </c>
      <c r="F16" s="447">
        <v>0.02</v>
      </c>
      <c r="G16" s="447">
        <v>0.02</v>
      </c>
      <c r="H16" s="454">
        <v>0.02</v>
      </c>
      <c r="I16" s="447">
        <v>0.26</v>
      </c>
      <c r="J16" s="447">
        <v>0.26</v>
      </c>
      <c r="K16" s="447">
        <v>0.26</v>
      </c>
      <c r="L16" s="447">
        <v>0.27</v>
      </c>
      <c r="M16" s="454">
        <v>0.27</v>
      </c>
    </row>
    <row r="17" spans="1:19" ht="17.25" customHeight="1">
      <c r="A17" s="433"/>
      <c r="B17" s="641"/>
      <c r="C17" s="627" t="s">
        <v>320</v>
      </c>
      <c r="D17" s="661">
        <f>D18-SUM(D7:D16)</f>
        <v>0.26999999999999602</v>
      </c>
      <c r="E17" s="661">
        <f>E18-SUM(E7:E16)</f>
        <v>0.27999999999999758</v>
      </c>
      <c r="F17" s="661">
        <f>F18-SUM(F7:F16)</f>
        <v>0.27999999999999758</v>
      </c>
      <c r="G17" s="447">
        <v>0.27</v>
      </c>
      <c r="H17" s="1039">
        <v>0.28000000000000003</v>
      </c>
      <c r="I17" s="447">
        <f>I18-SUM(I7:I16)</f>
        <v>2.7100000000000364</v>
      </c>
      <c r="J17" s="447">
        <f>J18-SUM(J7:J16)</f>
        <v>2.7600000000001046</v>
      </c>
      <c r="K17" s="447">
        <f>K18-SUM(K7:K16)</f>
        <v>2.8999999999999773</v>
      </c>
      <c r="L17" s="447">
        <v>2.31</v>
      </c>
      <c r="M17" s="454">
        <v>2.6</v>
      </c>
    </row>
    <row r="18" spans="1:19" s="6" customFormat="1" ht="17.25" customHeight="1">
      <c r="A18" s="598"/>
      <c r="B18" s="299"/>
      <c r="C18" s="662" t="s">
        <v>210</v>
      </c>
      <c r="D18" s="663">
        <v>21.11</v>
      </c>
      <c r="E18" s="663">
        <v>21.23</v>
      </c>
      <c r="F18" s="663">
        <v>21.6</v>
      </c>
      <c r="G18" s="663">
        <f>SUM(G7:G17)</f>
        <v>21.789999999999996</v>
      </c>
      <c r="H18" s="1040">
        <f>SUM(H7:H17)</f>
        <v>22.230000000000004</v>
      </c>
      <c r="I18" s="663">
        <v>516.25</v>
      </c>
      <c r="J18" s="663">
        <v>524.66999999999996</v>
      </c>
      <c r="K18" s="663">
        <v>527.4</v>
      </c>
      <c r="L18" s="663">
        <f>SUM(L7:L17)</f>
        <v>530.71999999999991</v>
      </c>
      <c r="M18" s="1040">
        <f>SUM(M7:M17)</f>
        <v>511.02900000000005</v>
      </c>
    </row>
    <row r="19" spans="1:19" ht="17.25" customHeight="1">
      <c r="A19" s="433"/>
      <c r="B19" s="140" t="s">
        <v>632</v>
      </c>
      <c r="C19" s="141" t="s">
        <v>633</v>
      </c>
      <c r="D19" s="447"/>
      <c r="E19" s="447"/>
      <c r="F19" s="447"/>
      <c r="G19" s="447"/>
      <c r="H19" s="454"/>
      <c r="I19" s="447"/>
      <c r="J19" s="447"/>
      <c r="K19" s="447"/>
      <c r="L19" s="447"/>
      <c r="M19" s="454"/>
    </row>
    <row r="20" spans="1:19" ht="17.25" customHeight="1">
      <c r="A20" s="433"/>
      <c r="B20" s="645"/>
      <c r="C20" s="627" t="s">
        <v>634</v>
      </c>
      <c r="D20" s="447">
        <v>4.58</v>
      </c>
      <c r="E20" s="447">
        <v>4.63</v>
      </c>
      <c r="F20" s="447">
        <v>4.6500000000000004</v>
      </c>
      <c r="G20" s="447">
        <v>4.6500000000000004</v>
      </c>
      <c r="H20" s="454">
        <v>4.7300000000000004</v>
      </c>
      <c r="I20" s="447">
        <v>101.23</v>
      </c>
      <c r="J20" s="447">
        <v>102.55</v>
      </c>
      <c r="K20" s="447">
        <v>104.45</v>
      </c>
      <c r="L20" s="447">
        <v>104.65</v>
      </c>
      <c r="M20" s="454">
        <v>107.79</v>
      </c>
    </row>
    <row r="21" spans="1:19" ht="17.25" customHeight="1">
      <c r="A21" s="433"/>
      <c r="B21" s="645"/>
      <c r="C21" s="627" t="s">
        <v>635</v>
      </c>
      <c r="D21" s="447">
        <v>7.84</v>
      </c>
      <c r="E21" s="447">
        <v>7.94</v>
      </c>
      <c r="F21" s="447">
        <v>8.01</v>
      </c>
      <c r="G21" s="447">
        <v>8.02</v>
      </c>
      <c r="H21" s="454">
        <v>8.11</v>
      </c>
      <c r="I21" s="447">
        <v>200.73</v>
      </c>
      <c r="J21" s="447">
        <v>203.54</v>
      </c>
      <c r="K21" s="447">
        <v>206.5</v>
      </c>
      <c r="L21" s="447">
        <v>206.9</v>
      </c>
      <c r="M21" s="454">
        <v>209.42</v>
      </c>
    </row>
    <row r="22" spans="1:19" ht="17.25" customHeight="1">
      <c r="A22" s="433"/>
      <c r="B22" s="645"/>
      <c r="C22" s="627" t="s">
        <v>636</v>
      </c>
      <c r="D22" s="447">
        <v>7.09</v>
      </c>
      <c r="E22" s="447">
        <v>7.18</v>
      </c>
      <c r="F22" s="447">
        <v>7.25</v>
      </c>
      <c r="G22" s="447">
        <v>7.41</v>
      </c>
      <c r="H22" s="454">
        <v>7.53</v>
      </c>
      <c r="I22" s="447">
        <v>201.26</v>
      </c>
      <c r="J22" s="447">
        <v>203.91</v>
      </c>
      <c r="K22" s="447">
        <v>205.99</v>
      </c>
      <c r="L22" s="447">
        <v>209</v>
      </c>
      <c r="M22" s="454">
        <v>213.79</v>
      </c>
    </row>
    <row r="23" spans="1:19" ht="17.25" customHeight="1">
      <c r="A23" s="433"/>
      <c r="B23" s="643"/>
      <c r="C23" s="627" t="s">
        <v>637</v>
      </c>
      <c r="D23" s="447">
        <v>2.62</v>
      </c>
      <c r="E23" s="447">
        <v>2.66</v>
      </c>
      <c r="F23" s="447">
        <v>2.67</v>
      </c>
      <c r="G23" s="447">
        <v>2.67</v>
      </c>
      <c r="H23" s="454">
        <v>2.7</v>
      </c>
      <c r="I23" s="447">
        <v>24.53</v>
      </c>
      <c r="J23" s="447">
        <v>25.26</v>
      </c>
      <c r="K23" s="447">
        <v>25.2</v>
      </c>
      <c r="L23" s="447">
        <v>25.1</v>
      </c>
      <c r="M23" s="454">
        <v>25.29</v>
      </c>
    </row>
    <row r="24" spans="1:19" ht="17.25" customHeight="1">
      <c r="A24" s="433"/>
      <c r="B24" s="140"/>
      <c r="C24" s="627" t="s">
        <v>638</v>
      </c>
      <c r="D24" s="447">
        <v>11.78</v>
      </c>
      <c r="E24" s="447">
        <v>9.4</v>
      </c>
      <c r="F24" s="447">
        <v>12.19</v>
      </c>
      <c r="G24" s="447">
        <v>12.22</v>
      </c>
      <c r="H24" s="454">
        <v>12.38</v>
      </c>
      <c r="I24" s="447">
        <v>261.64999999999998</v>
      </c>
      <c r="J24" s="447">
        <v>220.17</v>
      </c>
      <c r="K24" s="447">
        <v>274.94</v>
      </c>
      <c r="L24" s="447">
        <v>275.2</v>
      </c>
      <c r="M24" s="454">
        <v>276.69</v>
      </c>
    </row>
    <row r="25" spans="1:19" ht="17.25" customHeight="1">
      <c r="A25" s="433"/>
      <c r="B25" s="645"/>
      <c r="C25" s="627" t="s">
        <v>639</v>
      </c>
      <c r="D25" s="447">
        <v>2.5</v>
      </c>
      <c r="E25" s="447">
        <v>2.5299999999999998</v>
      </c>
      <c r="F25" s="447">
        <v>2.57</v>
      </c>
      <c r="G25" s="447">
        <v>2.57</v>
      </c>
      <c r="H25" s="454">
        <v>2.62</v>
      </c>
      <c r="I25" s="447">
        <v>36.880000000000003</v>
      </c>
      <c r="J25" s="447">
        <v>37.89</v>
      </c>
      <c r="K25" s="447">
        <v>38.299999999999997</v>
      </c>
      <c r="L25" s="447">
        <v>38.25</v>
      </c>
      <c r="M25" s="454">
        <v>39.159999999999997</v>
      </c>
    </row>
    <row r="26" spans="1:19" ht="17.25" customHeight="1">
      <c r="A26" s="433"/>
      <c r="B26" s="645"/>
      <c r="C26" s="627" t="s">
        <v>640</v>
      </c>
      <c r="D26" s="447">
        <v>11.62</v>
      </c>
      <c r="E26" s="447">
        <v>11.78</v>
      </c>
      <c r="F26" s="447">
        <v>11.85</v>
      </c>
      <c r="G26" s="447">
        <v>11.89</v>
      </c>
      <c r="H26" s="454">
        <v>11.9</v>
      </c>
      <c r="I26" s="447">
        <v>134.71</v>
      </c>
      <c r="J26" s="447">
        <v>139.47</v>
      </c>
      <c r="K26" s="447">
        <v>141.47</v>
      </c>
      <c r="L26" s="447">
        <v>141.6</v>
      </c>
      <c r="M26" s="454">
        <v>141.79</v>
      </c>
    </row>
    <row r="27" spans="1:19" ht="17.25" customHeight="1">
      <c r="A27" s="433"/>
      <c r="B27" s="645"/>
      <c r="C27" s="627" t="s">
        <v>641</v>
      </c>
      <c r="D27" s="447">
        <v>9.17</v>
      </c>
      <c r="E27" s="447">
        <v>9.2799999999999994</v>
      </c>
      <c r="F27" s="447">
        <v>9.3000000000000007</v>
      </c>
      <c r="G27" s="447">
        <v>9.31</v>
      </c>
      <c r="H27" s="454">
        <v>9.31</v>
      </c>
      <c r="I27" s="447">
        <v>112.91</v>
      </c>
      <c r="J27" s="447">
        <v>115.6</v>
      </c>
      <c r="K27" s="447">
        <v>115.62</v>
      </c>
      <c r="L27" s="447">
        <v>115.59</v>
      </c>
      <c r="M27" s="454">
        <v>120.9</v>
      </c>
    </row>
    <row r="28" spans="1:19" ht="17.25" customHeight="1">
      <c r="A28" s="433"/>
      <c r="B28" s="643"/>
      <c r="C28" s="627" t="s">
        <v>642</v>
      </c>
      <c r="D28" s="447">
        <v>5.44</v>
      </c>
      <c r="E28" s="447">
        <v>1.1599999999999999</v>
      </c>
      <c r="F28" s="447">
        <v>5.5</v>
      </c>
      <c r="G28" s="447">
        <v>5.51</v>
      </c>
      <c r="H28" s="454">
        <v>5.53</v>
      </c>
      <c r="I28" s="447">
        <v>65.84</v>
      </c>
      <c r="J28" s="447">
        <v>13.25</v>
      </c>
      <c r="K28" s="447">
        <v>67.709999999999994</v>
      </c>
      <c r="L28" s="447">
        <v>67.900000000000006</v>
      </c>
      <c r="M28" s="454">
        <v>69.16</v>
      </c>
    </row>
    <row r="29" spans="1:19" ht="17.25" customHeight="1">
      <c r="A29" s="433"/>
      <c r="B29" s="145"/>
      <c r="C29" s="664" t="s">
        <v>320</v>
      </c>
      <c r="D29" s="447">
        <f>D30-SUM(D20:D28)</f>
        <v>19.82</v>
      </c>
      <c r="E29" s="447">
        <f>E30-SUM(E20:E28)</f>
        <v>33.78</v>
      </c>
      <c r="F29" s="447">
        <f>F30-SUM(F20:F28)</f>
        <v>20.13000000000001</v>
      </c>
      <c r="G29" s="661">
        <v>20.18</v>
      </c>
      <c r="H29" s="454">
        <v>20.309999999999999</v>
      </c>
      <c r="I29" s="447">
        <f>I30-SUM(I20:I28)</f>
        <v>111.17000000000007</v>
      </c>
      <c r="J29" s="447">
        <f>J30-SUM(J20:J28)</f>
        <v>217.70000000000005</v>
      </c>
      <c r="K29" s="447">
        <f>K30-SUM(K20:K28)</f>
        <v>121.6899999999996</v>
      </c>
      <c r="L29" s="447">
        <v>127.16</v>
      </c>
      <c r="M29" s="1039">
        <v>128.58000000000001</v>
      </c>
    </row>
    <row r="30" spans="1:19" s="6" customFormat="1" ht="17.25" customHeight="1">
      <c r="A30" s="598"/>
      <c r="B30" s="665"/>
      <c r="C30" s="662" t="s">
        <v>210</v>
      </c>
      <c r="D30" s="666">
        <v>82.46</v>
      </c>
      <c r="E30" s="666">
        <v>90.34</v>
      </c>
      <c r="F30" s="666">
        <v>84.12</v>
      </c>
      <c r="G30" s="601">
        <f>SUM(G20:G29)</f>
        <v>84.43</v>
      </c>
      <c r="H30" s="687">
        <f>SUM(H20:H29)</f>
        <v>85.12</v>
      </c>
      <c r="I30" s="666">
        <v>1250.9100000000001</v>
      </c>
      <c r="J30" s="666">
        <v>1279.3399999999999</v>
      </c>
      <c r="K30" s="666">
        <v>1301.8699999999999</v>
      </c>
      <c r="L30" s="666">
        <f>SUM(L20:L29)</f>
        <v>1311.3500000000001</v>
      </c>
      <c r="M30" s="687">
        <f>SUM(M20:M29)</f>
        <v>1332.57</v>
      </c>
      <c r="O30" s="1100"/>
      <c r="P30" s="1100"/>
      <c r="R30" s="1100"/>
      <c r="S30" s="1100"/>
    </row>
    <row r="31" spans="1:19">
      <c r="A31" s="433"/>
      <c r="E31" s="426"/>
      <c r="G31" s="667"/>
      <c r="H31" s="667"/>
      <c r="I31" s="667"/>
      <c r="J31" s="667"/>
      <c r="K31" s="667"/>
      <c r="L31" s="1043"/>
      <c r="M31" s="668" t="s">
        <v>1594</v>
      </c>
    </row>
    <row r="32" spans="1:19">
      <c r="A32" s="433"/>
    </row>
    <row r="33" spans="1:1">
      <c r="A33" s="433"/>
    </row>
    <row r="34" spans="1:1">
      <c r="A34" s="433"/>
    </row>
    <row r="35" spans="1:1">
      <c r="A35" s="433"/>
    </row>
    <row r="36" spans="1:1">
      <c r="A36" s="433"/>
    </row>
  </sheetData>
  <mergeCells count="6">
    <mergeCell ref="B1:M1"/>
    <mergeCell ref="I3:M3"/>
    <mergeCell ref="B2:M2"/>
    <mergeCell ref="B5:C5"/>
    <mergeCell ref="B3:C4"/>
    <mergeCell ref="D3:H3"/>
  </mergeCells>
  <phoneticPr fontId="0" type="noConversion"/>
  <pageMargins left="0.1" right="0.1" top="0.4" bottom="0.16" header="0.27" footer="0.16"/>
  <pageSetup paperSize="9" orientation="landscape" blackAndWhite="1" r:id="rId1"/>
  <headerFooter alignWithMargins="0"/>
</worksheet>
</file>

<file path=xl/worksheets/sheet5.xml><?xml version="1.0" encoding="utf-8"?>
<worksheet xmlns="http://schemas.openxmlformats.org/spreadsheetml/2006/main" xmlns:r="http://schemas.openxmlformats.org/officeDocument/2006/relationships">
  <sheetPr codeName="Sheet2"/>
  <dimension ref="A1:J111"/>
  <sheetViews>
    <sheetView topLeftCell="A67" workbookViewId="0">
      <selection activeCell="C82" sqref="C82"/>
    </sheetView>
  </sheetViews>
  <sheetFormatPr defaultRowHeight="12.75"/>
  <cols>
    <col min="1" max="1" width="39.5703125" bestFit="1" customWidth="1"/>
    <col min="2" max="2" width="15.5703125" style="1" customWidth="1"/>
    <col min="3" max="3" width="16" style="1" customWidth="1"/>
    <col min="4" max="4" width="14.85546875" style="1" customWidth="1"/>
    <col min="5" max="5" width="12.140625" style="1" customWidth="1"/>
    <col min="6" max="6" width="8.28515625" customWidth="1"/>
    <col min="9" max="9" width="10.5703125" customWidth="1"/>
  </cols>
  <sheetData>
    <row r="1" spans="1:6" ht="20.25" customHeight="1">
      <c r="A1" s="1241" t="str">
        <f>CONCATENATE(District!$A$1," at a glance")</f>
        <v>Nadia at a glance</v>
      </c>
      <c r="B1" s="1241"/>
      <c r="C1" s="1241"/>
      <c r="D1" s="1241"/>
    </row>
    <row r="2" spans="1:6" ht="13.5" customHeight="1">
      <c r="A2" s="78" t="s">
        <v>106</v>
      </c>
      <c r="B2" s="78" t="s">
        <v>107</v>
      </c>
      <c r="C2" s="78" t="s">
        <v>108</v>
      </c>
      <c r="D2" s="70" t="s">
        <v>109</v>
      </c>
      <c r="E2" s="2"/>
      <c r="F2" s="3"/>
    </row>
    <row r="3" spans="1:6" ht="13.5" customHeight="1">
      <c r="A3" s="355" t="s">
        <v>163</v>
      </c>
      <c r="B3" s="355" t="s">
        <v>164</v>
      </c>
      <c r="C3" s="355" t="s">
        <v>165</v>
      </c>
      <c r="D3" s="356" t="s">
        <v>166</v>
      </c>
    </row>
    <row r="4" spans="1:6" ht="14.25" customHeight="1">
      <c r="A4" s="357" t="s">
        <v>1562</v>
      </c>
      <c r="B4" s="115"/>
      <c r="C4" s="115"/>
      <c r="D4" s="40"/>
      <c r="E4" s="4"/>
    </row>
    <row r="5" spans="1:6" ht="14.25" customHeight="1">
      <c r="A5" s="131" t="s">
        <v>110</v>
      </c>
      <c r="B5" s="115"/>
      <c r="C5" s="115"/>
      <c r="D5" s="111" t="str">
        <f>'1.1,1.2'!$G6</f>
        <v>Krishnanagar</v>
      </c>
    </row>
    <row r="6" spans="1:6" ht="14.25" customHeight="1">
      <c r="A6" s="131" t="s">
        <v>1563</v>
      </c>
      <c r="B6" s="56">
        <f>District!$C$2</f>
        <v>2014</v>
      </c>
      <c r="C6" s="60" t="s">
        <v>111</v>
      </c>
      <c r="D6" s="163" t="str">
        <f>RIGHT('2.1'!$A41,1)</f>
        <v>4</v>
      </c>
    </row>
    <row r="7" spans="1:6" ht="14.25" customHeight="1">
      <c r="A7" s="131" t="s">
        <v>1427</v>
      </c>
      <c r="B7" s="56" t="s">
        <v>121</v>
      </c>
      <c r="C7" s="60" t="s">
        <v>121</v>
      </c>
      <c r="D7" s="163">
        <f>'2.1'!B41</f>
        <v>22</v>
      </c>
    </row>
    <row r="8" spans="1:6" ht="14.25" customHeight="1">
      <c r="A8" s="131" t="s">
        <v>112</v>
      </c>
      <c r="B8" s="56">
        <f>District!$D$4</f>
        <v>2011</v>
      </c>
      <c r="C8" s="60" t="s">
        <v>121</v>
      </c>
      <c r="D8" s="40">
        <f>'2.1'!H41</f>
        <v>1216</v>
      </c>
    </row>
    <row r="9" spans="1:6" ht="14.25" customHeight="1">
      <c r="A9" s="131" t="s">
        <v>774</v>
      </c>
      <c r="B9" s="56" t="str">
        <f>District!$C$4</f>
        <v>2001</v>
      </c>
      <c r="C9" s="60" t="s">
        <v>121</v>
      </c>
      <c r="D9" s="40">
        <f>'2.1'!G41</f>
        <v>1346</v>
      </c>
    </row>
    <row r="10" spans="1:6" ht="14.25" customHeight="1">
      <c r="A10" s="131" t="s">
        <v>1564</v>
      </c>
      <c r="B10" s="56">
        <f>District!$C$2</f>
        <v>2014</v>
      </c>
      <c r="C10" s="60" t="s">
        <v>121</v>
      </c>
      <c r="D10" s="40" t="str">
        <f>'2.1'!J41</f>
        <v>-</v>
      </c>
    </row>
    <row r="11" spans="1:6" ht="14.25" customHeight="1">
      <c r="A11" s="131" t="s">
        <v>1565</v>
      </c>
      <c r="B11" s="56" t="s">
        <v>121</v>
      </c>
      <c r="C11" s="60" t="s">
        <v>121</v>
      </c>
      <c r="D11" s="40">
        <f>'2.1'!L41</f>
        <v>8</v>
      </c>
    </row>
    <row r="12" spans="1:6" ht="14.25" customHeight="1">
      <c r="A12" s="131" t="s">
        <v>1566</v>
      </c>
      <c r="B12" s="56" t="s">
        <v>121</v>
      </c>
      <c r="C12" s="60" t="s">
        <v>121</v>
      </c>
      <c r="D12" s="40">
        <f>'16.1'!A21</f>
        <v>17</v>
      </c>
    </row>
    <row r="13" spans="1:6" ht="14.25" customHeight="1">
      <c r="A13" s="131" t="s">
        <v>1432</v>
      </c>
      <c r="B13" s="56" t="s">
        <v>121</v>
      </c>
      <c r="C13" s="60" t="s">
        <v>121</v>
      </c>
      <c r="D13" s="40">
        <f>'2.1'!D41</f>
        <v>17</v>
      </c>
    </row>
    <row r="14" spans="1:6" ht="14.25" customHeight="1">
      <c r="A14" s="131" t="s">
        <v>115</v>
      </c>
      <c r="B14" s="56" t="s">
        <v>121</v>
      </c>
      <c r="C14" s="60" t="s">
        <v>121</v>
      </c>
      <c r="D14" s="40">
        <f>'2.1'!E41</f>
        <v>187</v>
      </c>
    </row>
    <row r="15" spans="1:6" ht="14.25" customHeight="1">
      <c r="A15" s="131" t="s">
        <v>116</v>
      </c>
      <c r="B15" s="56" t="s">
        <v>121</v>
      </c>
      <c r="C15" s="60" t="s">
        <v>121</v>
      </c>
      <c r="D15" s="40">
        <f>'2.1'!F41</f>
        <v>3244</v>
      </c>
    </row>
    <row r="16" spans="1:6" ht="14.25" customHeight="1">
      <c r="A16" s="357" t="s">
        <v>117</v>
      </c>
      <c r="B16" s="56"/>
      <c r="C16" s="60"/>
      <c r="D16" s="40"/>
      <c r="E16" s="51"/>
    </row>
    <row r="17" spans="1:4" ht="14.25" customHeight="1">
      <c r="A17" s="131" t="s">
        <v>118</v>
      </c>
      <c r="B17" s="56">
        <f>District!$D$4</f>
        <v>2011</v>
      </c>
      <c r="C17" s="60" t="s">
        <v>1567</v>
      </c>
      <c r="D17" s="42">
        <f>'2.2'!C36</f>
        <v>3927</v>
      </c>
    </row>
    <row r="18" spans="1:4" ht="14.25" customHeight="1">
      <c r="A18" s="131" t="s">
        <v>119</v>
      </c>
      <c r="B18" s="56" t="s">
        <v>121</v>
      </c>
      <c r="C18" s="60" t="s">
        <v>111</v>
      </c>
      <c r="D18" s="242">
        <f>'2.2'!D36</f>
        <v>5167600</v>
      </c>
    </row>
    <row r="19" spans="1:4" ht="14.25" customHeight="1">
      <c r="A19" s="131" t="s">
        <v>1160</v>
      </c>
      <c r="B19" s="56" t="s">
        <v>121</v>
      </c>
      <c r="C19" s="60" t="s">
        <v>386</v>
      </c>
      <c r="D19" s="242">
        <f>'2.2'!E36</f>
        <v>1316</v>
      </c>
    </row>
    <row r="20" spans="1:4" ht="14.25" customHeight="1">
      <c r="A20" s="131" t="s">
        <v>1365</v>
      </c>
      <c r="B20" s="56"/>
      <c r="C20" s="60"/>
      <c r="D20" s="242"/>
    </row>
    <row r="21" spans="1:4" ht="14.25" customHeight="1">
      <c r="A21" s="358" t="s">
        <v>1366</v>
      </c>
      <c r="B21" s="56" t="s">
        <v>121</v>
      </c>
      <c r="C21" s="60" t="s">
        <v>1367</v>
      </c>
      <c r="D21" s="42">
        <f>'2.3'!E20/'At a glance'!D18*100</f>
        <v>51.353974765848754</v>
      </c>
    </row>
    <row r="22" spans="1:4" ht="14.25" customHeight="1">
      <c r="A22" s="358" t="s">
        <v>122</v>
      </c>
      <c r="B22" s="56" t="s">
        <v>121</v>
      </c>
      <c r="C22" s="60" t="s">
        <v>121</v>
      </c>
      <c r="D22" s="42">
        <f>'2.3'!F20/'At a glance'!D18*100</f>
        <v>48.646025234151253</v>
      </c>
    </row>
    <row r="23" spans="1:4" ht="14.25" customHeight="1">
      <c r="A23" s="358" t="s">
        <v>123</v>
      </c>
      <c r="B23" s="56" t="s">
        <v>121</v>
      </c>
      <c r="C23" s="60" t="s">
        <v>121</v>
      </c>
      <c r="D23" s="40">
        <f>ROUND('2.3'!I20/'2.3'!C20* 100,2)</f>
        <v>72.16</v>
      </c>
    </row>
    <row r="24" spans="1:4" ht="14.25" customHeight="1">
      <c r="A24" s="358" t="s">
        <v>124</v>
      </c>
      <c r="B24" s="56" t="s">
        <v>121</v>
      </c>
      <c r="C24" s="60" t="s">
        <v>121</v>
      </c>
      <c r="D24" s="40">
        <f>100-D23</f>
        <v>27.840000000000003</v>
      </c>
    </row>
    <row r="25" spans="1:4" ht="14.25" customHeight="1">
      <c r="A25" s="357" t="s">
        <v>1568</v>
      </c>
      <c r="B25" s="56"/>
      <c r="C25" s="60"/>
      <c r="D25" s="40"/>
    </row>
    <row r="26" spans="1:4" ht="14.25" customHeight="1">
      <c r="A26" s="131" t="s">
        <v>1569</v>
      </c>
      <c r="B26" s="56">
        <f>District!$C$2</f>
        <v>2014</v>
      </c>
      <c r="C26" s="60" t="s">
        <v>125</v>
      </c>
      <c r="D26" s="40">
        <f>'1.1,1.2'!I27</f>
        <v>1128</v>
      </c>
    </row>
    <row r="27" spans="1:4" ht="14.25" customHeight="1">
      <c r="A27" s="131" t="s">
        <v>126</v>
      </c>
      <c r="B27" s="56" t="s">
        <v>121</v>
      </c>
      <c r="C27" s="60" t="s">
        <v>127</v>
      </c>
      <c r="D27" s="40">
        <f>'1.3'!K19</f>
        <v>42</v>
      </c>
    </row>
    <row r="28" spans="1:4" ht="14.25" customHeight="1">
      <c r="A28" s="131" t="s">
        <v>1470</v>
      </c>
      <c r="B28" s="56" t="s">
        <v>121</v>
      </c>
      <c r="C28" s="60" t="s">
        <v>121</v>
      </c>
      <c r="D28" s="40">
        <f>'1.3'!L19</f>
        <v>7</v>
      </c>
    </row>
    <row r="29" spans="1:4" ht="14.25" customHeight="1">
      <c r="A29" s="357" t="s">
        <v>128</v>
      </c>
      <c r="B29" s="56"/>
      <c r="C29" s="60"/>
      <c r="D29" s="40"/>
    </row>
    <row r="30" spans="1:4" ht="14.25" customHeight="1">
      <c r="A30" s="131" t="s">
        <v>129</v>
      </c>
      <c r="B30" s="56">
        <f>District!$D$4</f>
        <v>2011</v>
      </c>
      <c r="C30" s="60" t="s">
        <v>1367</v>
      </c>
      <c r="D30" s="42">
        <f>'2.7'!D46</f>
        <v>35.659999999999997</v>
      </c>
    </row>
    <row r="31" spans="1:4" ht="14.25" customHeight="1">
      <c r="A31" s="131" t="s">
        <v>130</v>
      </c>
      <c r="B31" s="56" t="s">
        <v>121</v>
      </c>
      <c r="C31" s="60" t="s">
        <v>121</v>
      </c>
      <c r="D31" s="42">
        <f>'2.7'!R46</f>
        <v>64.34</v>
      </c>
    </row>
    <row r="32" spans="1:4" ht="14.25" customHeight="1">
      <c r="A32" s="357" t="s">
        <v>131</v>
      </c>
      <c r="B32" s="56"/>
      <c r="C32" s="60"/>
      <c r="D32" s="40"/>
    </row>
    <row r="33" spans="1:10" ht="14.25" customHeight="1">
      <c r="A33" s="131" t="s">
        <v>132</v>
      </c>
      <c r="B33" s="56" t="str">
        <f>District!$C$3</f>
        <v>2013-14</v>
      </c>
      <c r="C33" s="359" t="s">
        <v>837</v>
      </c>
      <c r="D33" s="42">
        <f>'5.1 '!L10</f>
        <v>294.30099999999999</v>
      </c>
    </row>
    <row r="34" spans="1:10" ht="27" customHeight="1">
      <c r="A34" s="360" t="s">
        <v>1467</v>
      </c>
      <c r="B34" s="56" t="s">
        <v>121</v>
      </c>
      <c r="C34" s="60" t="s">
        <v>1367</v>
      </c>
      <c r="D34" s="40">
        <f>ROUND('5.5,5.5a'!L11/'5.1 '!L10*100,2)</f>
        <v>9.09</v>
      </c>
    </row>
    <row r="35" spans="1:10" ht="14.25" customHeight="1">
      <c r="A35" s="131" t="s">
        <v>1382</v>
      </c>
      <c r="B35" s="56" t="s">
        <v>121</v>
      </c>
      <c r="C35" s="60" t="s">
        <v>1570</v>
      </c>
      <c r="D35" s="40">
        <f>'5.3b,5.3c'!J7</f>
        <v>3072</v>
      </c>
    </row>
    <row r="36" spans="1:10" ht="14.25" customHeight="1">
      <c r="A36" s="357" t="s">
        <v>1571</v>
      </c>
      <c r="B36" s="56"/>
      <c r="C36" s="60"/>
      <c r="D36" s="40"/>
    </row>
    <row r="37" spans="1:10" ht="14.25" customHeight="1">
      <c r="A37" s="360" t="s">
        <v>1089</v>
      </c>
      <c r="B37" s="56">
        <f>District!$C$2</f>
        <v>2014</v>
      </c>
      <c r="C37" s="60" t="s">
        <v>111</v>
      </c>
      <c r="D37" s="40">
        <f>'3.1'!K12</f>
        <v>190</v>
      </c>
    </row>
    <row r="38" spans="1:10" ht="14.25" customHeight="1">
      <c r="A38" s="360" t="s">
        <v>1572</v>
      </c>
      <c r="B38" s="56" t="str">
        <f>District!$C$3</f>
        <v>2013-14</v>
      </c>
      <c r="C38" s="60" t="s">
        <v>121</v>
      </c>
      <c r="D38" s="40">
        <f>'3.2'!B11</f>
        <v>469</v>
      </c>
    </row>
    <row r="39" spans="1:10" ht="14.25" customHeight="1">
      <c r="A39" s="131" t="s">
        <v>865</v>
      </c>
      <c r="B39" s="56" t="s">
        <v>121</v>
      </c>
      <c r="C39" s="60" t="s">
        <v>121</v>
      </c>
      <c r="D39" s="40">
        <f>'3.2'!E11</f>
        <v>41</v>
      </c>
    </row>
    <row r="40" spans="1:10" ht="14.25" customHeight="1">
      <c r="A40" s="131" t="s">
        <v>135</v>
      </c>
      <c r="B40" s="56">
        <f>District!$C$2</f>
        <v>2014</v>
      </c>
      <c r="C40" s="60" t="s">
        <v>121</v>
      </c>
      <c r="D40" s="40" t="str">
        <f>LEFT('3.1'!L12,4)</f>
        <v>5434</v>
      </c>
    </row>
    <row r="41" spans="1:10" ht="14.25" customHeight="1">
      <c r="A41" s="131" t="s">
        <v>538</v>
      </c>
      <c r="B41" s="56" t="s">
        <v>121</v>
      </c>
      <c r="C41" s="60" t="s">
        <v>121</v>
      </c>
      <c r="D41" s="40">
        <f>ROUND(D40/D18*100000,0)</f>
        <v>105</v>
      </c>
    </row>
    <row r="42" spans="1:10" ht="14.25" customHeight="1">
      <c r="A42" s="357" t="s">
        <v>1701</v>
      </c>
      <c r="B42" s="56"/>
      <c r="C42" s="60"/>
      <c r="D42" s="40"/>
    </row>
    <row r="43" spans="1:10" ht="14.25" customHeight="1">
      <c r="A43" s="131" t="s">
        <v>1401</v>
      </c>
      <c r="B43" s="56" t="str">
        <f>District!$C$3</f>
        <v>2013-14</v>
      </c>
      <c r="C43" s="60" t="s">
        <v>111</v>
      </c>
      <c r="D43" s="40">
        <f>'4.1a'!J8</f>
        <v>2625</v>
      </c>
    </row>
    <row r="44" spans="1:10" ht="14.25" customHeight="1">
      <c r="A44" s="131" t="s">
        <v>1402</v>
      </c>
      <c r="B44" s="56" t="s">
        <v>121</v>
      </c>
      <c r="C44" s="60" t="s">
        <v>121</v>
      </c>
      <c r="D44" s="40">
        <f>'4.1a'!J13</f>
        <v>182</v>
      </c>
    </row>
    <row r="45" spans="1:10" ht="14.25" customHeight="1">
      <c r="A45" s="131" t="s">
        <v>1403</v>
      </c>
      <c r="B45" s="56" t="s">
        <v>121</v>
      </c>
      <c r="C45" s="60" t="s">
        <v>121</v>
      </c>
      <c r="D45" s="40">
        <f>'4.1a'!J18</f>
        <v>105</v>
      </c>
    </row>
    <row r="46" spans="1:10" ht="14.25" customHeight="1">
      <c r="A46" s="131" t="s">
        <v>1404</v>
      </c>
      <c r="B46" s="56" t="s">
        <v>121</v>
      </c>
      <c r="C46" s="60" t="s">
        <v>121</v>
      </c>
      <c r="D46" s="40">
        <f>'4.1a'!J23</f>
        <v>405</v>
      </c>
    </row>
    <row r="47" spans="1:10" ht="14.25" customHeight="1">
      <c r="A47" s="131" t="s">
        <v>141</v>
      </c>
      <c r="B47" s="56" t="s">
        <v>121</v>
      </c>
      <c r="C47" s="60" t="s">
        <v>121</v>
      </c>
      <c r="D47" s="40">
        <f>'4.1a'!J29</f>
        <v>18</v>
      </c>
      <c r="H47" s="324"/>
      <c r="I47" s="324"/>
      <c r="J47" s="324"/>
    </row>
    <row r="48" spans="1:10" ht="14.25" customHeight="1">
      <c r="A48" s="131" t="s">
        <v>1573</v>
      </c>
      <c r="B48" s="56" t="s">
        <v>121</v>
      </c>
      <c r="C48" s="60" t="s">
        <v>121</v>
      </c>
      <c r="D48" s="40">
        <f>SUM('4.1a'!J30,'4.1b'!J34)</f>
        <v>2</v>
      </c>
    </row>
    <row r="49" spans="1:6" ht="14.25" customHeight="1">
      <c r="A49" s="131" t="s">
        <v>1702</v>
      </c>
      <c r="B49" s="56">
        <f>District!$D$4</f>
        <v>2011</v>
      </c>
      <c r="C49" s="60" t="s">
        <v>1367</v>
      </c>
      <c r="D49" s="42">
        <f>'4.5'!I38</f>
        <v>78.75</v>
      </c>
    </row>
    <row r="50" spans="1:6" ht="14.25" customHeight="1">
      <c r="A50" s="131" t="s">
        <v>1703</v>
      </c>
      <c r="B50" s="56" t="s">
        <v>121</v>
      </c>
      <c r="C50" s="60" t="s">
        <v>121</v>
      </c>
      <c r="D50" s="42">
        <f>'4.5'!J38</f>
        <v>70.98</v>
      </c>
    </row>
    <row r="51" spans="1:6" ht="14.25" customHeight="1">
      <c r="A51" s="362" t="s">
        <v>1704</v>
      </c>
      <c r="B51" s="57" t="s">
        <v>121</v>
      </c>
      <c r="C51" s="363" t="s">
        <v>121</v>
      </c>
      <c r="D51" s="43">
        <f>'4.5'!K38</f>
        <v>74.97</v>
      </c>
    </row>
    <row r="52" spans="1:6">
      <c r="A52" s="124"/>
      <c r="B52" s="125"/>
      <c r="C52" s="126"/>
      <c r="D52" s="279" t="s">
        <v>1458</v>
      </c>
    </row>
    <row r="53" spans="1:6">
      <c r="A53" s="124"/>
      <c r="C53" s="126"/>
      <c r="D53" s="28"/>
    </row>
    <row r="54" spans="1:6">
      <c r="A54" s="1243" t="s">
        <v>348</v>
      </c>
      <c r="B54" s="1243"/>
      <c r="C54" s="1243"/>
      <c r="D54" s="1243"/>
    </row>
    <row r="56" spans="1:6" ht="20.25" customHeight="1">
      <c r="A56" s="1242" t="s">
        <v>1583</v>
      </c>
      <c r="B56" s="1242"/>
      <c r="C56" s="1242"/>
      <c r="D56" s="1242"/>
      <c r="E56" s="120"/>
    </row>
    <row r="57" spans="1:6" s="187" customFormat="1" ht="15" customHeight="1">
      <c r="A57" s="78" t="s">
        <v>106</v>
      </c>
      <c r="B57" s="78" t="s">
        <v>107</v>
      </c>
      <c r="C57" s="78" t="s">
        <v>108</v>
      </c>
      <c r="D57" s="70" t="s">
        <v>109</v>
      </c>
      <c r="E57" s="231"/>
      <c r="F57" s="232"/>
    </row>
    <row r="58" spans="1:6" ht="15" customHeight="1">
      <c r="A58" s="355" t="s">
        <v>163</v>
      </c>
      <c r="B58" s="355" t="s">
        <v>164</v>
      </c>
      <c r="C58" s="355" t="s">
        <v>165</v>
      </c>
      <c r="D58" s="356" t="s">
        <v>166</v>
      </c>
      <c r="E58" s="2"/>
      <c r="F58" s="3"/>
    </row>
    <row r="59" spans="1:6" ht="14.25" customHeight="1">
      <c r="A59" s="357" t="s">
        <v>142</v>
      </c>
      <c r="B59" s="56"/>
      <c r="C59" s="60"/>
      <c r="D59" s="40"/>
    </row>
    <row r="60" spans="1:6" ht="14.25" customHeight="1">
      <c r="A60" s="131" t="s">
        <v>1469</v>
      </c>
      <c r="B60" s="56">
        <f>District!$C$2</f>
        <v>2014</v>
      </c>
      <c r="C60" s="60" t="s">
        <v>111</v>
      </c>
      <c r="D60" s="40" t="str">
        <f>'9.1'!G9</f>
        <v>246 (P)</v>
      </c>
    </row>
    <row r="61" spans="1:6" ht="14.25" customHeight="1">
      <c r="A61" s="341" t="s">
        <v>1574</v>
      </c>
      <c r="B61" s="210" t="str">
        <f>District!$C$3</f>
        <v>2013-14</v>
      </c>
      <c r="C61" s="338" t="s">
        <v>121</v>
      </c>
      <c r="D61" s="40">
        <f>'8.1,8.2'!D11</f>
        <v>4071</v>
      </c>
    </row>
    <row r="62" spans="1:6" ht="15" customHeight="1">
      <c r="A62" s="357" t="s">
        <v>143</v>
      </c>
      <c r="B62" s="56"/>
      <c r="C62" s="60"/>
      <c r="D62" s="40"/>
    </row>
    <row r="63" spans="1:6" ht="15" customHeight="1">
      <c r="A63" s="131" t="s">
        <v>1471</v>
      </c>
      <c r="B63" s="132" t="str">
        <f>"As on 31.03." &amp; District!$C$2</f>
        <v>As on 31.03.2014</v>
      </c>
      <c r="C63" s="60" t="s">
        <v>111</v>
      </c>
      <c r="D63" s="40">
        <f>'9.1'!G11</f>
        <v>16058</v>
      </c>
    </row>
    <row r="64" spans="1:6" ht="15" customHeight="1">
      <c r="A64" s="131" t="s">
        <v>938</v>
      </c>
      <c r="B64" s="56">
        <f>District!$C$2</f>
        <v>2014</v>
      </c>
      <c r="C64" s="60" t="s">
        <v>121</v>
      </c>
      <c r="D64" s="40" t="str">
        <f>'9.1'!G10</f>
        <v>16165 (P)</v>
      </c>
    </row>
    <row r="65" spans="1:6" ht="15" customHeight="1">
      <c r="A65" s="341" t="s">
        <v>1574</v>
      </c>
      <c r="B65" s="56" t="str">
        <f>District!$C$3</f>
        <v>2013-14</v>
      </c>
      <c r="C65" s="60" t="s">
        <v>121</v>
      </c>
      <c r="D65" s="40">
        <f>'8.1,8.2'!F11</f>
        <v>33707</v>
      </c>
    </row>
    <row r="66" spans="1:6" ht="15" customHeight="1">
      <c r="A66" s="357" t="s">
        <v>716</v>
      </c>
      <c r="B66" s="56"/>
      <c r="C66" s="60"/>
      <c r="D66" s="40"/>
    </row>
    <row r="67" spans="1:6" ht="15" customHeight="1">
      <c r="A67" s="131" t="s">
        <v>1580</v>
      </c>
      <c r="B67" s="56">
        <f>District!$C$2</f>
        <v>2014</v>
      </c>
      <c r="C67" s="60" t="s">
        <v>121</v>
      </c>
      <c r="D67" s="40">
        <f>'10.1,10.2'!F13</f>
        <v>432180</v>
      </c>
    </row>
    <row r="68" spans="1:6" ht="15" customHeight="1">
      <c r="A68" s="357" t="s">
        <v>144</v>
      </c>
      <c r="B68" s="56"/>
      <c r="C68" s="60"/>
      <c r="D68" s="40"/>
    </row>
    <row r="69" spans="1:6" ht="15" customHeight="1">
      <c r="A69" s="131" t="s">
        <v>1532</v>
      </c>
      <c r="B69" s="56" t="str">
        <f>District!$C$3</f>
        <v>2013-14</v>
      </c>
      <c r="C69" s="60" t="s">
        <v>121</v>
      </c>
      <c r="D69" s="40">
        <f>'8.1,8.2'!F42</f>
        <v>1232</v>
      </c>
    </row>
    <row r="70" spans="1:6" ht="15" customHeight="1">
      <c r="A70" s="131" t="s">
        <v>1082</v>
      </c>
      <c r="B70" s="56" t="s">
        <v>121</v>
      </c>
      <c r="C70" s="359" t="s">
        <v>1083</v>
      </c>
      <c r="D70" s="46">
        <f>'8.2a'!K10</f>
        <v>1168677</v>
      </c>
    </row>
    <row r="71" spans="1:6" ht="15" customHeight="1">
      <c r="A71" s="357" t="s">
        <v>145</v>
      </c>
      <c r="B71" s="56"/>
      <c r="C71" s="60"/>
      <c r="D71" s="40"/>
    </row>
    <row r="72" spans="1:6" ht="15" customHeight="1">
      <c r="A72" s="131" t="s">
        <v>146</v>
      </c>
      <c r="B72" s="56" t="s">
        <v>121</v>
      </c>
      <c r="C72" s="60" t="s">
        <v>111</v>
      </c>
      <c r="D72" s="40">
        <f>'7.1'!C47</f>
        <v>1250</v>
      </c>
    </row>
    <row r="73" spans="1:6" ht="15" customHeight="1">
      <c r="A73" s="131" t="s">
        <v>147</v>
      </c>
      <c r="B73" s="56" t="s">
        <v>121</v>
      </c>
      <c r="C73" s="60" t="s">
        <v>121</v>
      </c>
      <c r="D73" s="40">
        <f>'7.1'!D47</f>
        <v>415047</v>
      </c>
    </row>
    <row r="74" spans="1:6" ht="15" customHeight="1">
      <c r="A74" s="131" t="s">
        <v>148</v>
      </c>
      <c r="B74" s="56" t="s">
        <v>121</v>
      </c>
      <c r="C74" s="359" t="s">
        <v>1090</v>
      </c>
      <c r="D74" s="40">
        <f>'7.1'!E47</f>
        <v>16043828</v>
      </c>
    </row>
    <row r="75" spans="1:6" ht="15" customHeight="1">
      <c r="A75" s="357" t="s">
        <v>965</v>
      </c>
      <c r="B75" s="56"/>
      <c r="C75" s="60"/>
      <c r="D75" s="40"/>
    </row>
    <row r="76" spans="1:6" ht="15" customHeight="1">
      <c r="A76" s="131" t="s">
        <v>149</v>
      </c>
      <c r="B76" s="361" t="str">
        <f>CONCATENATE("June, ",'7.2,7.3'!B11)</f>
        <v>June, 2014</v>
      </c>
      <c r="C76" s="60" t="s">
        <v>111</v>
      </c>
      <c r="D76" s="40">
        <f>'7.2,7.3'!O11</f>
        <v>293</v>
      </c>
    </row>
    <row r="77" spans="1:6" ht="15" customHeight="1">
      <c r="A77" s="357" t="s">
        <v>150</v>
      </c>
      <c r="B77" s="56"/>
      <c r="C77" s="60"/>
      <c r="D77" s="40"/>
    </row>
    <row r="78" spans="1:6" ht="15" customHeight="1">
      <c r="A78" s="131" t="s">
        <v>151</v>
      </c>
      <c r="B78" s="56" t="str">
        <f>District!$C$3</f>
        <v>2013-14</v>
      </c>
      <c r="C78" s="60" t="s">
        <v>111</v>
      </c>
      <c r="D78" s="40">
        <f>'12.5,12.6,12.7'!C21</f>
        <v>459</v>
      </c>
    </row>
    <row r="79" spans="1:6" ht="15" customHeight="1">
      <c r="A79" s="131" t="s">
        <v>1581</v>
      </c>
      <c r="B79" s="56" t="s">
        <v>121</v>
      </c>
      <c r="C79" s="60" t="s">
        <v>121</v>
      </c>
      <c r="D79" s="40" t="str">
        <f>LEFT('12.5,12.6,12.7'!I21,1)</f>
        <v>-</v>
      </c>
    </row>
    <row r="80" spans="1:6" ht="15" customHeight="1">
      <c r="A80" s="131" t="s">
        <v>1705</v>
      </c>
      <c r="B80" s="56" t="s">
        <v>121</v>
      </c>
      <c r="C80" s="60" t="s">
        <v>1084</v>
      </c>
      <c r="D80" s="42">
        <f>SUM('12.1,12.2'!C11,'12.1,12.2'!F11,'12.1,12.2'!I11,'12.1,12.2'!L11,'12.3'!E10:F10)</f>
        <v>7836.27</v>
      </c>
      <c r="F80" s="1028"/>
    </row>
    <row r="81" spans="1:4" ht="15" customHeight="1">
      <c r="A81" s="131" t="s">
        <v>1706</v>
      </c>
      <c r="B81" s="56" t="s">
        <v>121</v>
      </c>
      <c r="C81" s="60" t="s">
        <v>121</v>
      </c>
      <c r="D81" s="42">
        <f>SUM('12.1,12.2'!D11,'12.1,12.2'!G11,'12.1,12.2'!J11,'12.1,12.2'!M11,'12.3'!G10:H10)</f>
        <v>2389.9</v>
      </c>
    </row>
    <row r="82" spans="1:4" ht="15" customHeight="1">
      <c r="A82" s="131" t="s">
        <v>1550</v>
      </c>
      <c r="B82" s="56" t="s">
        <v>121</v>
      </c>
      <c r="C82" s="60" t="s">
        <v>111</v>
      </c>
      <c r="D82" s="40">
        <f>'12.4'!L10</f>
        <v>235421</v>
      </c>
    </row>
    <row r="83" spans="1:4" ht="15" customHeight="1">
      <c r="A83" s="357" t="s">
        <v>153</v>
      </c>
      <c r="B83" s="56"/>
      <c r="C83" s="60"/>
      <c r="D83" s="40"/>
    </row>
    <row r="84" spans="1:4" ht="15" customHeight="1">
      <c r="A84" s="131" t="s">
        <v>1582</v>
      </c>
      <c r="B84" s="56" t="s">
        <v>121</v>
      </c>
      <c r="C84" s="359" t="s">
        <v>1090</v>
      </c>
      <c r="D84" s="40">
        <f>'15.2'!B10</f>
        <v>15180000</v>
      </c>
    </row>
    <row r="85" spans="1:4" ht="15" customHeight="1">
      <c r="A85" s="362" t="s">
        <v>606</v>
      </c>
      <c r="B85" s="57" t="s">
        <v>121</v>
      </c>
      <c r="C85" s="363" t="s">
        <v>121</v>
      </c>
      <c r="D85" s="340">
        <f>'15.1'!M10</f>
        <v>2509268</v>
      </c>
    </row>
    <row r="86" spans="1:4">
      <c r="A86" s="368"/>
      <c r="B86" s="28"/>
      <c r="C86" s="28"/>
      <c r="D86" s="28"/>
    </row>
    <row r="87" spans="1:4">
      <c r="A87" s="62"/>
      <c r="B87" s="8"/>
      <c r="C87" s="8"/>
      <c r="D87" s="8"/>
    </row>
    <row r="88" spans="1:4">
      <c r="A88" s="80"/>
    </row>
    <row r="89" spans="1:4">
      <c r="B89"/>
      <c r="C89" s="82"/>
      <c r="D89" s="82"/>
    </row>
    <row r="90" spans="1:4">
      <c r="B90"/>
      <c r="C90" s="122"/>
      <c r="D90" s="122"/>
    </row>
    <row r="91" spans="1:4">
      <c r="B91"/>
      <c r="C91" s="122"/>
      <c r="D91" s="122"/>
    </row>
    <row r="92" spans="1:4">
      <c r="B92"/>
      <c r="C92" s="122"/>
      <c r="D92" s="122"/>
    </row>
    <row r="93" spans="1:4">
      <c r="B93"/>
      <c r="C93" s="122"/>
      <c r="D93" s="122"/>
    </row>
    <row r="94" spans="1:4">
      <c r="B94"/>
      <c r="C94" s="122"/>
      <c r="D94" s="122"/>
    </row>
    <row r="95" spans="1:4">
      <c r="B95"/>
      <c r="C95" s="122"/>
      <c r="D95" s="122"/>
    </row>
    <row r="96" spans="1:4">
      <c r="B96"/>
      <c r="C96" s="122"/>
      <c r="D96" s="122"/>
    </row>
    <row r="97" spans="1:4">
      <c r="B97"/>
      <c r="C97" s="122"/>
      <c r="D97" s="122"/>
    </row>
    <row r="98" spans="1:4">
      <c r="B98"/>
      <c r="C98" s="122"/>
      <c r="D98" s="122"/>
    </row>
    <row r="99" spans="1:4">
      <c r="B99"/>
      <c r="C99" s="122"/>
      <c r="D99" s="122"/>
    </row>
    <row r="100" spans="1:4">
      <c r="B100"/>
      <c r="C100" s="122"/>
      <c r="D100" s="122"/>
    </row>
    <row r="101" spans="1:4">
      <c r="B101"/>
      <c r="C101" s="122"/>
      <c r="D101" s="122"/>
    </row>
    <row r="102" spans="1:4">
      <c r="B102"/>
      <c r="C102" s="166"/>
      <c r="D102" s="166"/>
    </row>
    <row r="111" spans="1:4">
      <c r="A111" s="1243" t="s">
        <v>350</v>
      </c>
      <c r="B111" s="1243"/>
      <c r="C111" s="1243"/>
      <c r="D111" s="1243"/>
    </row>
  </sheetData>
  <mergeCells count="4">
    <mergeCell ref="A1:D1"/>
    <mergeCell ref="A56:D56"/>
    <mergeCell ref="A54:D54"/>
    <mergeCell ref="A111:D111"/>
  </mergeCells>
  <phoneticPr fontId="0" type="noConversion"/>
  <conditionalFormatting sqref="A61 A65">
    <cfRule type="cellIs" dxfId="19" priority="2" stopIfTrue="1" operator="equal">
      <formula>".."</formula>
    </cfRule>
  </conditionalFormatting>
  <printOptions horizontalCentered="1"/>
  <pageMargins left="0.5" right="0.5" top="0.68" bottom="0.1" header="0.12" footer="0.1"/>
  <pageSetup paperSize="9" orientation="portrait" blackAndWhite="1" r:id="rId1"/>
  <headerFooter alignWithMargins="0"/>
  <legacyDrawing r:id="rId2"/>
  <oleObjects>
    <oleObject progId="Word.Document.8" shapeId="4098" r:id="rId3"/>
  </oleObjects>
</worksheet>
</file>

<file path=xl/worksheets/sheet50.xml><?xml version="1.0" encoding="utf-8"?>
<worksheet xmlns="http://schemas.openxmlformats.org/spreadsheetml/2006/main" xmlns:r="http://schemas.openxmlformats.org/officeDocument/2006/relationships">
  <dimension ref="A1:M27"/>
  <sheetViews>
    <sheetView topLeftCell="A4" workbookViewId="0">
      <selection activeCell="P9" sqref="P9"/>
    </sheetView>
  </sheetViews>
  <sheetFormatPr defaultRowHeight="12.75"/>
  <cols>
    <col min="1" max="1" width="18.85546875" style="405" customWidth="1"/>
    <col min="2" max="2" width="9.28515625" style="405" customWidth="1"/>
    <col min="3" max="7" width="9.7109375" style="405" customWidth="1"/>
    <col min="8" max="8" width="10" style="405" customWidth="1"/>
    <col min="9" max="13" width="10.140625" style="405" customWidth="1"/>
    <col min="14" max="16384" width="9.140625" style="405"/>
  </cols>
  <sheetData>
    <row r="1" spans="1:13" ht="18.95" customHeight="1">
      <c r="A1" s="1261" t="s">
        <v>459</v>
      </c>
      <c r="B1" s="1261"/>
      <c r="C1" s="1261"/>
      <c r="D1" s="1261"/>
      <c r="E1" s="1261"/>
      <c r="F1" s="1261"/>
      <c r="G1" s="1261"/>
      <c r="H1" s="1261"/>
      <c r="I1" s="1261"/>
      <c r="J1" s="1261"/>
      <c r="K1" s="1261"/>
      <c r="L1" s="1261"/>
      <c r="M1" s="1261"/>
    </row>
    <row r="2" spans="1:13" s="412" customFormat="1" ht="18.95" customHeight="1">
      <c r="A2" s="1264" t="str">
        <f>CONCATENATE("Area and Production of Flowers in the district of ",District!A1)</f>
        <v>Area and Production of Flowers in the district of Nadia</v>
      </c>
      <c r="B2" s="1264"/>
      <c r="C2" s="1264"/>
      <c r="D2" s="1264"/>
      <c r="E2" s="1264"/>
      <c r="F2" s="1264"/>
      <c r="G2" s="1264"/>
      <c r="H2" s="1264"/>
      <c r="I2" s="1264"/>
      <c r="J2" s="1264"/>
      <c r="K2" s="1264"/>
      <c r="L2" s="1264"/>
      <c r="M2" s="1264"/>
    </row>
    <row r="4" spans="1:13" ht="18.95" customHeight="1">
      <c r="A4" s="1262" t="s">
        <v>1620</v>
      </c>
      <c r="B4" s="1265" t="s">
        <v>118</v>
      </c>
      <c r="C4" s="1265"/>
      <c r="D4" s="1265"/>
      <c r="E4" s="1265"/>
      <c r="F4" s="1265"/>
      <c r="G4" s="1266"/>
      <c r="H4" s="1265" t="s">
        <v>648</v>
      </c>
      <c r="I4" s="1265"/>
      <c r="J4" s="1265"/>
      <c r="K4" s="1265"/>
      <c r="L4" s="1265"/>
      <c r="M4" s="1266"/>
    </row>
    <row r="5" spans="1:13" ht="22.5" customHeight="1">
      <c r="A5" s="1270"/>
      <c r="B5" s="204" t="s">
        <v>108</v>
      </c>
      <c r="C5" s="669" t="str">
        <f>District!C8</f>
        <v>2009-10</v>
      </c>
      <c r="D5" s="669" t="str">
        <f>District!D8</f>
        <v>2010-11</v>
      </c>
      <c r="E5" s="669" t="str">
        <f>District!E8</f>
        <v>2011-12</v>
      </c>
      <c r="F5" s="669" t="str">
        <f>District!F8</f>
        <v>2012-13</v>
      </c>
      <c r="G5" s="669" t="str">
        <f>District!G8</f>
        <v>2013-14</v>
      </c>
      <c r="H5" s="204" t="s">
        <v>108</v>
      </c>
      <c r="I5" s="669" t="str">
        <f>District!C8</f>
        <v>2009-10</v>
      </c>
      <c r="J5" s="669" t="str">
        <f>District!D8</f>
        <v>2010-11</v>
      </c>
      <c r="K5" s="669" t="str">
        <f>District!E8</f>
        <v>2011-12</v>
      </c>
      <c r="L5" s="669" t="str">
        <f>District!F8</f>
        <v>2012-13</v>
      </c>
      <c r="M5" s="475" t="str">
        <f>District!G8</f>
        <v>2013-14</v>
      </c>
    </row>
    <row r="6" spans="1:13" ht="18.95" customHeight="1">
      <c r="A6" s="225" t="s">
        <v>163</v>
      </c>
      <c r="B6" s="225" t="s">
        <v>164</v>
      </c>
      <c r="C6" s="226" t="s">
        <v>165</v>
      </c>
      <c r="D6" s="226" t="s">
        <v>166</v>
      </c>
      <c r="E6" s="226" t="s">
        <v>167</v>
      </c>
      <c r="F6" s="226" t="s">
        <v>168</v>
      </c>
      <c r="G6" s="224" t="s">
        <v>169</v>
      </c>
      <c r="H6" s="671" t="s">
        <v>211</v>
      </c>
      <c r="I6" s="226" t="s">
        <v>212</v>
      </c>
      <c r="J6" s="226" t="s">
        <v>213</v>
      </c>
      <c r="K6" s="476" t="s">
        <v>214</v>
      </c>
      <c r="L6" s="476" t="s">
        <v>253</v>
      </c>
      <c r="M6" s="481" t="s">
        <v>254</v>
      </c>
    </row>
    <row r="7" spans="1:13" ht="36.75" customHeight="1">
      <c r="A7" s="204" t="s">
        <v>649</v>
      </c>
      <c r="B7" s="404" t="s">
        <v>1249</v>
      </c>
      <c r="C7" s="672">
        <v>0.30199999999999999</v>
      </c>
      <c r="D7" s="672">
        <v>0.32200000000000001</v>
      </c>
      <c r="E7" s="672">
        <v>0.32100000000000001</v>
      </c>
      <c r="F7" s="672">
        <v>0.31900000000000001</v>
      </c>
      <c r="G7" s="673">
        <v>0.31</v>
      </c>
      <c r="H7" s="674" t="s">
        <v>1041</v>
      </c>
      <c r="I7" s="675">
        <v>10.5</v>
      </c>
      <c r="J7" s="676">
        <v>11.2</v>
      </c>
      <c r="K7" s="676">
        <v>11.1</v>
      </c>
      <c r="L7" s="676">
        <v>11</v>
      </c>
      <c r="M7" s="677">
        <v>10.6</v>
      </c>
    </row>
    <row r="8" spans="1:13" ht="38.25" customHeight="1">
      <c r="A8" s="81" t="s">
        <v>650</v>
      </c>
      <c r="B8" s="81" t="s">
        <v>121</v>
      </c>
      <c r="C8" s="672">
        <v>2.5999999999999999E-2</v>
      </c>
      <c r="D8" s="672">
        <v>2.5999999999999999E-2</v>
      </c>
      <c r="E8" s="672">
        <v>2.5999999999999999E-2</v>
      </c>
      <c r="F8" s="672">
        <v>2.5000000000000001E-2</v>
      </c>
      <c r="G8" s="673">
        <v>3.5000000000000003E-2</v>
      </c>
      <c r="H8" s="678" t="s">
        <v>121</v>
      </c>
      <c r="I8" s="676">
        <v>0.71799999999999997</v>
      </c>
      <c r="J8" s="676">
        <v>0.71799999999999997</v>
      </c>
      <c r="K8" s="676">
        <v>0.71799999999999997</v>
      </c>
      <c r="L8" s="676">
        <v>0.7</v>
      </c>
      <c r="M8" s="677">
        <v>1.01</v>
      </c>
    </row>
    <row r="9" spans="1:13" ht="36" customHeight="1">
      <c r="A9" s="81" t="s">
        <v>651</v>
      </c>
      <c r="B9" s="81" t="s">
        <v>121</v>
      </c>
      <c r="C9" s="672">
        <v>0.28999999999999998</v>
      </c>
      <c r="D9" s="672">
        <v>0.34</v>
      </c>
      <c r="E9" s="672">
        <v>0.34</v>
      </c>
      <c r="F9" s="672">
        <v>0.34200000000000003</v>
      </c>
      <c r="G9" s="673">
        <v>0.34499999999999997</v>
      </c>
      <c r="H9" s="678" t="s">
        <v>121</v>
      </c>
      <c r="I9" s="672">
        <v>3.51</v>
      </c>
      <c r="J9" s="672">
        <v>4.34</v>
      </c>
      <c r="K9" s="672">
        <v>4.3449999999999998</v>
      </c>
      <c r="L9" s="672">
        <v>4.4000000000000004</v>
      </c>
      <c r="M9" s="673">
        <v>4.5999999999999996</v>
      </c>
    </row>
    <row r="10" spans="1:13" ht="33.75" customHeight="1">
      <c r="A10" s="81" t="s">
        <v>652</v>
      </c>
      <c r="B10" s="81" t="s">
        <v>121</v>
      </c>
      <c r="C10" s="672">
        <v>1.62</v>
      </c>
      <c r="D10" s="672">
        <v>1.9750000000000001</v>
      </c>
      <c r="E10" s="672">
        <v>2</v>
      </c>
      <c r="F10" s="672">
        <v>2.0449999999999999</v>
      </c>
      <c r="G10" s="673">
        <v>2.0880000000000001</v>
      </c>
      <c r="H10" s="679" t="s">
        <v>121</v>
      </c>
      <c r="I10" s="672">
        <v>42.4</v>
      </c>
      <c r="J10" s="672">
        <v>51.69</v>
      </c>
      <c r="K10" s="672">
        <v>54</v>
      </c>
      <c r="L10" s="672">
        <v>55.4</v>
      </c>
      <c r="M10" s="673">
        <v>56.56</v>
      </c>
    </row>
    <row r="11" spans="1:13" ht="33.75" customHeight="1">
      <c r="A11" s="81" t="s">
        <v>653</v>
      </c>
      <c r="B11" s="81" t="s">
        <v>121</v>
      </c>
      <c r="C11" s="672">
        <v>1.6</v>
      </c>
      <c r="D11" s="672">
        <v>1.75</v>
      </c>
      <c r="E11" s="672">
        <v>1.8</v>
      </c>
      <c r="F11" s="672">
        <v>1.82</v>
      </c>
      <c r="G11" s="673">
        <v>1.831</v>
      </c>
      <c r="H11" s="678" t="s">
        <v>1376</v>
      </c>
      <c r="I11" s="672">
        <v>14.05</v>
      </c>
      <c r="J11" s="672">
        <v>15.4</v>
      </c>
      <c r="K11" s="672">
        <v>15.9</v>
      </c>
      <c r="L11" s="672">
        <v>16.100000000000001</v>
      </c>
      <c r="M11" s="673">
        <v>16.25</v>
      </c>
    </row>
    <row r="12" spans="1:13" ht="33.75" customHeight="1">
      <c r="A12" s="81" t="s">
        <v>654</v>
      </c>
      <c r="B12" s="81" t="s">
        <v>121</v>
      </c>
      <c r="C12" s="146" t="s">
        <v>643</v>
      </c>
      <c r="D12" s="146" t="s">
        <v>643</v>
      </c>
      <c r="E12" s="146" t="s">
        <v>643</v>
      </c>
      <c r="F12" s="146" t="s">
        <v>643</v>
      </c>
      <c r="G12" s="266" t="s">
        <v>643</v>
      </c>
      <c r="H12" s="679" t="s">
        <v>121</v>
      </c>
      <c r="I12" s="146" t="s">
        <v>643</v>
      </c>
      <c r="J12" s="146" t="s">
        <v>643</v>
      </c>
      <c r="K12" s="146" t="s">
        <v>643</v>
      </c>
      <c r="L12" s="146" t="s">
        <v>643</v>
      </c>
      <c r="M12" s="266" t="s">
        <v>643</v>
      </c>
    </row>
    <row r="13" spans="1:13" ht="33.75" customHeight="1">
      <c r="A13" s="81" t="s">
        <v>655</v>
      </c>
      <c r="B13" s="81" t="s">
        <v>121</v>
      </c>
      <c r="C13" s="672">
        <v>1.165</v>
      </c>
      <c r="D13" s="672">
        <v>1.1679999999999999</v>
      </c>
      <c r="E13" s="672">
        <v>1.1679999999999999</v>
      </c>
      <c r="F13" s="672">
        <v>1.17</v>
      </c>
      <c r="G13" s="673">
        <v>1.169</v>
      </c>
      <c r="H13" s="679" t="s">
        <v>121</v>
      </c>
      <c r="I13" s="672">
        <v>1.992</v>
      </c>
      <c r="J13" s="672">
        <v>2.0070000000000001</v>
      </c>
      <c r="K13" s="672">
        <v>2.0070000000000001</v>
      </c>
      <c r="L13" s="672">
        <v>2.0150000000000001</v>
      </c>
      <c r="M13" s="673">
        <v>2.016</v>
      </c>
    </row>
    <row r="14" spans="1:13" ht="33.75" customHeight="1">
      <c r="A14" s="129" t="s">
        <v>987</v>
      </c>
      <c r="B14" s="129" t="s">
        <v>121</v>
      </c>
      <c r="C14" s="680">
        <v>0.97499999999999998</v>
      </c>
      <c r="D14" s="680">
        <v>0.97699999999999998</v>
      </c>
      <c r="E14" s="680">
        <v>0.97799999999999998</v>
      </c>
      <c r="F14" s="680">
        <v>0.98</v>
      </c>
      <c r="G14" s="681">
        <v>0.98499999999999999</v>
      </c>
      <c r="H14" s="682" t="s">
        <v>121</v>
      </c>
      <c r="I14" s="680">
        <v>1.1890000000000001</v>
      </c>
      <c r="J14" s="680">
        <v>1.1950000000000001</v>
      </c>
      <c r="K14" s="680">
        <v>1.1950000000000001</v>
      </c>
      <c r="L14" s="680">
        <v>1.2</v>
      </c>
      <c r="M14" s="681">
        <v>1.2</v>
      </c>
    </row>
    <row r="15" spans="1:13" ht="12.75" customHeight="1">
      <c r="A15" s="520"/>
      <c r="C15" s="426"/>
      <c r="D15" s="1328" t="s">
        <v>1594</v>
      </c>
      <c r="E15" s="1328"/>
      <c r="F15" s="1328"/>
      <c r="G15" s="1328"/>
      <c r="H15" s="1328"/>
      <c r="I15" s="1328"/>
      <c r="J15" s="1328"/>
      <c r="K15" s="1328"/>
      <c r="L15" s="1328"/>
      <c r="M15" s="1328"/>
    </row>
    <row r="26" ht="1.5" customHeight="1"/>
    <row r="27" ht="12.75" hidden="1" customHeight="1"/>
  </sheetData>
  <mergeCells count="6">
    <mergeCell ref="D15:M15"/>
    <mergeCell ref="A2:M2"/>
    <mergeCell ref="A4:A5"/>
    <mergeCell ref="A1:M1"/>
    <mergeCell ref="H4:M4"/>
    <mergeCell ref="B4:G4"/>
  </mergeCells>
  <phoneticPr fontId="0" type="noConversion"/>
  <printOptions horizontalCentered="1"/>
  <pageMargins left="0.1" right="0.1" top="0.79" bottom="0.16" header="0.32" footer="0.42"/>
  <pageSetup paperSize="9" orientation="landscape" blackAndWhite="1" r:id="rId1"/>
  <headerFooter alignWithMargins="0"/>
</worksheet>
</file>

<file path=xl/worksheets/sheet51.xml><?xml version="1.0" encoding="utf-8"?>
<worksheet xmlns="http://schemas.openxmlformats.org/spreadsheetml/2006/main" xmlns:r="http://schemas.openxmlformats.org/officeDocument/2006/relationships">
  <dimension ref="A1:M24"/>
  <sheetViews>
    <sheetView workbookViewId="0">
      <selection activeCell="I31" sqref="I31"/>
    </sheetView>
  </sheetViews>
  <sheetFormatPr defaultRowHeight="12.75"/>
  <cols>
    <col min="1" max="1" width="13.5703125" style="405" customWidth="1"/>
    <col min="2" max="2" width="29.5703125" style="405" customWidth="1"/>
    <col min="3" max="3" width="19.5703125" style="405" customWidth="1"/>
    <col min="4" max="8" width="14.7109375" style="405" customWidth="1"/>
    <col min="9" max="16384" width="9.140625" style="405"/>
  </cols>
  <sheetData>
    <row r="1" spans="2:13" ht="12.75" customHeight="1">
      <c r="B1" s="1250" t="s">
        <v>460</v>
      </c>
      <c r="C1" s="1250"/>
      <c r="D1" s="1250"/>
      <c r="E1" s="1250"/>
      <c r="F1" s="1250"/>
      <c r="G1" s="1250"/>
      <c r="H1" s="1250"/>
    </row>
    <row r="2" spans="2:13" ht="33.75" customHeight="1">
      <c r="B2" s="1297" t="str">
        <f>CONCATENATE("Classification of Forest Area, Out-turn of Forest Produce, Revenue and Expenditure of Forest Department 
in the district of ",District!A1)</f>
        <v>Classification of Forest Area, Out-turn of Forest Produce, Revenue and Expenditure of Forest Department 
in the district of Nadia</v>
      </c>
      <c r="C2" s="1297"/>
      <c r="D2" s="1297"/>
      <c r="E2" s="1297"/>
      <c r="F2" s="1297"/>
      <c r="G2" s="1297"/>
      <c r="H2" s="1297"/>
      <c r="I2" s="20"/>
      <c r="J2" s="20"/>
      <c r="K2" s="20"/>
      <c r="L2" s="20"/>
      <c r="M2" s="20"/>
    </row>
    <row r="3" spans="2:13" ht="9.75" customHeight="1"/>
    <row r="4" spans="2:13" s="5" customFormat="1" ht="18.95" customHeight="1">
      <c r="B4" s="683" t="s">
        <v>656</v>
      </c>
      <c r="C4" s="221" t="s">
        <v>108</v>
      </c>
      <c r="D4" s="669" t="str">
        <f>District!C8</f>
        <v>2009-10</v>
      </c>
      <c r="E4" s="669" t="str">
        <f>District!D8</f>
        <v>2010-11</v>
      </c>
      <c r="F4" s="669" t="str">
        <f>District!E8</f>
        <v>2011-12</v>
      </c>
      <c r="G4" s="669" t="str">
        <f>District!F8</f>
        <v>2012-13</v>
      </c>
      <c r="H4" s="669" t="str">
        <f>District!G8</f>
        <v>2013-14</v>
      </c>
      <c r="I4" s="388"/>
    </row>
    <row r="5" spans="2:13" ht="18.95" customHeight="1">
      <c r="B5" s="225" t="s">
        <v>163</v>
      </c>
      <c r="C5" s="225" t="s">
        <v>164</v>
      </c>
      <c r="D5" s="226" t="s">
        <v>165</v>
      </c>
      <c r="E5" s="226" t="s">
        <v>166</v>
      </c>
      <c r="F5" s="226" t="s">
        <v>167</v>
      </c>
      <c r="G5" s="226" t="s">
        <v>168</v>
      </c>
      <c r="H5" s="224" t="s">
        <v>169</v>
      </c>
    </row>
    <row r="6" spans="2:13" ht="21.75" customHeight="1">
      <c r="B6" s="684" t="s">
        <v>1610</v>
      </c>
      <c r="C6" s="96"/>
      <c r="D6" s="97"/>
      <c r="E6" s="1092"/>
      <c r="F6" s="1092"/>
      <c r="G6" s="102"/>
      <c r="H6" s="1092"/>
    </row>
    <row r="7" spans="2:13" ht="21.75" customHeight="1">
      <c r="B7" s="685" t="s">
        <v>657</v>
      </c>
      <c r="C7" s="81" t="s">
        <v>293</v>
      </c>
      <c r="D7" s="447">
        <v>510.37</v>
      </c>
      <c r="E7" s="870">
        <v>510.37</v>
      </c>
      <c r="F7" s="870">
        <v>510.37</v>
      </c>
      <c r="G7" s="447">
        <v>510.37</v>
      </c>
      <c r="H7" s="870">
        <v>510.37</v>
      </c>
    </row>
    <row r="8" spans="2:13" ht="21.75" customHeight="1">
      <c r="B8" s="685" t="s">
        <v>658</v>
      </c>
      <c r="C8" s="81" t="s">
        <v>121</v>
      </c>
      <c r="D8" s="447">
        <v>317.29000000000002</v>
      </c>
      <c r="E8" s="870">
        <v>317.29000000000002</v>
      </c>
      <c r="F8" s="870">
        <v>317.29000000000002</v>
      </c>
      <c r="G8" s="447">
        <v>317.29000000000002</v>
      </c>
      <c r="H8" s="870">
        <v>317.29000000000002</v>
      </c>
    </row>
    <row r="9" spans="2:13" ht="21.75" customHeight="1">
      <c r="B9" s="685" t="s">
        <v>659</v>
      </c>
      <c r="C9" s="81" t="s">
        <v>121</v>
      </c>
      <c r="D9" s="447">
        <v>405.77</v>
      </c>
      <c r="E9" s="870">
        <v>405.77</v>
      </c>
      <c r="F9" s="870">
        <v>405.77</v>
      </c>
      <c r="G9" s="447">
        <v>405.77</v>
      </c>
      <c r="H9" s="870">
        <v>405.77</v>
      </c>
    </row>
    <row r="10" spans="2:13" ht="21.75" customHeight="1">
      <c r="B10" s="685" t="s">
        <v>660</v>
      </c>
      <c r="C10" s="81" t="s">
        <v>121</v>
      </c>
      <c r="D10" s="99" t="s">
        <v>643</v>
      </c>
      <c r="E10" s="1093" t="s">
        <v>643</v>
      </c>
      <c r="F10" s="1093" t="s">
        <v>643</v>
      </c>
      <c r="G10" s="99" t="s">
        <v>643</v>
      </c>
      <c r="H10" s="1093" t="s">
        <v>643</v>
      </c>
    </row>
    <row r="11" spans="2:13" ht="21.75" customHeight="1">
      <c r="B11" s="685" t="s">
        <v>1410</v>
      </c>
      <c r="C11" s="81" t="s">
        <v>121</v>
      </c>
      <c r="D11" s="99" t="s">
        <v>643</v>
      </c>
      <c r="E11" s="1093" t="s">
        <v>643</v>
      </c>
      <c r="F11" s="1093" t="s">
        <v>643</v>
      </c>
      <c r="G11" s="99" t="s">
        <v>643</v>
      </c>
      <c r="H11" s="1093" t="s">
        <v>643</v>
      </c>
    </row>
    <row r="12" spans="2:13" ht="21.75" customHeight="1">
      <c r="B12" s="685" t="s">
        <v>294</v>
      </c>
      <c r="C12" s="81" t="s">
        <v>121</v>
      </c>
      <c r="D12" s="99" t="s">
        <v>643</v>
      </c>
      <c r="E12" s="1093" t="s">
        <v>643</v>
      </c>
      <c r="F12" s="1093" t="s">
        <v>643</v>
      </c>
      <c r="G12" s="99" t="s">
        <v>643</v>
      </c>
      <c r="H12" s="1093" t="s">
        <v>643</v>
      </c>
    </row>
    <row r="13" spans="2:13" ht="21.75" customHeight="1">
      <c r="B13" s="685" t="s">
        <v>297</v>
      </c>
      <c r="C13" s="81" t="s">
        <v>121</v>
      </c>
      <c r="D13" s="99" t="s">
        <v>643</v>
      </c>
      <c r="E13" s="1094" t="s">
        <v>643</v>
      </c>
      <c r="F13" s="1094" t="s">
        <v>643</v>
      </c>
      <c r="G13" s="99" t="s">
        <v>643</v>
      </c>
      <c r="H13" s="1094" t="s">
        <v>643</v>
      </c>
    </row>
    <row r="14" spans="2:13" ht="21.75" customHeight="1">
      <c r="B14" s="686" t="s">
        <v>210</v>
      </c>
      <c r="C14" s="305"/>
      <c r="D14" s="861">
        <f>SUM(D7:D13)</f>
        <v>1233.43</v>
      </c>
      <c r="E14" s="861">
        <f>SUM(E7:E13)</f>
        <v>1233.43</v>
      </c>
      <c r="F14" s="861">
        <f>SUM(F7:F13)</f>
        <v>1233.43</v>
      </c>
      <c r="G14" s="861">
        <f>SUM(G7:G13)</f>
        <v>1233.43</v>
      </c>
      <c r="H14" s="687">
        <f>SUM(H7:H13)</f>
        <v>1233.43</v>
      </c>
    </row>
    <row r="15" spans="2:13" ht="21.75" customHeight="1">
      <c r="B15" s="525" t="s">
        <v>1611</v>
      </c>
      <c r="C15" s="101"/>
      <c r="D15" s="189"/>
      <c r="E15" s="1092"/>
      <c r="F15" s="97"/>
      <c r="G15" s="1092"/>
      <c r="H15" s="98"/>
    </row>
    <row r="16" spans="2:13" ht="21.75" customHeight="1">
      <c r="B16" s="688" t="s">
        <v>661</v>
      </c>
      <c r="C16" s="326" t="s">
        <v>1042</v>
      </c>
      <c r="D16" s="453">
        <v>0.33</v>
      </c>
      <c r="E16" s="870">
        <v>2.87</v>
      </c>
      <c r="F16" s="689" t="s">
        <v>732</v>
      </c>
      <c r="G16" s="1095">
        <v>5.1516000000000002</v>
      </c>
      <c r="H16" s="690">
        <v>146.86000000000001</v>
      </c>
    </row>
    <row r="17" spans="1:8" ht="21.75" customHeight="1">
      <c r="B17" s="688" t="s">
        <v>662</v>
      </c>
      <c r="C17" s="151" t="s">
        <v>121</v>
      </c>
      <c r="D17" s="453">
        <v>0.5</v>
      </c>
      <c r="E17" s="870">
        <v>2.11</v>
      </c>
      <c r="F17" s="689" t="s">
        <v>732</v>
      </c>
      <c r="G17" s="1096">
        <v>2.6634000000000002</v>
      </c>
      <c r="H17" s="1063" t="s">
        <v>643</v>
      </c>
    </row>
    <row r="18" spans="1:8" ht="21.75" customHeight="1">
      <c r="B18" s="688" t="s">
        <v>664</v>
      </c>
      <c r="C18" s="151" t="s">
        <v>111</v>
      </c>
      <c r="D18" s="441">
        <v>1797</v>
      </c>
      <c r="E18" s="877">
        <v>12350</v>
      </c>
      <c r="F18" s="692" t="s">
        <v>732</v>
      </c>
      <c r="G18" s="1097">
        <v>6744</v>
      </c>
      <c r="H18" s="1064" t="s">
        <v>643</v>
      </c>
    </row>
    <row r="19" spans="1:8" ht="21.75" customHeight="1">
      <c r="B19" s="693" t="s">
        <v>1612</v>
      </c>
      <c r="C19" s="327"/>
      <c r="D19" s="190"/>
      <c r="E19" s="327"/>
      <c r="F19" s="103"/>
      <c r="G19" s="327"/>
      <c r="H19" s="104"/>
    </row>
    <row r="20" spans="1:8" ht="21.75" customHeight="1">
      <c r="B20" s="688" t="s">
        <v>665</v>
      </c>
      <c r="C20" s="328" t="s">
        <v>1043</v>
      </c>
      <c r="D20" s="332">
        <v>8234.2800000000007</v>
      </c>
      <c r="E20" s="151">
        <v>35468.28</v>
      </c>
      <c r="F20" s="188">
        <v>7461.88</v>
      </c>
      <c r="G20" s="151">
        <v>53006.32</v>
      </c>
      <c r="H20" s="1052" t="s">
        <v>1655</v>
      </c>
    </row>
    <row r="21" spans="1:8" ht="21.75" customHeight="1">
      <c r="B21" s="694" t="s">
        <v>666</v>
      </c>
      <c r="C21" s="160" t="s">
        <v>121</v>
      </c>
      <c r="D21" s="660">
        <v>13043.88</v>
      </c>
      <c r="E21" s="1099">
        <v>23470.44</v>
      </c>
      <c r="F21" s="661">
        <v>8075.48</v>
      </c>
      <c r="G21" s="1098" t="s">
        <v>940</v>
      </c>
      <c r="H21" s="1005" t="s">
        <v>1656</v>
      </c>
    </row>
    <row r="22" spans="1:8">
      <c r="A22" s="450"/>
      <c r="B22" s="695" t="s">
        <v>1657</v>
      </c>
      <c r="C22" s="24"/>
      <c r="D22" s="6"/>
      <c r="F22" s="6"/>
      <c r="G22" s="6"/>
      <c r="H22" s="280" t="s">
        <v>1643</v>
      </c>
    </row>
    <row r="23" spans="1:8">
      <c r="B23" s="696" t="s">
        <v>1658</v>
      </c>
    </row>
    <row r="24" spans="1:8">
      <c r="B24" s="696"/>
    </row>
  </sheetData>
  <mergeCells count="2">
    <mergeCell ref="B2:H2"/>
    <mergeCell ref="B1:H1"/>
  </mergeCells>
  <phoneticPr fontId="0" type="noConversion"/>
  <pageMargins left="0.1" right="0.1" top="0.98" bottom="0.16" header="0.34" footer="0.18"/>
  <pageSetup paperSize="9" orientation="landscape" blackAndWhite="1" r:id="rId1"/>
  <headerFooter alignWithMargins="0"/>
</worksheet>
</file>

<file path=xl/worksheets/sheet52.xml><?xml version="1.0" encoding="utf-8"?>
<worksheet xmlns="http://schemas.openxmlformats.org/spreadsheetml/2006/main" xmlns:r="http://schemas.openxmlformats.org/officeDocument/2006/relationships">
  <dimension ref="B1:M34"/>
  <sheetViews>
    <sheetView topLeftCell="A10" workbookViewId="0">
      <selection activeCell="I31" sqref="I31"/>
    </sheetView>
  </sheetViews>
  <sheetFormatPr defaultRowHeight="12.75"/>
  <cols>
    <col min="1" max="1" width="8.42578125" style="405" customWidth="1"/>
    <col min="2" max="2" width="12.7109375" style="405" customWidth="1"/>
    <col min="3" max="3" width="11.140625" style="405" customWidth="1"/>
    <col min="4" max="5" width="9.5703125" style="405" customWidth="1"/>
    <col min="6" max="6" width="8.7109375" style="405" customWidth="1"/>
    <col min="7" max="7" width="10.140625" style="405" customWidth="1"/>
    <col min="8" max="11" width="11.140625" style="405" customWidth="1"/>
    <col min="12" max="12" width="12.42578125" style="405" customWidth="1"/>
    <col min="13" max="16384" width="9.140625" style="405"/>
  </cols>
  <sheetData>
    <row r="1" spans="2:13" ht="12.75" customHeight="1">
      <c r="B1" s="1250" t="s">
        <v>462</v>
      </c>
      <c r="C1" s="1250"/>
      <c r="D1" s="1250"/>
      <c r="E1" s="1250"/>
      <c r="F1" s="1250"/>
      <c r="G1" s="1250"/>
      <c r="H1" s="1250"/>
      <c r="I1" s="1250"/>
      <c r="J1" s="1250"/>
      <c r="K1" s="1250"/>
      <c r="L1" s="1250"/>
    </row>
    <row r="2" spans="2:13" s="412" customFormat="1" ht="15.75" customHeight="1">
      <c r="B2" s="1326" t="str">
        <f>CONCATENATE("Area Irrigated by different sources in the district of ",District!A1)</f>
        <v>Area Irrigated by different sources in the district of Nadia</v>
      </c>
      <c r="C2" s="1326"/>
      <c r="D2" s="1326"/>
      <c r="E2" s="1326"/>
      <c r="F2" s="1326"/>
      <c r="G2" s="1326"/>
      <c r="H2" s="1326"/>
      <c r="I2" s="1326"/>
      <c r="J2" s="1326"/>
      <c r="K2" s="1326"/>
      <c r="L2" s="1326"/>
    </row>
    <row r="3" spans="2:13" ht="12" customHeight="1">
      <c r="B3" s="412"/>
      <c r="C3" s="436"/>
      <c r="D3" s="436"/>
      <c r="E3" s="436"/>
      <c r="F3" s="436"/>
      <c r="G3" s="436"/>
      <c r="H3" s="436"/>
      <c r="I3" s="436"/>
      <c r="J3" s="436"/>
      <c r="K3" s="697"/>
      <c r="L3" s="451" t="s">
        <v>599</v>
      </c>
    </row>
    <row r="4" spans="2:13" ht="15.75" customHeight="1">
      <c r="B4" s="1257" t="s">
        <v>107</v>
      </c>
      <c r="C4" s="1251" t="s">
        <v>674</v>
      </c>
      <c r="D4" s="1251"/>
      <c r="E4" s="1251"/>
      <c r="F4" s="1251"/>
      <c r="G4" s="1251"/>
      <c r="H4" s="1251"/>
      <c r="I4" s="1251"/>
      <c r="J4" s="1251"/>
      <c r="K4" s="1251"/>
      <c r="L4" s="1252"/>
    </row>
    <row r="5" spans="2:13" ht="28.5" customHeight="1">
      <c r="B5" s="1258"/>
      <c r="C5" s="233" t="s">
        <v>358</v>
      </c>
      <c r="D5" s="221" t="s">
        <v>667</v>
      </c>
      <c r="E5" s="221" t="s">
        <v>668</v>
      </c>
      <c r="F5" s="212" t="s">
        <v>669</v>
      </c>
      <c r="G5" s="221" t="s">
        <v>670</v>
      </c>
      <c r="H5" s="212" t="s">
        <v>1013</v>
      </c>
      <c r="I5" s="221" t="s">
        <v>672</v>
      </c>
      <c r="J5" s="212" t="s">
        <v>673</v>
      </c>
      <c r="K5" s="221" t="s">
        <v>320</v>
      </c>
      <c r="L5" s="475" t="s">
        <v>210</v>
      </c>
    </row>
    <row r="6" spans="2:13" ht="18" customHeight="1">
      <c r="B6" s="225" t="s">
        <v>163</v>
      </c>
      <c r="C6" s="225" t="s">
        <v>164</v>
      </c>
      <c r="D6" s="225" t="s">
        <v>165</v>
      </c>
      <c r="E6" s="225" t="s">
        <v>166</v>
      </c>
      <c r="F6" s="226" t="s">
        <v>167</v>
      </c>
      <c r="G6" s="225" t="s">
        <v>168</v>
      </c>
      <c r="H6" s="226" t="s">
        <v>169</v>
      </c>
      <c r="I6" s="225" t="s">
        <v>211</v>
      </c>
      <c r="J6" s="226" t="s">
        <v>212</v>
      </c>
      <c r="K6" s="304" t="s">
        <v>213</v>
      </c>
      <c r="L6" s="481" t="s">
        <v>214</v>
      </c>
    </row>
    <row r="7" spans="2:13" ht="19.5" customHeight="1">
      <c r="B7" s="698" t="s">
        <v>1340</v>
      </c>
      <c r="C7" s="262" t="s">
        <v>643</v>
      </c>
      <c r="D7" s="150" t="s">
        <v>643</v>
      </c>
      <c r="E7" s="151">
        <v>22.03</v>
      </c>
      <c r="F7" s="188">
        <v>0.62</v>
      </c>
      <c r="G7" s="151">
        <v>1.31</v>
      </c>
      <c r="H7" s="188">
        <v>2.87</v>
      </c>
      <c r="I7" s="151">
        <v>11.7</v>
      </c>
      <c r="J7" s="188" t="s">
        <v>643</v>
      </c>
      <c r="K7" s="151">
        <v>0.01</v>
      </c>
      <c r="L7" s="109">
        <f>SUM(C7:K7)</f>
        <v>38.54</v>
      </c>
    </row>
    <row r="8" spans="2:13" ht="19.5" customHeight="1">
      <c r="B8" s="516" t="s">
        <v>1339</v>
      </c>
      <c r="C8" s="109" t="s">
        <v>643</v>
      </c>
      <c r="D8" s="315" t="s">
        <v>643</v>
      </c>
      <c r="E8" s="151">
        <v>22.09</v>
      </c>
      <c r="F8" s="188">
        <v>0.6</v>
      </c>
      <c r="G8" s="151">
        <v>1.3</v>
      </c>
      <c r="H8" s="188">
        <v>2.1800000000000002</v>
      </c>
      <c r="I8" s="151">
        <v>11.7</v>
      </c>
      <c r="J8" s="188" t="s">
        <v>643</v>
      </c>
      <c r="K8" s="151">
        <v>0.01</v>
      </c>
      <c r="L8" s="109">
        <f>SUM(C8:K8)</f>
        <v>37.880000000000003</v>
      </c>
    </row>
    <row r="9" spans="2:13" ht="19.5" customHeight="1">
      <c r="B9" s="516" t="s">
        <v>1200</v>
      </c>
      <c r="C9" s="109" t="s">
        <v>643</v>
      </c>
      <c r="D9" s="315" t="s">
        <v>643</v>
      </c>
      <c r="E9" s="151">
        <v>21.85</v>
      </c>
      <c r="F9" s="188">
        <v>0.6</v>
      </c>
      <c r="G9" s="151">
        <v>1.3</v>
      </c>
      <c r="H9" s="188">
        <v>2.34</v>
      </c>
      <c r="I9" s="151">
        <v>9.4</v>
      </c>
      <c r="J9" s="188" t="s">
        <v>643</v>
      </c>
      <c r="K9" s="151" t="s">
        <v>643</v>
      </c>
      <c r="L9" s="109">
        <f>SUM(C9:K9)</f>
        <v>35.49</v>
      </c>
    </row>
    <row r="10" spans="2:13" ht="19.5" customHeight="1">
      <c r="B10" s="516" t="s">
        <v>1223</v>
      </c>
      <c r="C10" s="109" t="s">
        <v>643</v>
      </c>
      <c r="D10" s="315" t="s">
        <v>643</v>
      </c>
      <c r="E10" s="151">
        <v>11.792</v>
      </c>
      <c r="F10" s="188">
        <v>0.443</v>
      </c>
      <c r="G10" s="151">
        <v>5.8000000000000003E-2</v>
      </c>
      <c r="H10" s="188">
        <v>1.03</v>
      </c>
      <c r="I10" s="151">
        <v>10.677</v>
      </c>
      <c r="J10" s="188" t="s">
        <v>643</v>
      </c>
      <c r="K10" s="151" t="s">
        <v>643</v>
      </c>
      <c r="L10" s="109">
        <f>SUM(C10:K10)</f>
        <v>24</v>
      </c>
      <c r="M10" s="420"/>
    </row>
    <row r="11" spans="2:13" ht="19.5" customHeight="1">
      <c r="B11" s="517" t="s">
        <v>720</v>
      </c>
      <c r="C11" s="217" t="s">
        <v>643</v>
      </c>
      <c r="D11" s="238" t="s">
        <v>643</v>
      </c>
      <c r="E11" s="160">
        <v>14.962</v>
      </c>
      <c r="F11" s="222">
        <v>0.39900000000000002</v>
      </c>
      <c r="G11" s="160">
        <v>4.2999999999999997E-2</v>
      </c>
      <c r="H11" s="160">
        <v>0.75</v>
      </c>
      <c r="I11" s="160">
        <v>10.612</v>
      </c>
      <c r="J11" s="222" t="s">
        <v>643</v>
      </c>
      <c r="K11" s="160" t="s">
        <v>643</v>
      </c>
      <c r="L11" s="217">
        <f>SUM(C11:K11)</f>
        <v>26.765999999999998</v>
      </c>
    </row>
    <row r="12" spans="2:13">
      <c r="B12" s="280" t="s">
        <v>1280</v>
      </c>
      <c r="C12" s="18" t="s">
        <v>680</v>
      </c>
      <c r="D12" s="18"/>
      <c r="E12" s="6"/>
      <c r="F12" s="280" t="s">
        <v>677</v>
      </c>
      <c r="G12" s="18" t="s">
        <v>683</v>
      </c>
      <c r="H12" s="18"/>
      <c r="I12" s="280" t="s">
        <v>1247</v>
      </c>
      <c r="J12" s="1474" t="s">
        <v>816</v>
      </c>
      <c r="K12" s="1474"/>
      <c r="L12" s="1474"/>
    </row>
    <row r="13" spans="2:13">
      <c r="B13" s="280" t="s">
        <v>675</v>
      </c>
      <c r="C13" s="18" t="s">
        <v>681</v>
      </c>
      <c r="D13" s="18"/>
      <c r="E13" s="6"/>
      <c r="F13" s="280" t="s">
        <v>678</v>
      </c>
      <c r="G13" s="18" t="s">
        <v>684</v>
      </c>
      <c r="H13" s="18"/>
      <c r="I13" s="18"/>
      <c r="J13" s="1517"/>
      <c r="K13" s="1517"/>
      <c r="L13" s="1517"/>
    </row>
    <row r="14" spans="2:13">
      <c r="B14" s="280" t="s">
        <v>676</v>
      </c>
      <c r="C14" s="18" t="s">
        <v>682</v>
      </c>
      <c r="D14" s="18"/>
      <c r="E14" s="6"/>
      <c r="F14" s="280" t="s">
        <v>679</v>
      </c>
      <c r="G14" s="18" t="s">
        <v>685</v>
      </c>
      <c r="H14" s="18"/>
      <c r="I14" s="283" t="s">
        <v>1248</v>
      </c>
      <c r="J14" s="1517" t="s">
        <v>821</v>
      </c>
      <c r="K14" s="1518"/>
      <c r="L14" s="1518"/>
    </row>
    <row r="15" spans="2:13">
      <c r="B15" s="267" t="s">
        <v>1448</v>
      </c>
      <c r="C15" s="267"/>
      <c r="G15" s="6"/>
      <c r="H15" s="6"/>
      <c r="J15" s="1518"/>
      <c r="K15" s="1518"/>
      <c r="L15" s="1518"/>
    </row>
    <row r="16" spans="2:13">
      <c r="E16" s="6"/>
      <c r="F16" s="6"/>
      <c r="G16" s="6"/>
      <c r="H16" s="6"/>
    </row>
    <row r="17" spans="2:12">
      <c r="E17" s="6"/>
      <c r="F17" s="6"/>
    </row>
    <row r="18" spans="2:12">
      <c r="B18" s="1435" t="s">
        <v>461</v>
      </c>
      <c r="C18" s="1435"/>
      <c r="D18" s="1435"/>
      <c r="E18" s="1435"/>
      <c r="F18" s="1435"/>
      <c r="G18" s="1435"/>
      <c r="H18" s="1435"/>
      <c r="I18" s="1435"/>
      <c r="J18" s="1435"/>
      <c r="K18" s="1435"/>
      <c r="L18" s="1435"/>
    </row>
    <row r="19" spans="2:12" s="412" customFormat="1" ht="16.5">
      <c r="B19" s="1326" t="str">
        <f>CONCATENATE("Sources of Irrigation in the district of ",District!A1)</f>
        <v>Sources of Irrigation in the district of Nadia</v>
      </c>
      <c r="C19" s="1326"/>
      <c r="D19" s="1326"/>
      <c r="E19" s="1326"/>
      <c r="F19" s="1326"/>
      <c r="G19" s="1326"/>
      <c r="H19" s="1326"/>
      <c r="I19" s="1326"/>
      <c r="J19" s="1326"/>
      <c r="K19" s="1326"/>
      <c r="L19" s="1326"/>
    </row>
    <row r="20" spans="2:12">
      <c r="B20" s="412"/>
      <c r="C20" s="412"/>
      <c r="D20" s="412"/>
      <c r="E20" s="412"/>
      <c r="F20" s="412"/>
      <c r="G20" s="412"/>
      <c r="H20" s="412"/>
      <c r="I20" s="412"/>
      <c r="J20" s="412"/>
      <c r="K20" s="412"/>
      <c r="L20" s="27" t="s">
        <v>223</v>
      </c>
    </row>
    <row r="21" spans="2:12" ht="17.25" customHeight="1">
      <c r="B21" s="1253" t="s">
        <v>107</v>
      </c>
      <c r="C21" s="1252"/>
      <c r="D21" s="1253" t="s">
        <v>667</v>
      </c>
      <c r="E21" s="1252"/>
      <c r="F21" s="221" t="s">
        <v>668</v>
      </c>
      <c r="G21" s="452" t="s">
        <v>669</v>
      </c>
      <c r="H21" s="221" t="s">
        <v>670</v>
      </c>
      <c r="I21" s="452" t="s">
        <v>1013</v>
      </c>
      <c r="J21" s="221" t="s">
        <v>672</v>
      </c>
      <c r="K21" s="452" t="s">
        <v>673</v>
      </c>
      <c r="L21" s="221" t="s">
        <v>320</v>
      </c>
    </row>
    <row r="22" spans="2:12" ht="17.25" customHeight="1">
      <c r="B22" s="1259" t="s">
        <v>163</v>
      </c>
      <c r="C22" s="1260"/>
      <c r="D22" s="1259" t="s">
        <v>164</v>
      </c>
      <c r="E22" s="1260"/>
      <c r="F22" s="225" t="s">
        <v>165</v>
      </c>
      <c r="G22" s="226" t="s">
        <v>166</v>
      </c>
      <c r="H22" s="225" t="s">
        <v>167</v>
      </c>
      <c r="I22" s="226" t="s">
        <v>168</v>
      </c>
      <c r="J22" s="225" t="s">
        <v>169</v>
      </c>
      <c r="K22" s="226" t="s">
        <v>211</v>
      </c>
      <c r="L22" s="225" t="s">
        <v>212</v>
      </c>
    </row>
    <row r="23" spans="2:12" ht="19.5" customHeight="1">
      <c r="B23" s="1268" t="s">
        <v>1340</v>
      </c>
      <c r="C23" s="1266"/>
      <c r="D23" s="1486" t="s">
        <v>643</v>
      </c>
      <c r="E23" s="1519"/>
      <c r="F23" s="204">
        <v>609</v>
      </c>
      <c r="G23" s="204">
        <v>31</v>
      </c>
      <c r="H23" s="204">
        <v>216</v>
      </c>
      <c r="I23" s="204">
        <v>502</v>
      </c>
      <c r="J23" s="204">
        <v>293</v>
      </c>
      <c r="K23" s="204" t="s">
        <v>643</v>
      </c>
      <c r="L23" s="204">
        <v>1</v>
      </c>
    </row>
    <row r="24" spans="2:12" ht="19.5" customHeight="1">
      <c r="B24" s="1351" t="s">
        <v>1339</v>
      </c>
      <c r="C24" s="1398"/>
      <c r="D24" s="1255" t="s">
        <v>643</v>
      </c>
      <c r="E24" s="1256"/>
      <c r="F24" s="81">
        <v>612</v>
      </c>
      <c r="G24" s="81">
        <v>31</v>
      </c>
      <c r="H24" s="81">
        <v>228</v>
      </c>
      <c r="I24" s="81">
        <v>588</v>
      </c>
      <c r="J24" s="81">
        <v>293</v>
      </c>
      <c r="K24" s="81" t="s">
        <v>643</v>
      </c>
      <c r="L24" s="81">
        <v>1</v>
      </c>
    </row>
    <row r="25" spans="2:12" ht="19.5" customHeight="1">
      <c r="B25" s="1351" t="s">
        <v>1200</v>
      </c>
      <c r="C25" s="1398"/>
      <c r="D25" s="1255" t="s">
        <v>643</v>
      </c>
      <c r="E25" s="1256"/>
      <c r="F25" s="81">
        <v>637</v>
      </c>
      <c r="G25" s="81">
        <v>35</v>
      </c>
      <c r="H25" s="81">
        <v>264</v>
      </c>
      <c r="I25" s="81">
        <v>567</v>
      </c>
      <c r="J25" s="81">
        <v>319</v>
      </c>
      <c r="K25" s="81" t="s">
        <v>643</v>
      </c>
      <c r="L25" s="81" t="s">
        <v>643</v>
      </c>
    </row>
    <row r="26" spans="2:12" ht="19.5" customHeight="1">
      <c r="B26" s="1351" t="s">
        <v>1223</v>
      </c>
      <c r="C26" s="1398"/>
      <c r="D26" s="1404" t="s">
        <v>643</v>
      </c>
      <c r="E26" s="1404"/>
      <c r="F26" s="81">
        <v>565</v>
      </c>
      <c r="G26" s="81">
        <v>31</v>
      </c>
      <c r="H26" s="81">
        <v>24</v>
      </c>
      <c r="I26" s="81">
        <v>458</v>
      </c>
      <c r="J26" s="81">
        <v>319</v>
      </c>
      <c r="K26" s="81" t="s">
        <v>643</v>
      </c>
      <c r="L26" s="81" t="s">
        <v>643</v>
      </c>
    </row>
    <row r="27" spans="2:12" ht="19.5" customHeight="1">
      <c r="B27" s="1399" t="s">
        <v>720</v>
      </c>
      <c r="C27" s="1325"/>
      <c r="D27" s="1290" t="s">
        <v>643</v>
      </c>
      <c r="E27" s="1290"/>
      <c r="F27" s="129">
        <v>580</v>
      </c>
      <c r="G27" s="129">
        <v>34</v>
      </c>
      <c r="H27" s="129">
        <v>24</v>
      </c>
      <c r="I27" s="129">
        <v>458</v>
      </c>
      <c r="J27" s="129">
        <v>311</v>
      </c>
      <c r="K27" s="129" t="s">
        <v>643</v>
      </c>
      <c r="L27" s="129" t="s">
        <v>643</v>
      </c>
    </row>
    <row r="28" spans="2:12">
      <c r="B28" s="280" t="s">
        <v>1280</v>
      </c>
      <c r="C28" s="18" t="s">
        <v>680</v>
      </c>
      <c r="D28" s="18"/>
      <c r="E28" s="18"/>
      <c r="F28" s="280" t="s">
        <v>677</v>
      </c>
      <c r="G28" s="18" t="s">
        <v>683</v>
      </c>
      <c r="H28" s="18"/>
      <c r="I28" s="280" t="s">
        <v>600</v>
      </c>
      <c r="J28" s="18" t="s">
        <v>1245</v>
      </c>
      <c r="K28" s="18"/>
      <c r="L28" s="18"/>
    </row>
    <row r="29" spans="2:12">
      <c r="B29" s="280" t="s">
        <v>675</v>
      </c>
      <c r="C29" s="18" t="s">
        <v>681</v>
      </c>
      <c r="D29" s="18"/>
      <c r="E29" s="18"/>
      <c r="F29" s="280" t="s">
        <v>678</v>
      </c>
      <c r="G29" s="18" t="s">
        <v>684</v>
      </c>
      <c r="H29" s="18"/>
      <c r="I29" s="18"/>
      <c r="J29" s="18" t="s">
        <v>1250</v>
      </c>
      <c r="K29" s="18"/>
      <c r="L29" s="18"/>
    </row>
    <row r="30" spans="2:12">
      <c r="B30" s="280" t="s">
        <v>676</v>
      </c>
      <c r="C30" s="18" t="s">
        <v>682</v>
      </c>
      <c r="D30" s="18"/>
      <c r="E30" s="18"/>
      <c r="F30" s="280" t="s">
        <v>679</v>
      </c>
      <c r="G30" s="18" t="s">
        <v>685</v>
      </c>
      <c r="H30" s="18"/>
      <c r="I30" s="18"/>
      <c r="J30" s="18" t="s">
        <v>1438</v>
      </c>
      <c r="K30" s="18"/>
      <c r="L30" s="18"/>
    </row>
    <row r="31" spans="2:12">
      <c r="B31" s="18" t="s">
        <v>1448</v>
      </c>
      <c r="C31" s="18"/>
      <c r="D31" s="18"/>
      <c r="E31" s="18"/>
      <c r="F31" s="18"/>
      <c r="G31" s="18"/>
      <c r="H31" s="18"/>
      <c r="I31" s="18"/>
      <c r="J31" s="18" t="s">
        <v>1390</v>
      </c>
      <c r="K31" s="18"/>
      <c r="L31" s="18"/>
    </row>
    <row r="32" spans="2:12">
      <c r="E32" s="6"/>
      <c r="F32" s="6"/>
      <c r="H32" s="6"/>
      <c r="I32" s="6"/>
      <c r="J32" s="6"/>
    </row>
    <row r="33" spans="5:6">
      <c r="E33" s="6"/>
      <c r="F33" s="6"/>
    </row>
    <row r="34" spans="5:6">
      <c r="E34" s="6"/>
      <c r="F34" s="6"/>
    </row>
  </sheetData>
  <mergeCells count="22">
    <mergeCell ref="D27:E27"/>
    <mergeCell ref="B27:C27"/>
    <mergeCell ref="D21:E21"/>
    <mergeCell ref="B25:C25"/>
    <mergeCell ref="D22:E22"/>
    <mergeCell ref="B21:C21"/>
    <mergeCell ref="B23:C23"/>
    <mergeCell ref="D23:E23"/>
    <mergeCell ref="B24:C24"/>
    <mergeCell ref="B26:C26"/>
    <mergeCell ref="B22:C22"/>
    <mergeCell ref="D26:E26"/>
    <mergeCell ref="J12:L13"/>
    <mergeCell ref="J14:L15"/>
    <mergeCell ref="D24:E24"/>
    <mergeCell ref="D25:E25"/>
    <mergeCell ref="B1:L1"/>
    <mergeCell ref="B2:L2"/>
    <mergeCell ref="B19:L19"/>
    <mergeCell ref="B4:B5"/>
    <mergeCell ref="C4:L4"/>
    <mergeCell ref="B18:L18"/>
  </mergeCells>
  <phoneticPr fontId="0" type="noConversion"/>
  <conditionalFormatting sqref="J11:J12 K11:L11 M1:IV1048576 J14 A1:A1048576 B1:L10 J16:L22 B11:I22 B27:L65536 B23:B26 D23:D26 C26 F23:L26 E26">
    <cfRule type="cellIs" dxfId="9" priority="1" stopIfTrue="1" operator="equal">
      <formula>".."</formula>
    </cfRule>
  </conditionalFormatting>
  <pageMargins left="0.13" right="0.25" top="0.45" bottom="0.16" header="0.31" footer="0.16"/>
  <pageSetup paperSize="9" orientation="landscape" blackAndWhite="1" r:id="rId1"/>
  <headerFooter alignWithMargins="0"/>
</worksheet>
</file>

<file path=xl/worksheets/sheet53.xml><?xml version="1.0" encoding="utf-8"?>
<worksheet xmlns="http://schemas.openxmlformats.org/spreadsheetml/2006/main" xmlns:r="http://schemas.openxmlformats.org/officeDocument/2006/relationships">
  <dimension ref="A1:O39"/>
  <sheetViews>
    <sheetView topLeftCell="A19" workbookViewId="0">
      <selection activeCell="C36" sqref="C36"/>
    </sheetView>
  </sheetViews>
  <sheetFormatPr defaultRowHeight="12.75"/>
  <cols>
    <col min="1" max="1" width="15.42578125" style="405" customWidth="1"/>
    <col min="2" max="2" width="12.5703125" style="405" customWidth="1"/>
    <col min="3" max="4" width="13.5703125" style="405" customWidth="1"/>
    <col min="5" max="5" width="13.42578125" style="405" customWidth="1"/>
    <col min="6" max="6" width="13.85546875" style="405" customWidth="1"/>
    <col min="7" max="16384" width="9.140625" style="405"/>
  </cols>
  <sheetData>
    <row r="1" spans="1:8">
      <c r="A1" s="1435" t="s">
        <v>464</v>
      </c>
      <c r="B1" s="1435"/>
      <c r="C1" s="1435"/>
      <c r="D1" s="1435"/>
      <c r="E1" s="1435"/>
      <c r="F1" s="1435"/>
    </row>
    <row r="2" spans="1:8" ht="16.5" customHeight="1">
      <c r="A2" s="1326" t="str">
        <f>CONCATENATE("Fertiliser Consumed in the district of ",District!A1)</f>
        <v>Fertiliser Consumed in the district of Nadia</v>
      </c>
      <c r="B2" s="1326"/>
      <c r="C2" s="1326"/>
      <c r="D2" s="1326"/>
      <c r="E2" s="1326"/>
      <c r="F2" s="1326"/>
      <c r="G2" s="21"/>
      <c r="H2" s="21"/>
    </row>
    <row r="3" spans="1:8" ht="12.75" customHeight="1">
      <c r="B3" s="471"/>
      <c r="C3" s="471"/>
      <c r="E3" s="429"/>
      <c r="F3" s="429" t="s">
        <v>603</v>
      </c>
      <c r="H3" s="450"/>
    </row>
    <row r="4" spans="1:8" ht="18" customHeight="1">
      <c r="A4" s="1268" t="s">
        <v>107</v>
      </c>
      <c r="B4" s="1266"/>
      <c r="C4" s="394" t="s">
        <v>57</v>
      </c>
      <c r="D4" s="394" t="s">
        <v>58</v>
      </c>
      <c r="E4" s="394" t="s">
        <v>59</v>
      </c>
      <c r="F4" s="221" t="s">
        <v>210</v>
      </c>
      <c r="G4" s="450"/>
      <c r="H4" s="450"/>
    </row>
    <row r="5" spans="1:8" ht="18" customHeight="1">
      <c r="A5" s="1259" t="s">
        <v>163</v>
      </c>
      <c r="B5" s="1260"/>
      <c r="C5" s="299" t="s">
        <v>164</v>
      </c>
      <c r="D5" s="299" t="s">
        <v>165</v>
      </c>
      <c r="E5" s="299" t="s">
        <v>166</v>
      </c>
      <c r="F5" s="225" t="s">
        <v>167</v>
      </c>
      <c r="G5" s="699"/>
      <c r="H5" s="699"/>
    </row>
    <row r="6" spans="1:8" ht="22.5" customHeight="1">
      <c r="A6" s="1268" t="str">
        <f>District!D13</f>
        <v>2009-10</v>
      </c>
      <c r="B6" s="1266"/>
      <c r="C6" s="256">
        <v>52.9</v>
      </c>
      <c r="D6" s="256">
        <v>26</v>
      </c>
      <c r="E6" s="256">
        <v>26.3</v>
      </c>
      <c r="F6" s="256">
        <f>SUM(C6:E6)</f>
        <v>105.2</v>
      </c>
    </row>
    <row r="7" spans="1:8" ht="22.5" customHeight="1">
      <c r="A7" s="1351" t="str">
        <f>District!D14</f>
        <v>2010-11</v>
      </c>
      <c r="B7" s="1398"/>
      <c r="C7" s="257">
        <v>48.8</v>
      </c>
      <c r="D7" s="257">
        <v>30</v>
      </c>
      <c r="E7" s="257">
        <v>22.1</v>
      </c>
      <c r="F7" s="257">
        <f>SUM(C7:E7)</f>
        <v>100.9</v>
      </c>
    </row>
    <row r="8" spans="1:8" ht="22.5" customHeight="1">
      <c r="A8" s="1351" t="str">
        <f>District!D15</f>
        <v>2011-12</v>
      </c>
      <c r="B8" s="1398"/>
      <c r="C8" s="257">
        <v>59.8</v>
      </c>
      <c r="D8" s="257">
        <v>31.9</v>
      </c>
      <c r="E8" s="257">
        <v>20</v>
      </c>
      <c r="F8" s="257">
        <f>SUM(C8:E8)</f>
        <v>111.69999999999999</v>
      </c>
    </row>
    <row r="9" spans="1:8" ht="22.5" customHeight="1">
      <c r="A9" s="1351" t="str">
        <f>District!D16</f>
        <v>2012-13</v>
      </c>
      <c r="B9" s="1404"/>
      <c r="C9" s="257">
        <v>63.8</v>
      </c>
      <c r="D9" s="257">
        <v>25.3</v>
      </c>
      <c r="E9" s="257">
        <v>17.899999999999999</v>
      </c>
      <c r="F9" s="257">
        <f>SUM(C9:E9)</f>
        <v>107</v>
      </c>
    </row>
    <row r="10" spans="1:8" ht="22.5" customHeight="1">
      <c r="A10" s="1399" t="str">
        <f>District!D17</f>
        <v>2013-14</v>
      </c>
      <c r="B10" s="1290"/>
      <c r="C10" s="258">
        <v>80</v>
      </c>
      <c r="D10" s="258">
        <v>30</v>
      </c>
      <c r="E10" s="258">
        <v>20</v>
      </c>
      <c r="F10" s="258">
        <f>SUM(C10:E10)</f>
        <v>130</v>
      </c>
      <c r="G10" s="450"/>
      <c r="H10" s="450"/>
    </row>
    <row r="11" spans="1:8">
      <c r="A11" s="18"/>
      <c r="C11" s="27"/>
      <c r="E11" s="700"/>
      <c r="F11" s="527" t="s">
        <v>1457</v>
      </c>
    </row>
    <row r="12" spans="1:8">
      <c r="D12" s="701"/>
      <c r="E12" s="701"/>
    </row>
    <row r="13" spans="1:8">
      <c r="F13" s="18"/>
    </row>
    <row r="14" spans="1:8" ht="15">
      <c r="A14" s="1250" t="s">
        <v>465</v>
      </c>
      <c r="B14" s="1250"/>
      <c r="C14" s="1250"/>
      <c r="D14" s="1250"/>
      <c r="E14" s="1250"/>
      <c r="F14" s="1250"/>
      <c r="G14" s="211"/>
    </row>
    <row r="15" spans="1:8" s="412" customFormat="1" ht="33.75" customHeight="1">
      <c r="A15" s="1269" t="str">
        <f>CONCATENATE("Warehousing and Cold Storage Facilities available to Cultivators 
in the district of ",District!A1)</f>
        <v>Warehousing and Cold Storage Facilities available to Cultivators 
in the district of Nadia</v>
      </c>
      <c r="B15" s="1269"/>
      <c r="C15" s="1269"/>
      <c r="D15" s="1269"/>
      <c r="E15" s="1269"/>
      <c r="F15" s="1269"/>
    </row>
    <row r="16" spans="1:8" ht="18" customHeight="1">
      <c r="A16" s="1257" t="s">
        <v>107</v>
      </c>
      <c r="B16" s="1251" t="s">
        <v>1411</v>
      </c>
      <c r="C16" s="1251"/>
      <c r="D16" s="1253" t="s">
        <v>1412</v>
      </c>
      <c r="E16" s="1252"/>
      <c r="F16" s="1262" t="s">
        <v>687</v>
      </c>
    </row>
    <row r="17" spans="1:15" s="412" customFormat="1" ht="24" customHeight="1">
      <c r="A17" s="1258"/>
      <c r="B17" s="452" t="s">
        <v>225</v>
      </c>
      <c r="C17" s="452" t="s">
        <v>686</v>
      </c>
      <c r="D17" s="394" t="s">
        <v>225</v>
      </c>
      <c r="E17" s="393" t="s">
        <v>686</v>
      </c>
      <c r="F17" s="1263"/>
      <c r="G17" s="405"/>
      <c r="H17" s="405"/>
      <c r="I17" s="405"/>
      <c r="J17" s="434"/>
      <c r="K17" s="434"/>
      <c r="L17" s="434"/>
      <c r="M17" s="434"/>
      <c r="N17" s="434"/>
      <c r="O17" s="434"/>
    </row>
    <row r="18" spans="1:15" ht="18" customHeight="1">
      <c r="A18" s="225" t="s">
        <v>163</v>
      </c>
      <c r="B18" s="299" t="s">
        <v>164</v>
      </c>
      <c r="C18" s="224" t="s">
        <v>165</v>
      </c>
      <c r="D18" s="299" t="s">
        <v>166</v>
      </c>
      <c r="E18" s="224" t="s">
        <v>167</v>
      </c>
      <c r="F18" s="304" t="s">
        <v>168</v>
      </c>
    </row>
    <row r="19" spans="1:15" ht="22.5" customHeight="1">
      <c r="A19" s="204" t="str">
        <f>District!D13</f>
        <v>2009-10</v>
      </c>
      <c r="B19" s="108">
        <v>17</v>
      </c>
      <c r="C19" s="46">
        <v>14230</v>
      </c>
      <c r="D19" s="108">
        <v>4</v>
      </c>
      <c r="E19" s="46">
        <v>17161</v>
      </c>
      <c r="F19" s="81">
        <v>5175</v>
      </c>
    </row>
    <row r="20" spans="1:15" ht="22.5" customHeight="1">
      <c r="A20" s="81" t="str">
        <f>District!D14</f>
        <v>2010-11</v>
      </c>
      <c r="B20" s="108">
        <v>17</v>
      </c>
      <c r="C20" s="46">
        <v>14230</v>
      </c>
      <c r="D20" s="108">
        <v>5</v>
      </c>
      <c r="E20" s="191">
        <v>20061</v>
      </c>
      <c r="F20" s="81">
        <v>5460</v>
      </c>
    </row>
    <row r="21" spans="1:15" ht="22.5" customHeight="1">
      <c r="A21" s="81" t="str">
        <f>District!D15</f>
        <v>2011-12</v>
      </c>
      <c r="B21" s="108">
        <v>17</v>
      </c>
      <c r="C21" s="46">
        <v>14230</v>
      </c>
      <c r="D21" s="108">
        <v>7</v>
      </c>
      <c r="E21" s="191">
        <v>31061</v>
      </c>
      <c r="F21" s="81">
        <v>7000</v>
      </c>
    </row>
    <row r="22" spans="1:15" ht="22.5" customHeight="1">
      <c r="A22" s="81" t="str">
        <f>District!D16</f>
        <v>2012-13</v>
      </c>
      <c r="B22" s="108">
        <v>21</v>
      </c>
      <c r="C22" s="46">
        <v>16180</v>
      </c>
      <c r="D22" s="108">
        <v>7</v>
      </c>
      <c r="E22" s="191">
        <v>31060</v>
      </c>
      <c r="F22" s="81">
        <v>9000</v>
      </c>
      <c r="G22" s="503"/>
      <c r="H22" s="503"/>
      <c r="I22" s="464"/>
      <c r="J22" s="464"/>
      <c r="K22" s="464"/>
    </row>
    <row r="23" spans="1:15" ht="22.5" customHeight="1">
      <c r="A23" s="129" t="str">
        <f>District!D17</f>
        <v>2013-14</v>
      </c>
      <c r="B23" s="127">
        <v>21</v>
      </c>
      <c r="C23" s="94">
        <v>16180</v>
      </c>
      <c r="D23" s="127">
        <v>7</v>
      </c>
      <c r="E23" s="264">
        <v>40768</v>
      </c>
      <c r="F23" s="129">
        <v>10000</v>
      </c>
    </row>
    <row r="24" spans="1:15">
      <c r="A24" s="574"/>
      <c r="B24" s="574"/>
      <c r="C24" s="574"/>
      <c r="D24" s="295"/>
      <c r="E24" s="298"/>
      <c r="F24" s="295" t="s">
        <v>60</v>
      </c>
    </row>
    <row r="25" spans="1:15">
      <c r="A25" s="183"/>
      <c r="E25" s="392"/>
    </row>
    <row r="26" spans="1:15">
      <c r="C26" s="574"/>
      <c r="D26" s="295"/>
      <c r="E26" s="295"/>
    </row>
    <row r="27" spans="1:15">
      <c r="A27" s="1250" t="s">
        <v>463</v>
      </c>
      <c r="B27" s="1250"/>
      <c r="C27" s="1250"/>
      <c r="D27" s="1250"/>
      <c r="E27" s="1250"/>
      <c r="F27" s="1250"/>
    </row>
    <row r="28" spans="1:15" s="412" customFormat="1" ht="34.5" customHeight="1">
      <c r="A28" s="1269" t="str">
        <f>CONCATENATE("Estimated Production of Milk (Cow, Buffalo &amp; Goat) and 
Egg (Hen &amp; Duck) in the district of ",District!A1, " and West Bengal")</f>
        <v>Estimated Production of Milk (Cow, Buffalo &amp; Goat) and 
Egg (Hen &amp; Duck) in the district of Nadia and West Bengal</v>
      </c>
      <c r="B28" s="1269"/>
      <c r="C28" s="1269"/>
      <c r="D28" s="1269"/>
      <c r="E28" s="1269"/>
      <c r="F28" s="1269"/>
    </row>
    <row r="29" spans="1:15" ht="18" customHeight="1">
      <c r="A29" s="1268" t="s">
        <v>107</v>
      </c>
      <c r="B29" s="1266"/>
      <c r="C29" s="1251" t="s">
        <v>1044</v>
      </c>
      <c r="D29" s="1252"/>
      <c r="E29" s="1253" t="s">
        <v>1045</v>
      </c>
      <c r="F29" s="1252"/>
    </row>
    <row r="30" spans="1:15" ht="18" customHeight="1">
      <c r="A30" s="1399"/>
      <c r="B30" s="1325"/>
      <c r="C30" s="452" t="s">
        <v>619</v>
      </c>
      <c r="D30" s="221" t="s">
        <v>620</v>
      </c>
      <c r="E30" s="394" t="s">
        <v>619</v>
      </c>
      <c r="F30" s="221" t="s">
        <v>620</v>
      </c>
    </row>
    <row r="31" spans="1:15" ht="18" customHeight="1">
      <c r="A31" s="1259" t="s">
        <v>163</v>
      </c>
      <c r="B31" s="1260"/>
      <c r="C31" s="226" t="s">
        <v>164</v>
      </c>
      <c r="D31" s="225" t="s">
        <v>165</v>
      </c>
      <c r="E31" s="299" t="s">
        <v>166</v>
      </c>
      <c r="F31" s="225" t="s">
        <v>167</v>
      </c>
      <c r="G31" s="450"/>
    </row>
    <row r="32" spans="1:15" ht="22.5" customHeight="1">
      <c r="A32" s="1268" t="str">
        <f>District!D13</f>
        <v>2009-10</v>
      </c>
      <c r="B32" s="1266"/>
      <c r="C32" s="311">
        <v>329</v>
      </c>
      <c r="D32" s="702">
        <v>4300</v>
      </c>
      <c r="E32" s="465">
        <v>236928</v>
      </c>
      <c r="F32" s="465">
        <v>3697839</v>
      </c>
      <c r="G32" s="450"/>
    </row>
    <row r="33" spans="1:7" ht="22.5" customHeight="1">
      <c r="A33" s="1351" t="str">
        <f>District!D14</f>
        <v>2010-11</v>
      </c>
      <c r="B33" s="1398"/>
      <c r="C33" s="174">
        <v>370</v>
      </c>
      <c r="D33" s="703">
        <v>4472</v>
      </c>
      <c r="E33" s="463">
        <v>256393</v>
      </c>
      <c r="F33" s="463">
        <v>4000869</v>
      </c>
      <c r="G33" s="450"/>
    </row>
    <row r="34" spans="1:7" ht="22.5" customHeight="1">
      <c r="A34" s="1351" t="str">
        <f>District!D15</f>
        <v>2011-12</v>
      </c>
      <c r="B34" s="1398"/>
      <c r="C34" s="174">
        <v>417</v>
      </c>
      <c r="D34" s="703">
        <v>4660</v>
      </c>
      <c r="E34" s="463">
        <v>278669</v>
      </c>
      <c r="F34" s="463">
        <v>4337272</v>
      </c>
      <c r="G34" s="450"/>
    </row>
    <row r="35" spans="1:7" ht="22.5" customHeight="1">
      <c r="A35" s="1351" t="str">
        <f>District!D16</f>
        <v>2012-13</v>
      </c>
      <c r="B35" s="1404"/>
      <c r="C35" s="174">
        <v>469</v>
      </c>
      <c r="D35" s="703">
        <v>4860</v>
      </c>
      <c r="E35" s="463">
        <v>304684</v>
      </c>
      <c r="F35" s="463">
        <v>4707268</v>
      </c>
      <c r="G35" s="450"/>
    </row>
    <row r="36" spans="1:7" ht="22.5" customHeight="1">
      <c r="A36" s="1399" t="str">
        <f>District!D17</f>
        <v>2013-14</v>
      </c>
      <c r="B36" s="1290"/>
      <c r="C36" s="175">
        <v>511</v>
      </c>
      <c r="D36" s="704">
        <v>4906</v>
      </c>
      <c r="E36" s="468">
        <v>308104</v>
      </c>
      <c r="F36" s="468">
        <v>4746013</v>
      </c>
      <c r="G36" s="450"/>
    </row>
    <row r="37" spans="1:7">
      <c r="A37" s="18"/>
      <c r="B37" s="705"/>
      <c r="C37" s="705"/>
      <c r="D37" s="705"/>
      <c r="E37" s="705"/>
      <c r="F37" s="280" t="s">
        <v>1391</v>
      </c>
    </row>
    <row r="39" spans="1:7">
      <c r="B39" s="27"/>
      <c r="C39" s="27"/>
      <c r="D39" s="27"/>
      <c r="E39" s="27"/>
    </row>
  </sheetData>
  <mergeCells count="26">
    <mergeCell ref="A9:B9"/>
    <mergeCell ref="A10:B10"/>
    <mergeCell ref="A36:B36"/>
    <mergeCell ref="C29:D29"/>
    <mergeCell ref="A29:B30"/>
    <mergeCell ref="A35:B35"/>
    <mergeCell ref="A31:B31"/>
    <mergeCell ref="A32:B32"/>
    <mergeCell ref="A34:B34"/>
    <mergeCell ref="A33:B33"/>
    <mergeCell ref="A1:F1"/>
    <mergeCell ref="A14:F14"/>
    <mergeCell ref="A27:F27"/>
    <mergeCell ref="E29:F29"/>
    <mergeCell ref="A28:F28"/>
    <mergeCell ref="A2:F2"/>
    <mergeCell ref="A15:F15"/>
    <mergeCell ref="A16:A17"/>
    <mergeCell ref="B16:C16"/>
    <mergeCell ref="F16:F17"/>
    <mergeCell ref="A4:B4"/>
    <mergeCell ref="A5:B5"/>
    <mergeCell ref="A6:B6"/>
    <mergeCell ref="A7:B7"/>
    <mergeCell ref="D16:E16"/>
    <mergeCell ref="A8:B8"/>
  </mergeCells>
  <phoneticPr fontId="0" type="noConversion"/>
  <printOptions horizontalCentered="1"/>
  <pageMargins left="0.1" right="0.1" top="0.8" bottom="0.1" header="0.37" footer="0.1"/>
  <pageSetup paperSize="9" orientation="portrait" blackAndWhite="1" r:id="rId1"/>
  <headerFooter alignWithMargins="0"/>
</worksheet>
</file>

<file path=xl/worksheets/sheet54.xml><?xml version="1.0" encoding="utf-8"?>
<worksheet xmlns="http://schemas.openxmlformats.org/spreadsheetml/2006/main" xmlns:r="http://schemas.openxmlformats.org/officeDocument/2006/relationships">
  <dimension ref="A1:J42"/>
  <sheetViews>
    <sheetView topLeftCell="A19" workbookViewId="0">
      <selection activeCell="K31" sqref="K31"/>
    </sheetView>
  </sheetViews>
  <sheetFormatPr defaultRowHeight="12.75"/>
  <cols>
    <col min="1" max="1" width="3.42578125" style="405" customWidth="1"/>
    <col min="2" max="2" width="19.42578125" style="405" customWidth="1"/>
    <col min="3" max="7" width="12.7109375" style="405" customWidth="1"/>
    <col min="8" max="16384" width="9.140625" style="405"/>
  </cols>
  <sheetData>
    <row r="1" spans="1:10">
      <c r="A1" s="1435" t="s">
        <v>466</v>
      </c>
      <c r="B1" s="1435"/>
      <c r="C1" s="1435"/>
      <c r="D1" s="1435"/>
      <c r="E1" s="1435"/>
      <c r="F1" s="1435"/>
      <c r="G1" s="1435"/>
    </row>
    <row r="2" spans="1:10" ht="16.5" customHeight="1">
      <c r="A2" s="1264" t="str">
        <f>CONCATENATE("Live-stock and Poultry in the district of ",District!A1)</f>
        <v>Live-stock and Poultry in the district of Nadia</v>
      </c>
      <c r="B2" s="1264"/>
      <c r="C2" s="1264"/>
      <c r="D2" s="1264"/>
      <c r="E2" s="1264"/>
      <c r="F2" s="1264"/>
      <c r="G2" s="1264"/>
      <c r="H2" s="19"/>
      <c r="I2" s="19"/>
      <c r="J2" s="19"/>
    </row>
    <row r="3" spans="1:10" ht="13.5" customHeight="1">
      <c r="F3" s="619"/>
      <c r="G3" s="27" t="s">
        <v>223</v>
      </c>
    </row>
    <row r="4" spans="1:10" ht="18" customHeight="1">
      <c r="A4" s="1253" t="s">
        <v>303</v>
      </c>
      <c r="B4" s="1252"/>
      <c r="C4" s="1102">
        <v>1994</v>
      </c>
      <c r="D4" s="1102">
        <v>1997</v>
      </c>
      <c r="E4" s="1102">
        <v>2003</v>
      </c>
      <c r="F4" s="1106">
        <v>2007</v>
      </c>
      <c r="G4" s="393">
        <v>2012</v>
      </c>
    </row>
    <row r="5" spans="1:10" ht="18" customHeight="1">
      <c r="A5" s="1259" t="s">
        <v>163</v>
      </c>
      <c r="B5" s="1252"/>
      <c r="C5" s="655" t="s">
        <v>164</v>
      </c>
      <c r="D5" s="655" t="s">
        <v>165</v>
      </c>
      <c r="E5" s="655" t="s">
        <v>166</v>
      </c>
      <c r="F5" s="226" t="s">
        <v>167</v>
      </c>
      <c r="G5" s="224" t="s">
        <v>168</v>
      </c>
    </row>
    <row r="6" spans="1:10" ht="27" customHeight="1">
      <c r="A6" s="204">
        <v>1</v>
      </c>
      <c r="B6" s="706" t="s">
        <v>688</v>
      </c>
      <c r="C6" s="410"/>
      <c r="D6" s="410"/>
      <c r="E6" s="410"/>
      <c r="F6" s="448"/>
      <c r="G6" s="493"/>
    </row>
    <row r="7" spans="1:10" ht="27" customHeight="1">
      <c r="A7" s="176"/>
      <c r="B7" s="627" t="s">
        <v>696</v>
      </c>
      <c r="C7" s="503">
        <v>403496</v>
      </c>
      <c r="D7" s="503">
        <v>414533</v>
      </c>
      <c r="E7" s="1104">
        <v>321164</v>
      </c>
      <c r="F7" s="1104">
        <v>346923</v>
      </c>
      <c r="G7" s="421">
        <v>312081</v>
      </c>
    </row>
    <row r="8" spans="1:10" ht="27" customHeight="1">
      <c r="A8" s="176"/>
      <c r="B8" s="627" t="s">
        <v>1413</v>
      </c>
      <c r="C8" s="503">
        <v>282820</v>
      </c>
      <c r="D8" s="503">
        <v>291178</v>
      </c>
      <c r="E8" s="1104">
        <v>101392</v>
      </c>
      <c r="F8" s="1104">
        <v>117645</v>
      </c>
      <c r="G8" s="421">
        <v>69496</v>
      </c>
    </row>
    <row r="9" spans="1:10" ht="27" customHeight="1">
      <c r="A9" s="176"/>
      <c r="B9" s="627" t="s">
        <v>697</v>
      </c>
      <c r="C9" s="503">
        <v>289415</v>
      </c>
      <c r="D9" s="503">
        <v>297386</v>
      </c>
      <c r="E9" s="1104">
        <v>388723</v>
      </c>
      <c r="F9" s="1104">
        <v>406450</v>
      </c>
      <c r="G9" s="421">
        <v>367416</v>
      </c>
    </row>
    <row r="10" spans="1:10" ht="27" customHeight="1">
      <c r="A10" s="176"/>
      <c r="B10" s="141" t="s">
        <v>1414</v>
      </c>
      <c r="C10" s="1107">
        <f>SUM(C7:C9)</f>
        <v>975731</v>
      </c>
      <c r="D10" s="1107">
        <f>SUM(D7:D9)</f>
        <v>1003097</v>
      </c>
      <c r="E10" s="1103">
        <f>SUM(E7:E9)</f>
        <v>811279</v>
      </c>
      <c r="F10" s="1103">
        <f>SUM(F7:F9)</f>
        <v>871018</v>
      </c>
      <c r="G10" s="44">
        <f>SUM(G7:G9)</f>
        <v>748993</v>
      </c>
    </row>
    <row r="11" spans="1:10" ht="27" customHeight="1">
      <c r="A11" s="176">
        <v>2</v>
      </c>
      <c r="B11" s="141" t="s">
        <v>698</v>
      </c>
      <c r="C11" s="503"/>
      <c r="D11" s="503"/>
      <c r="E11" s="1104"/>
      <c r="F11" s="1104"/>
      <c r="G11" s="421"/>
    </row>
    <row r="12" spans="1:10" ht="27" customHeight="1">
      <c r="A12" s="176"/>
      <c r="B12" s="627" t="s">
        <v>696</v>
      </c>
      <c r="C12" s="503">
        <v>19483</v>
      </c>
      <c r="D12" s="503">
        <v>19729</v>
      </c>
      <c r="E12" s="1104">
        <v>4647</v>
      </c>
      <c r="F12" s="1104">
        <v>11011</v>
      </c>
      <c r="G12" s="421">
        <v>3416</v>
      </c>
    </row>
    <row r="13" spans="1:10" ht="27" customHeight="1">
      <c r="A13" s="176"/>
      <c r="B13" s="627" t="s">
        <v>1413</v>
      </c>
      <c r="C13" s="503">
        <v>32112</v>
      </c>
      <c r="D13" s="503">
        <v>32518</v>
      </c>
      <c r="E13" s="1104">
        <v>19619</v>
      </c>
      <c r="F13" s="1104">
        <v>13064</v>
      </c>
      <c r="G13" s="421">
        <v>10848</v>
      </c>
    </row>
    <row r="14" spans="1:10" ht="27" customHeight="1">
      <c r="A14" s="176"/>
      <c r="B14" s="627" t="s">
        <v>697</v>
      </c>
      <c r="C14" s="503">
        <v>16776</v>
      </c>
      <c r="D14" s="503">
        <v>16988</v>
      </c>
      <c r="E14" s="1104">
        <v>5373</v>
      </c>
      <c r="F14" s="1103" t="s">
        <v>1170</v>
      </c>
      <c r="G14" s="1218">
        <v>3489</v>
      </c>
    </row>
    <row r="15" spans="1:10" ht="27" customHeight="1">
      <c r="A15" s="81"/>
      <c r="B15" s="141" t="s">
        <v>1415</v>
      </c>
      <c r="C15" s="1107">
        <f>SUM(C12:C14)</f>
        <v>68371</v>
      </c>
      <c r="D15" s="1107">
        <f>SUM(D12:D14)</f>
        <v>69235</v>
      </c>
      <c r="E15" s="1103">
        <f>SUM(E12:E14)</f>
        <v>29639</v>
      </c>
      <c r="F15" s="1103">
        <f>SUM(F12:F14)</f>
        <v>24075</v>
      </c>
      <c r="G15" s="44">
        <f>SUM(G12:G14)</f>
        <v>17753</v>
      </c>
    </row>
    <row r="16" spans="1:10" ht="27" customHeight="1">
      <c r="A16" s="176">
        <v>3</v>
      </c>
      <c r="B16" s="627" t="s">
        <v>1416</v>
      </c>
      <c r="C16" s="503">
        <v>68816</v>
      </c>
      <c r="D16" s="503">
        <v>68850</v>
      </c>
      <c r="E16" s="1104">
        <v>12696</v>
      </c>
      <c r="F16" s="1104">
        <v>11718</v>
      </c>
      <c r="G16" s="421">
        <v>11189</v>
      </c>
    </row>
    <row r="17" spans="1:9" ht="27" customHeight="1">
      <c r="A17" s="176">
        <v>4</v>
      </c>
      <c r="B17" s="627" t="s">
        <v>699</v>
      </c>
      <c r="C17" s="503">
        <v>1136016</v>
      </c>
      <c r="D17" s="503">
        <v>1259255</v>
      </c>
      <c r="E17" s="1104">
        <v>652412</v>
      </c>
      <c r="F17" s="1104">
        <v>968707</v>
      </c>
      <c r="G17" s="421">
        <v>684511</v>
      </c>
      <c r="I17" s="1112"/>
    </row>
    <row r="18" spans="1:9" ht="27" customHeight="1">
      <c r="A18" s="176">
        <v>5</v>
      </c>
      <c r="B18" s="627" t="s">
        <v>1046</v>
      </c>
      <c r="C18" s="503">
        <v>3216</v>
      </c>
      <c r="D18" s="503">
        <v>3240</v>
      </c>
      <c r="E18" s="1104">
        <v>4087</v>
      </c>
      <c r="F18" s="1104">
        <v>2138</v>
      </c>
      <c r="G18" s="421">
        <v>1382</v>
      </c>
      <c r="I18" s="1112"/>
    </row>
    <row r="19" spans="1:9" ht="27" customHeight="1">
      <c r="A19" s="81">
        <v>6</v>
      </c>
      <c r="B19" s="627" t="s">
        <v>700</v>
      </c>
      <c r="C19" s="503">
        <v>72482</v>
      </c>
      <c r="D19" s="503">
        <v>78164</v>
      </c>
      <c r="E19" s="1104">
        <v>13392</v>
      </c>
      <c r="F19" s="1104">
        <v>12955</v>
      </c>
      <c r="G19" s="421">
        <v>11036</v>
      </c>
      <c r="I19" s="1112"/>
    </row>
    <row r="20" spans="1:9" ht="27" customHeight="1">
      <c r="A20" s="81">
        <v>7</v>
      </c>
      <c r="B20" s="627" t="s">
        <v>870</v>
      </c>
      <c r="C20" s="503" t="s">
        <v>643</v>
      </c>
      <c r="D20" s="503" t="s">
        <v>643</v>
      </c>
      <c r="E20" s="1104">
        <v>89148</v>
      </c>
      <c r="F20" s="1104">
        <v>112041</v>
      </c>
      <c r="G20" s="421">
        <v>41</v>
      </c>
    </row>
    <row r="21" spans="1:9" ht="27" customHeight="1">
      <c r="A21" s="81"/>
      <c r="B21" s="141" t="s">
        <v>1417</v>
      </c>
      <c r="C21" s="1107">
        <f>SUM(C10,C15,C16,C17,C18,C19,C20)</f>
        <v>2324632</v>
      </c>
      <c r="D21" s="1107">
        <f>SUM(D10,D15,D16,D17,D18,D19,D20)</f>
        <v>2481841</v>
      </c>
      <c r="E21" s="1103">
        <f>SUM(E10,E15,E16,E17,E18,E19,E20)</f>
        <v>1612653</v>
      </c>
      <c r="F21" s="1103">
        <f>SUM(F10,F15,F16,F17,F18,F19,F20)</f>
        <v>2002652</v>
      </c>
      <c r="G21" s="44">
        <f>SUM(G10,G15,G16,G17,G18,G19,G20)</f>
        <v>1474905</v>
      </c>
    </row>
    <row r="22" spans="1:9" ht="27" customHeight="1">
      <c r="A22" s="81">
        <v>8</v>
      </c>
      <c r="B22" s="141" t="s">
        <v>1439</v>
      </c>
      <c r="C22" s="503"/>
      <c r="D22" s="503"/>
      <c r="E22" s="1104"/>
      <c r="F22" s="1104"/>
      <c r="G22" s="421"/>
    </row>
    <row r="23" spans="1:9" ht="27" customHeight="1">
      <c r="A23" s="176"/>
      <c r="B23" s="627" t="s">
        <v>701</v>
      </c>
      <c r="C23" s="503">
        <v>2446029</v>
      </c>
      <c r="D23" s="503">
        <v>2684815</v>
      </c>
      <c r="E23" s="1104">
        <v>2052198</v>
      </c>
      <c r="F23" s="1104">
        <v>2233853</v>
      </c>
      <c r="G23" s="421">
        <v>1958397</v>
      </c>
    </row>
    <row r="24" spans="1:9" ht="27" customHeight="1">
      <c r="A24" s="176"/>
      <c r="B24" s="627" t="s">
        <v>702</v>
      </c>
      <c r="C24" s="503">
        <v>1006060</v>
      </c>
      <c r="D24" s="503">
        <v>1133705</v>
      </c>
      <c r="E24" s="1104">
        <v>745817</v>
      </c>
      <c r="F24" s="1104">
        <v>595072</v>
      </c>
      <c r="G24" s="421">
        <v>236481</v>
      </c>
    </row>
    <row r="25" spans="1:9" ht="27" customHeight="1">
      <c r="A25" s="176"/>
      <c r="B25" s="627" t="s">
        <v>320</v>
      </c>
      <c r="C25" s="503">
        <v>11407</v>
      </c>
      <c r="D25" s="503">
        <v>5875</v>
      </c>
      <c r="E25" s="1104">
        <v>9458</v>
      </c>
      <c r="F25" s="1104">
        <v>15243</v>
      </c>
      <c r="G25" s="421">
        <v>12257</v>
      </c>
    </row>
    <row r="26" spans="1:9" ht="27" customHeight="1">
      <c r="A26" s="637"/>
      <c r="B26" s="707" t="s">
        <v>1419</v>
      </c>
      <c r="C26" s="1105">
        <f>SUM(C23:C25)</f>
        <v>3463496</v>
      </c>
      <c r="D26" s="1105">
        <f>SUM(D23:D25)</f>
        <v>3824395</v>
      </c>
      <c r="E26" s="1105">
        <f>SUM(E23:E25)</f>
        <v>2807473</v>
      </c>
      <c r="F26" s="1105">
        <f>SUM(F23:F25)</f>
        <v>2844168</v>
      </c>
      <c r="G26" s="130">
        <f>SUM(G23:G25)</f>
        <v>2207135</v>
      </c>
    </row>
    <row r="27" spans="1:9">
      <c r="A27" s="6"/>
      <c r="B27" s="1113" t="s">
        <v>1659</v>
      </c>
      <c r="F27" s="6"/>
      <c r="G27" s="280" t="s">
        <v>922</v>
      </c>
    </row>
    <row r="28" spans="1:9">
      <c r="A28" s="23"/>
      <c r="B28" s="1113" t="s">
        <v>1660</v>
      </c>
    </row>
    <row r="29" spans="1:9">
      <c r="A29" s="23"/>
      <c r="B29" s="6"/>
    </row>
    <row r="30" spans="1:9">
      <c r="A30" s="23"/>
      <c r="B30" s="6"/>
    </row>
    <row r="31" spans="1:9">
      <c r="A31" s="6"/>
      <c r="B31" s="6"/>
    </row>
    <row r="32" spans="1:9">
      <c r="A32" s="6"/>
      <c r="B32" s="6"/>
    </row>
    <row r="33" spans="1:7">
      <c r="A33" s="23"/>
      <c r="B33" s="6"/>
    </row>
    <row r="34" spans="1:7">
      <c r="A34" s="23"/>
      <c r="B34" s="6"/>
    </row>
    <row r="35" spans="1:7">
      <c r="A35" s="23"/>
      <c r="B35" s="6"/>
    </row>
    <row r="36" spans="1:7">
      <c r="A36" s="23"/>
      <c r="B36" s="6"/>
    </row>
    <row r="37" spans="1:7">
      <c r="A37" s="23"/>
      <c r="B37" s="6"/>
    </row>
    <row r="38" spans="1:7">
      <c r="A38" s="23"/>
      <c r="B38" s="6"/>
    </row>
    <row r="39" spans="1:7">
      <c r="A39" s="24"/>
      <c r="B39" s="25"/>
      <c r="C39" s="450"/>
      <c r="D39" s="450"/>
      <c r="E39" s="450"/>
      <c r="F39" s="450"/>
      <c r="G39" s="450"/>
    </row>
    <row r="40" spans="1:7">
      <c r="A40" s="24"/>
      <c r="B40" s="25"/>
      <c r="C40" s="450"/>
      <c r="D40" s="450"/>
      <c r="E40" s="450"/>
      <c r="F40" s="450"/>
      <c r="G40" s="450"/>
    </row>
    <row r="41" spans="1:7">
      <c r="A41" s="450"/>
      <c r="B41" s="450"/>
      <c r="C41" s="450"/>
      <c r="D41" s="708"/>
      <c r="E41" s="450"/>
      <c r="F41" s="450"/>
      <c r="G41" s="450"/>
    </row>
    <row r="42" spans="1:7">
      <c r="A42" s="450"/>
      <c r="B42" s="450"/>
      <c r="C42" s="450"/>
      <c r="D42" s="450"/>
      <c r="E42" s="450"/>
      <c r="F42" s="450"/>
      <c r="G42" s="450"/>
    </row>
  </sheetData>
  <mergeCells count="4">
    <mergeCell ref="A1:G1"/>
    <mergeCell ref="A4:B4"/>
    <mergeCell ref="A5:B5"/>
    <mergeCell ref="A2:G2"/>
  </mergeCells>
  <phoneticPr fontId="0" type="noConversion"/>
  <printOptions horizontalCentered="1"/>
  <pageMargins left="0.1" right="0.1" top="0.96" bottom="0.1" header="0.61" footer="0.1"/>
  <pageSetup paperSize="9" orientation="portrait" blackAndWhite="1" r:id="rId1"/>
  <headerFooter alignWithMargins="0"/>
</worksheet>
</file>

<file path=xl/worksheets/sheet55.xml><?xml version="1.0" encoding="utf-8"?>
<worksheet xmlns="http://schemas.openxmlformats.org/spreadsheetml/2006/main" xmlns:r="http://schemas.openxmlformats.org/officeDocument/2006/relationships">
  <sheetPr codeName="Sheet38"/>
  <dimension ref="A1:I49"/>
  <sheetViews>
    <sheetView topLeftCell="A4" workbookViewId="0">
      <selection activeCell="K30" sqref="K30"/>
    </sheetView>
  </sheetViews>
  <sheetFormatPr defaultRowHeight="12.4" customHeight="1"/>
  <cols>
    <col min="1" max="1" width="18.5703125" style="405" customWidth="1"/>
    <col min="2" max="2" width="8.42578125" style="405" customWidth="1"/>
    <col min="3" max="3" width="7.5703125" style="405" customWidth="1"/>
    <col min="4" max="4" width="7.7109375" style="405" customWidth="1"/>
    <col min="5" max="6" width="7.28515625" style="405" customWidth="1"/>
    <col min="7" max="7" width="13" style="405" customWidth="1"/>
    <col min="8" max="8" width="9.140625" style="405"/>
    <col min="9" max="9" width="7.85546875" style="405" customWidth="1"/>
    <col min="10" max="16384" width="9.140625" style="405"/>
  </cols>
  <sheetData>
    <row r="1" spans="1:9" ht="12.4" customHeight="1">
      <c r="A1" s="1250" t="s">
        <v>467</v>
      </c>
      <c r="B1" s="1250"/>
      <c r="C1" s="1250"/>
      <c r="D1" s="1250"/>
      <c r="E1" s="1250"/>
      <c r="F1" s="1250"/>
      <c r="G1" s="1250"/>
      <c r="H1" s="1250"/>
      <c r="I1" s="1250"/>
    </row>
    <row r="2" spans="1:9" s="412" customFormat="1" ht="30.75" customHeight="1">
      <c r="A2" s="1297" t="str">
        <f>CONCATENATE("Veterinary Hospitals, Veterinary Personnel and Cases treated 
in the district of ",District!A1)</f>
        <v>Veterinary Hospitals, Veterinary Personnel and Cases treated 
in the district of Nadia</v>
      </c>
      <c r="B2" s="1297"/>
      <c r="C2" s="1297"/>
      <c r="D2" s="1297"/>
      <c r="E2" s="1297"/>
      <c r="F2" s="1297"/>
      <c r="G2" s="1297"/>
      <c r="H2" s="1297"/>
      <c r="I2" s="1297"/>
    </row>
    <row r="3" spans="1:9" ht="12.4" customHeight="1">
      <c r="A3" s="412"/>
      <c r="B3" s="436"/>
      <c r="C3" s="436"/>
      <c r="D3" s="436"/>
      <c r="E3" s="436"/>
      <c r="F3" s="436"/>
      <c r="G3" s="436"/>
      <c r="H3" s="436"/>
      <c r="I3" s="451" t="s">
        <v>223</v>
      </c>
    </row>
    <row r="4" spans="1:9" ht="51">
      <c r="A4" s="204" t="s">
        <v>107</v>
      </c>
      <c r="B4" s="219" t="s">
        <v>1613</v>
      </c>
      <c r="C4" s="265" t="s">
        <v>703</v>
      </c>
      <c r="D4" s="204" t="s">
        <v>704</v>
      </c>
      <c r="E4" s="265" t="s">
        <v>705</v>
      </c>
      <c r="F4" s="204" t="s">
        <v>706</v>
      </c>
      <c r="G4" s="460" t="s">
        <v>1106</v>
      </c>
      <c r="H4" s="219" t="s">
        <v>707</v>
      </c>
      <c r="I4" s="396" t="s">
        <v>335</v>
      </c>
    </row>
    <row r="5" spans="1:9" ht="12" customHeight="1">
      <c r="A5" s="225" t="s">
        <v>163</v>
      </c>
      <c r="B5" s="225" t="s">
        <v>164</v>
      </c>
      <c r="C5" s="226" t="s">
        <v>165</v>
      </c>
      <c r="D5" s="225" t="s">
        <v>166</v>
      </c>
      <c r="E5" s="226" t="s">
        <v>167</v>
      </c>
      <c r="F5" s="225" t="s">
        <v>168</v>
      </c>
      <c r="G5" s="226" t="s">
        <v>169</v>
      </c>
      <c r="H5" s="225" t="s">
        <v>211</v>
      </c>
      <c r="I5" s="481" t="s">
        <v>212</v>
      </c>
    </row>
    <row r="6" spans="1:9" ht="15" customHeight="1">
      <c r="A6" s="81" t="str">
        <f>District!D13</f>
        <v>2009-10</v>
      </c>
      <c r="B6" s="463">
        <v>9</v>
      </c>
      <c r="C6" s="464">
        <v>17</v>
      </c>
      <c r="D6" s="463">
        <v>16</v>
      </c>
      <c r="E6" s="464">
        <v>196</v>
      </c>
      <c r="F6" s="463" t="s">
        <v>643</v>
      </c>
      <c r="G6" s="464">
        <v>107</v>
      </c>
      <c r="H6" s="463">
        <v>415</v>
      </c>
      <c r="I6" s="493">
        <v>543953</v>
      </c>
    </row>
    <row r="7" spans="1:9" ht="15" customHeight="1">
      <c r="A7" s="81" t="str">
        <f>District!D14</f>
        <v>2010-11</v>
      </c>
      <c r="B7" s="463">
        <v>9</v>
      </c>
      <c r="C7" s="464">
        <v>17</v>
      </c>
      <c r="D7" s="463">
        <v>16</v>
      </c>
      <c r="E7" s="464">
        <v>196</v>
      </c>
      <c r="F7" s="463" t="s">
        <v>643</v>
      </c>
      <c r="G7" s="464">
        <v>107</v>
      </c>
      <c r="H7" s="463">
        <v>361</v>
      </c>
      <c r="I7" s="421">
        <v>555820</v>
      </c>
    </row>
    <row r="8" spans="1:9" ht="15" customHeight="1">
      <c r="A8" s="81" t="str">
        <f>District!D15</f>
        <v>2011-12</v>
      </c>
      <c r="B8" s="463">
        <v>9</v>
      </c>
      <c r="C8" s="464">
        <v>17</v>
      </c>
      <c r="D8" s="463">
        <v>16</v>
      </c>
      <c r="E8" s="464">
        <v>196</v>
      </c>
      <c r="F8" s="463" t="s">
        <v>643</v>
      </c>
      <c r="G8" s="464">
        <v>107</v>
      </c>
      <c r="H8" s="463">
        <v>321</v>
      </c>
      <c r="I8" s="421">
        <v>750822</v>
      </c>
    </row>
    <row r="9" spans="1:9" ht="15" customHeight="1">
      <c r="A9" s="81" t="str">
        <f>District!D16</f>
        <v>2012-13</v>
      </c>
      <c r="B9" s="421">
        <v>9</v>
      </c>
      <c r="C9" s="464">
        <v>17</v>
      </c>
      <c r="D9" s="463">
        <v>16</v>
      </c>
      <c r="E9" s="464">
        <v>199</v>
      </c>
      <c r="F9" s="482" t="s">
        <v>643</v>
      </c>
      <c r="G9" s="464">
        <v>304</v>
      </c>
      <c r="H9" s="463">
        <v>259</v>
      </c>
      <c r="I9" s="421">
        <v>723645</v>
      </c>
    </row>
    <row r="10" spans="1:9" ht="15" customHeight="1">
      <c r="A10" s="129" t="str">
        <f>District!D17</f>
        <v>2013-14</v>
      </c>
      <c r="B10" s="129">
        <f>SUM(B12,B17,B27,B37)</f>
        <v>9</v>
      </c>
      <c r="C10" s="212">
        <f t="shared" ref="C10:I10" si="0">SUM(C12,C17,C27,C37)</f>
        <v>17</v>
      </c>
      <c r="D10" s="129">
        <f t="shared" si="0"/>
        <v>16</v>
      </c>
      <c r="E10" s="212">
        <f>SUM(E12,E17,E27,E37)</f>
        <v>199</v>
      </c>
      <c r="F10" s="129" t="str">
        <f>IF(SUM(F12,F17,F27,F37)=0,"-",SUM(F12,F17,F27,F37))</f>
        <v>-</v>
      </c>
      <c r="G10" s="212">
        <f>SUM(G12,G17,G27,G37)</f>
        <v>304</v>
      </c>
      <c r="H10" s="129">
        <f t="shared" si="0"/>
        <v>94</v>
      </c>
      <c r="I10" s="94">
        <f t="shared" si="0"/>
        <v>565612</v>
      </c>
    </row>
    <row r="11" spans="1:9" ht="37.5" customHeight="1">
      <c r="A11" s="233" t="s">
        <v>1650</v>
      </c>
      <c r="B11" s="1384" t="str">
        <f>"Year : "  &amp;A10</f>
        <v>Year : 2013-14</v>
      </c>
      <c r="C11" s="1385"/>
      <c r="D11" s="1385"/>
      <c r="E11" s="1385"/>
      <c r="F11" s="1385"/>
      <c r="G11" s="1385"/>
      <c r="H11" s="1385"/>
      <c r="I11" s="1249"/>
    </row>
    <row r="12" spans="1:9" ht="15" customHeight="1">
      <c r="A12" s="709" t="s">
        <v>1194</v>
      </c>
      <c r="B12" s="193">
        <f>SUM(B13:B16)</f>
        <v>1</v>
      </c>
      <c r="C12" s="20">
        <f t="shared" ref="C12:I12" si="1">SUM(C13:C16)</f>
        <v>4</v>
      </c>
      <c r="D12" s="193">
        <f t="shared" si="1"/>
        <v>3</v>
      </c>
      <c r="E12" s="20">
        <f t="shared" si="1"/>
        <v>36</v>
      </c>
      <c r="F12" s="193" t="s">
        <v>643</v>
      </c>
      <c r="G12" s="20">
        <f t="shared" si="1"/>
        <v>50</v>
      </c>
      <c r="H12" s="193">
        <f t="shared" si="1"/>
        <v>13</v>
      </c>
      <c r="I12" s="44">
        <f t="shared" si="1"/>
        <v>103475</v>
      </c>
    </row>
    <row r="13" spans="1:9" ht="15" customHeight="1">
      <c r="A13" s="710" t="s">
        <v>1118</v>
      </c>
      <c r="B13" s="463">
        <v>1</v>
      </c>
      <c r="C13" s="464">
        <v>1</v>
      </c>
      <c r="D13" s="1062" t="s">
        <v>643</v>
      </c>
      <c r="E13" s="464">
        <v>8</v>
      </c>
      <c r="F13" s="118" t="s">
        <v>643</v>
      </c>
      <c r="G13" s="464">
        <v>10</v>
      </c>
      <c r="H13" s="463">
        <v>2</v>
      </c>
      <c r="I13" s="421">
        <v>32447</v>
      </c>
    </row>
    <row r="14" spans="1:9" ht="15" customHeight="1">
      <c r="A14" s="710" t="s">
        <v>1119</v>
      </c>
      <c r="B14" s="1062" t="s">
        <v>643</v>
      </c>
      <c r="C14" s="464">
        <v>1</v>
      </c>
      <c r="D14" s="463">
        <v>1</v>
      </c>
      <c r="E14" s="464">
        <v>10</v>
      </c>
      <c r="F14" s="118" t="s">
        <v>643</v>
      </c>
      <c r="G14" s="464">
        <v>12</v>
      </c>
      <c r="H14" s="463">
        <v>2</v>
      </c>
      <c r="I14" s="421">
        <v>13141</v>
      </c>
    </row>
    <row r="15" spans="1:9" ht="15" customHeight="1">
      <c r="A15" s="710" t="s">
        <v>1121</v>
      </c>
      <c r="B15" s="1062" t="s">
        <v>643</v>
      </c>
      <c r="C15" s="464">
        <v>1</v>
      </c>
      <c r="D15" s="463">
        <v>1</v>
      </c>
      <c r="E15" s="464">
        <v>11</v>
      </c>
      <c r="F15" s="118" t="s">
        <v>643</v>
      </c>
      <c r="G15" s="464">
        <v>14</v>
      </c>
      <c r="H15" s="463">
        <v>2</v>
      </c>
      <c r="I15" s="421">
        <v>21610</v>
      </c>
    </row>
    <row r="16" spans="1:9" ht="15" customHeight="1">
      <c r="A16" s="710" t="s">
        <v>1120</v>
      </c>
      <c r="B16" s="1062" t="s">
        <v>643</v>
      </c>
      <c r="C16" s="464">
        <v>1</v>
      </c>
      <c r="D16" s="463">
        <v>1</v>
      </c>
      <c r="E16" s="464">
        <v>7</v>
      </c>
      <c r="F16" s="118" t="s">
        <v>643</v>
      </c>
      <c r="G16" s="464">
        <v>14</v>
      </c>
      <c r="H16" s="463">
        <v>7</v>
      </c>
      <c r="I16" s="421">
        <v>36277</v>
      </c>
    </row>
    <row r="17" spans="1:9" ht="15" customHeight="1">
      <c r="A17" s="709" t="s">
        <v>1264</v>
      </c>
      <c r="B17" s="118">
        <f>SUM(B18:B26)</f>
        <v>5</v>
      </c>
      <c r="C17" s="20">
        <f t="shared" ref="C17:I17" si="2">SUM(C18:C26)</f>
        <v>7</v>
      </c>
      <c r="D17" s="118">
        <f t="shared" si="2"/>
        <v>7</v>
      </c>
      <c r="E17" s="20">
        <f t="shared" si="2"/>
        <v>79</v>
      </c>
      <c r="F17" s="118" t="s">
        <v>643</v>
      </c>
      <c r="G17" s="20">
        <f t="shared" si="2"/>
        <v>127</v>
      </c>
      <c r="H17" s="118">
        <f t="shared" si="2"/>
        <v>42</v>
      </c>
      <c r="I17" s="44">
        <f t="shared" si="2"/>
        <v>257903</v>
      </c>
    </row>
    <row r="18" spans="1:9" ht="15" customHeight="1">
      <c r="A18" s="710" t="s">
        <v>1122</v>
      </c>
      <c r="B18" s="1062" t="s">
        <v>643</v>
      </c>
      <c r="C18" s="464">
        <v>1</v>
      </c>
      <c r="D18" s="463">
        <v>1</v>
      </c>
      <c r="E18" s="464">
        <v>15</v>
      </c>
      <c r="F18" s="118" t="s">
        <v>643</v>
      </c>
      <c r="G18" s="464">
        <v>20</v>
      </c>
      <c r="H18" s="463">
        <v>4</v>
      </c>
      <c r="I18" s="421">
        <v>18799</v>
      </c>
    </row>
    <row r="19" spans="1:9" ht="15" customHeight="1">
      <c r="A19" s="710" t="s">
        <v>1123</v>
      </c>
      <c r="B19" s="463">
        <v>2</v>
      </c>
      <c r="C19" s="464">
        <v>1</v>
      </c>
      <c r="D19" s="1051">
        <v>1</v>
      </c>
      <c r="E19" s="464">
        <v>15</v>
      </c>
      <c r="F19" s="118" t="s">
        <v>643</v>
      </c>
      <c r="G19" s="464">
        <v>27</v>
      </c>
      <c r="H19" s="463">
        <v>8</v>
      </c>
      <c r="I19" s="421">
        <v>35295</v>
      </c>
    </row>
    <row r="20" spans="1:9" ht="15" customHeight="1">
      <c r="A20" s="710" t="s">
        <v>1124</v>
      </c>
      <c r="B20" s="463">
        <v>1</v>
      </c>
      <c r="C20" s="464">
        <v>1</v>
      </c>
      <c r="D20" s="1051">
        <v>1</v>
      </c>
      <c r="E20" s="464">
        <v>13</v>
      </c>
      <c r="F20" s="118" t="s">
        <v>643</v>
      </c>
      <c r="G20" s="464">
        <v>21</v>
      </c>
      <c r="H20" s="463">
        <v>6</v>
      </c>
      <c r="I20" s="421">
        <v>46863</v>
      </c>
    </row>
    <row r="21" spans="1:9" ht="15" customHeight="1">
      <c r="A21" s="710" t="s">
        <v>1125</v>
      </c>
      <c r="B21" s="1062" t="s">
        <v>643</v>
      </c>
      <c r="C21" s="464">
        <v>1</v>
      </c>
      <c r="D21" s="1051">
        <v>1</v>
      </c>
      <c r="E21" s="464">
        <v>7</v>
      </c>
      <c r="F21" s="118" t="s">
        <v>643</v>
      </c>
      <c r="G21" s="464">
        <v>11</v>
      </c>
      <c r="H21" s="463">
        <v>4</v>
      </c>
      <c r="I21" s="421">
        <v>28492</v>
      </c>
    </row>
    <row r="22" spans="1:9" ht="15" customHeight="1">
      <c r="A22" s="710" t="s">
        <v>644</v>
      </c>
      <c r="B22" s="1062" t="s">
        <v>643</v>
      </c>
      <c r="C22" s="464">
        <v>1</v>
      </c>
      <c r="D22" s="1051">
        <v>1</v>
      </c>
      <c r="E22" s="464">
        <v>12</v>
      </c>
      <c r="F22" s="118" t="s">
        <v>643</v>
      </c>
      <c r="G22" s="464">
        <v>24</v>
      </c>
      <c r="H22" s="463">
        <v>9</v>
      </c>
      <c r="I22" s="421">
        <v>53595</v>
      </c>
    </row>
    <row r="23" spans="1:9" ht="15" customHeight="1">
      <c r="A23" s="710" t="s">
        <v>645</v>
      </c>
      <c r="B23" s="463">
        <v>1</v>
      </c>
      <c r="C23" s="1066" t="s">
        <v>643</v>
      </c>
      <c r="D23" s="1062" t="s">
        <v>643</v>
      </c>
      <c r="E23" s="1066">
        <v>2</v>
      </c>
      <c r="F23" s="118" t="s">
        <v>643</v>
      </c>
      <c r="G23" s="352" t="s">
        <v>643</v>
      </c>
      <c r="H23" s="463">
        <v>2</v>
      </c>
      <c r="I23" s="421">
        <v>18024</v>
      </c>
    </row>
    <row r="24" spans="1:9" ht="15" customHeight="1">
      <c r="A24" s="710" t="s">
        <v>646</v>
      </c>
      <c r="B24" s="1062" t="s">
        <v>643</v>
      </c>
      <c r="C24" s="464">
        <v>1</v>
      </c>
      <c r="D24" s="1051">
        <v>1</v>
      </c>
      <c r="E24" s="464">
        <v>7</v>
      </c>
      <c r="F24" s="118" t="s">
        <v>643</v>
      </c>
      <c r="G24" s="464">
        <v>13</v>
      </c>
      <c r="H24" s="463">
        <v>5</v>
      </c>
      <c r="I24" s="421">
        <v>34832</v>
      </c>
    </row>
    <row r="25" spans="1:9" ht="15" customHeight="1">
      <c r="A25" s="710" t="s">
        <v>90</v>
      </c>
      <c r="B25" s="463">
        <v>1</v>
      </c>
      <c r="C25" s="464">
        <v>1</v>
      </c>
      <c r="D25" s="463">
        <v>1</v>
      </c>
      <c r="E25" s="464">
        <v>8</v>
      </c>
      <c r="F25" s="118" t="s">
        <v>643</v>
      </c>
      <c r="G25" s="464">
        <v>11</v>
      </c>
      <c r="H25" s="176">
        <v>4</v>
      </c>
      <c r="I25" s="421">
        <v>22003</v>
      </c>
    </row>
    <row r="26" spans="1:9" ht="15" customHeight="1">
      <c r="A26" s="710" t="s">
        <v>1130</v>
      </c>
      <c r="B26" s="1062" t="s">
        <v>643</v>
      </c>
      <c r="C26" s="1066" t="s">
        <v>643</v>
      </c>
      <c r="D26" s="1062" t="s">
        <v>643</v>
      </c>
      <c r="E26" s="1066" t="s">
        <v>643</v>
      </c>
      <c r="F26" s="118" t="s">
        <v>643</v>
      </c>
      <c r="G26" s="352" t="s">
        <v>643</v>
      </c>
      <c r="H26" s="176" t="s">
        <v>643</v>
      </c>
      <c r="I26" s="1050" t="s">
        <v>643</v>
      </c>
    </row>
    <row r="27" spans="1:9" ht="15" customHeight="1">
      <c r="A27" s="709" t="s">
        <v>805</v>
      </c>
      <c r="B27" s="118">
        <f t="shared" ref="B27:I27" si="3">SUM(B28:B36)</f>
        <v>2</v>
      </c>
      <c r="C27" s="20">
        <f t="shared" si="3"/>
        <v>4</v>
      </c>
      <c r="D27" s="118">
        <f t="shared" si="3"/>
        <v>4</v>
      </c>
      <c r="E27" s="20">
        <f t="shared" si="3"/>
        <v>51</v>
      </c>
      <c r="F27" s="118" t="s">
        <v>643</v>
      </c>
      <c r="G27" s="118">
        <f>SUM(G28:G36)</f>
        <v>80</v>
      </c>
      <c r="H27" s="118">
        <f t="shared" si="3"/>
        <v>24</v>
      </c>
      <c r="I27" s="44">
        <f t="shared" si="3"/>
        <v>143877</v>
      </c>
    </row>
    <row r="28" spans="1:9" ht="15" customHeight="1">
      <c r="A28" s="711" t="s">
        <v>1131</v>
      </c>
      <c r="B28" s="1062" t="s">
        <v>643</v>
      </c>
      <c r="C28" s="464">
        <v>1</v>
      </c>
      <c r="D28" s="463">
        <v>1</v>
      </c>
      <c r="E28" s="464">
        <v>10</v>
      </c>
      <c r="F28" s="118" t="s">
        <v>643</v>
      </c>
      <c r="G28" s="464">
        <v>15</v>
      </c>
      <c r="H28" s="463">
        <v>4</v>
      </c>
      <c r="I28" s="421">
        <v>36890</v>
      </c>
    </row>
    <row r="29" spans="1:9" ht="15" customHeight="1">
      <c r="A29" s="711" t="s">
        <v>1133</v>
      </c>
      <c r="B29" s="463">
        <v>1</v>
      </c>
      <c r="C29" s="1066" t="s">
        <v>643</v>
      </c>
      <c r="D29" s="1062" t="s">
        <v>643</v>
      </c>
      <c r="E29" s="1066" t="s">
        <v>643</v>
      </c>
      <c r="F29" s="118" t="s">
        <v>643</v>
      </c>
      <c r="G29" s="352" t="s">
        <v>643</v>
      </c>
      <c r="H29" s="1200">
        <v>2</v>
      </c>
      <c r="I29" s="1215">
        <v>11987</v>
      </c>
    </row>
    <row r="30" spans="1:9" ht="15" customHeight="1">
      <c r="A30" s="711" t="s">
        <v>1134</v>
      </c>
      <c r="B30" s="1062" t="s">
        <v>643</v>
      </c>
      <c r="C30" s="464">
        <v>1</v>
      </c>
      <c r="D30" s="463">
        <v>1</v>
      </c>
      <c r="E30" s="464">
        <v>13</v>
      </c>
      <c r="F30" s="118" t="s">
        <v>643</v>
      </c>
      <c r="G30" s="464">
        <v>21</v>
      </c>
      <c r="H30" s="463">
        <v>5</v>
      </c>
      <c r="I30" s="421">
        <v>39750</v>
      </c>
    </row>
    <row r="31" spans="1:9" ht="15" customHeight="1">
      <c r="A31" s="711" t="s">
        <v>1623</v>
      </c>
      <c r="B31" s="1062" t="s">
        <v>643</v>
      </c>
      <c r="C31" s="464">
        <v>1</v>
      </c>
      <c r="D31" s="463">
        <v>1</v>
      </c>
      <c r="E31" s="464">
        <v>10</v>
      </c>
      <c r="F31" s="118" t="s">
        <v>643</v>
      </c>
      <c r="G31" s="464">
        <v>22</v>
      </c>
      <c r="H31" s="463">
        <v>7</v>
      </c>
      <c r="I31" s="421">
        <v>26583</v>
      </c>
    </row>
    <row r="32" spans="1:9" ht="15" customHeight="1">
      <c r="A32" s="711" t="s">
        <v>768</v>
      </c>
      <c r="B32" s="463">
        <v>1</v>
      </c>
      <c r="C32" s="1066" t="s">
        <v>643</v>
      </c>
      <c r="D32" s="1062" t="s">
        <v>643</v>
      </c>
      <c r="E32" s="1066">
        <v>3</v>
      </c>
      <c r="F32" s="118" t="s">
        <v>643</v>
      </c>
      <c r="G32" s="352" t="s">
        <v>643</v>
      </c>
      <c r="H32" s="463">
        <v>1</v>
      </c>
      <c r="I32" s="46">
        <v>9153</v>
      </c>
    </row>
    <row r="33" spans="1:9" ht="15" customHeight="1">
      <c r="A33" s="711" t="s">
        <v>1625</v>
      </c>
      <c r="B33" s="1062" t="s">
        <v>643</v>
      </c>
      <c r="C33" s="1066" t="s">
        <v>643</v>
      </c>
      <c r="D33" s="1062" t="s">
        <v>643</v>
      </c>
      <c r="E33" s="1066" t="s">
        <v>643</v>
      </c>
      <c r="F33" s="118" t="s">
        <v>643</v>
      </c>
      <c r="G33" s="352" t="s">
        <v>643</v>
      </c>
      <c r="H33" s="176" t="s">
        <v>643</v>
      </c>
      <c r="I33" s="786" t="s">
        <v>643</v>
      </c>
    </row>
    <row r="34" spans="1:9" ht="15" customHeight="1">
      <c r="A34" s="711" t="s">
        <v>1626</v>
      </c>
      <c r="B34" s="1062" t="s">
        <v>643</v>
      </c>
      <c r="C34" s="1066" t="s">
        <v>643</v>
      </c>
      <c r="D34" s="1062" t="s">
        <v>643</v>
      </c>
      <c r="E34" s="1066" t="s">
        <v>643</v>
      </c>
      <c r="F34" s="118" t="s">
        <v>643</v>
      </c>
      <c r="G34" s="352" t="s">
        <v>643</v>
      </c>
      <c r="H34" s="176" t="s">
        <v>643</v>
      </c>
      <c r="I34" s="786" t="s">
        <v>643</v>
      </c>
    </row>
    <row r="35" spans="1:9" ht="15" customHeight="1">
      <c r="A35" s="711" t="s">
        <v>714</v>
      </c>
      <c r="B35" s="1062" t="s">
        <v>643</v>
      </c>
      <c r="C35" s="464">
        <v>1</v>
      </c>
      <c r="D35" s="463">
        <v>1</v>
      </c>
      <c r="E35" s="464">
        <v>14</v>
      </c>
      <c r="F35" s="118" t="s">
        <v>643</v>
      </c>
      <c r="G35" s="464">
        <v>22</v>
      </c>
      <c r="H35" s="463">
        <v>5</v>
      </c>
      <c r="I35" s="421">
        <v>19514</v>
      </c>
    </row>
    <row r="36" spans="1:9" ht="15" customHeight="1">
      <c r="A36" s="711" t="s">
        <v>1238</v>
      </c>
      <c r="B36" s="1062" t="s">
        <v>643</v>
      </c>
      <c r="C36" s="1066" t="s">
        <v>643</v>
      </c>
      <c r="D36" s="1062" t="s">
        <v>643</v>
      </c>
      <c r="E36" s="1066">
        <v>1</v>
      </c>
      <c r="F36" s="118" t="s">
        <v>643</v>
      </c>
      <c r="G36" s="352" t="s">
        <v>643</v>
      </c>
      <c r="H36" s="170" t="s">
        <v>643</v>
      </c>
      <c r="I36" s="786" t="s">
        <v>643</v>
      </c>
    </row>
    <row r="37" spans="1:9" ht="15" customHeight="1">
      <c r="A37" s="712" t="s">
        <v>1265</v>
      </c>
      <c r="B37" s="118">
        <f>SUM(B38:B42)</f>
        <v>1</v>
      </c>
      <c r="C37" s="20">
        <f t="shared" ref="C37:I37" si="4">SUM(C38:C42)</f>
        <v>2</v>
      </c>
      <c r="D37" s="118">
        <f t="shared" si="4"/>
        <v>2</v>
      </c>
      <c r="E37" s="20">
        <f>IF(SUM(E38:E42)=0,"-",SUM(E38:E42))</f>
        <v>33</v>
      </c>
      <c r="F37" s="118" t="s">
        <v>643</v>
      </c>
      <c r="G37" s="20">
        <f t="shared" si="4"/>
        <v>47</v>
      </c>
      <c r="H37" s="118">
        <f t="shared" si="4"/>
        <v>15</v>
      </c>
      <c r="I37" s="44">
        <f t="shared" si="4"/>
        <v>60357</v>
      </c>
    </row>
    <row r="38" spans="1:9" ht="15" customHeight="1">
      <c r="A38" s="711" t="s">
        <v>769</v>
      </c>
      <c r="B38" s="1062" t="s">
        <v>643</v>
      </c>
      <c r="C38" s="464">
        <v>1</v>
      </c>
      <c r="D38" s="463">
        <v>1</v>
      </c>
      <c r="E38" s="464">
        <v>17</v>
      </c>
      <c r="F38" s="118" t="s">
        <v>643</v>
      </c>
      <c r="G38" s="464">
        <v>28</v>
      </c>
      <c r="H38" s="463">
        <v>7</v>
      </c>
      <c r="I38" s="421">
        <v>29558</v>
      </c>
    </row>
    <row r="39" spans="1:9" ht="15" customHeight="1">
      <c r="A39" s="711" t="s">
        <v>770</v>
      </c>
      <c r="B39" s="463">
        <v>1</v>
      </c>
      <c r="C39" s="1066" t="s">
        <v>643</v>
      </c>
      <c r="D39" s="1062" t="s">
        <v>643</v>
      </c>
      <c r="E39" s="1066">
        <v>4</v>
      </c>
      <c r="F39" s="118" t="s">
        <v>643</v>
      </c>
      <c r="G39" s="352" t="s">
        <v>643</v>
      </c>
      <c r="H39" s="1200">
        <v>1</v>
      </c>
      <c r="I39" s="1215">
        <v>5846</v>
      </c>
    </row>
    <row r="40" spans="1:9" ht="15" customHeight="1">
      <c r="A40" s="711" t="s">
        <v>771</v>
      </c>
      <c r="B40" s="1062" t="s">
        <v>643</v>
      </c>
      <c r="C40" s="1066" t="s">
        <v>643</v>
      </c>
      <c r="D40" s="1062" t="s">
        <v>643</v>
      </c>
      <c r="E40" s="1066" t="s">
        <v>643</v>
      </c>
      <c r="F40" s="118" t="s">
        <v>643</v>
      </c>
      <c r="G40" s="352" t="s">
        <v>643</v>
      </c>
      <c r="H40" s="176" t="s">
        <v>643</v>
      </c>
      <c r="I40" s="1050" t="s">
        <v>643</v>
      </c>
    </row>
    <row r="41" spans="1:9" ht="15" customHeight="1">
      <c r="A41" s="711" t="s">
        <v>1629</v>
      </c>
      <c r="B41" s="1062" t="s">
        <v>643</v>
      </c>
      <c r="C41" s="1066" t="s">
        <v>643</v>
      </c>
      <c r="D41" s="1062" t="s">
        <v>643</v>
      </c>
      <c r="E41" s="1066">
        <v>2</v>
      </c>
      <c r="F41" s="118" t="s">
        <v>643</v>
      </c>
      <c r="G41" s="352" t="s">
        <v>643</v>
      </c>
      <c r="H41" s="170" t="s">
        <v>643</v>
      </c>
      <c r="I41" s="786" t="s">
        <v>643</v>
      </c>
    </row>
    <row r="42" spans="1:9" ht="15" customHeight="1">
      <c r="A42" s="713" t="s">
        <v>772</v>
      </c>
      <c r="B42" s="1065" t="s">
        <v>643</v>
      </c>
      <c r="C42" s="488">
        <v>1</v>
      </c>
      <c r="D42" s="468">
        <v>1</v>
      </c>
      <c r="E42" s="488">
        <v>10</v>
      </c>
      <c r="F42" s="119" t="s">
        <v>643</v>
      </c>
      <c r="G42" s="488">
        <v>19</v>
      </c>
      <c r="H42" s="704">
        <v>7</v>
      </c>
      <c r="I42" s="622">
        <v>24953</v>
      </c>
    </row>
    <row r="43" spans="1:9" ht="12.75" customHeight="1">
      <c r="A43" s="431" t="s">
        <v>1646</v>
      </c>
      <c r="B43" s="296"/>
      <c r="C43" s="296"/>
      <c r="D43" s="296"/>
      <c r="F43" s="527" t="s">
        <v>1105</v>
      </c>
      <c r="G43" s="1521" t="str">
        <f>CONCATENATE("Dy. Director, Animal Resources and Dev. Parishad Office, ",District!A1)</f>
        <v>Dy. Director, Animal Resources and Dev. Parishad Office, Nadia</v>
      </c>
      <c r="H43" s="1521"/>
      <c r="I43" s="1521"/>
    </row>
    <row r="44" spans="1:9" ht="12.75" customHeight="1">
      <c r="A44" s="431" t="s">
        <v>1048</v>
      </c>
      <c r="B44" s="296"/>
      <c r="C44" s="296"/>
      <c r="D44" s="296"/>
      <c r="E44" s="296"/>
      <c r="F44" s="438"/>
      <c r="G44" s="1522"/>
      <c r="H44" s="1522"/>
      <c r="I44" s="1522"/>
    </row>
    <row r="45" spans="1:9" ht="12" customHeight="1">
      <c r="A45" s="431" t="s">
        <v>579</v>
      </c>
      <c r="B45" s="296"/>
      <c r="C45" s="18"/>
      <c r="D45" s="561" t="s">
        <v>709</v>
      </c>
      <c r="E45" s="18"/>
      <c r="F45" s="297"/>
      <c r="G45" s="298"/>
    </row>
    <row r="46" spans="1:9" ht="12" customHeight="1">
      <c r="A46" s="561" t="s">
        <v>734</v>
      </c>
      <c r="B46" s="18"/>
      <c r="C46" s="18"/>
      <c r="D46" s="561" t="s">
        <v>708</v>
      </c>
      <c r="E46" s="18"/>
      <c r="F46" s="18"/>
      <c r="G46" s="297"/>
    </row>
    <row r="47" spans="1:9" ht="12" customHeight="1">
      <c r="A47" s="561" t="s">
        <v>1047</v>
      </c>
      <c r="B47" s="18"/>
      <c r="C47" s="18"/>
      <c r="D47" s="561" t="s">
        <v>577</v>
      </c>
      <c r="E47" s="18"/>
      <c r="F47" s="18"/>
      <c r="G47" s="18"/>
    </row>
    <row r="48" spans="1:9" ht="12" customHeight="1">
      <c r="A48" s="1520" t="s">
        <v>578</v>
      </c>
      <c r="B48" s="1520"/>
      <c r="C48" s="1520"/>
      <c r="D48" s="1520"/>
      <c r="E48" s="1520"/>
      <c r="F48" s="1520"/>
      <c r="G48" s="1520"/>
      <c r="H48" s="18"/>
      <c r="I48" s="18"/>
    </row>
    <row r="49" spans="1:1" ht="12" customHeight="1">
      <c r="A49" s="714"/>
    </row>
  </sheetData>
  <mergeCells count="5">
    <mergeCell ref="A48:G48"/>
    <mergeCell ref="G43:I44"/>
    <mergeCell ref="B11:I11"/>
    <mergeCell ref="A1:I1"/>
    <mergeCell ref="A2:I2"/>
  </mergeCells>
  <phoneticPr fontId="0" type="noConversion"/>
  <printOptions horizontalCentered="1"/>
  <pageMargins left="0.1" right="0.1" top="0.57999999999999996" bottom="0.1" header="0.44" footer="0.1"/>
  <pageSetup paperSize="9" orientation="portrait" blackAndWhite="1" r:id="rId1"/>
  <headerFooter alignWithMargins="0"/>
</worksheet>
</file>

<file path=xl/worksheets/sheet56.xml><?xml version="1.0" encoding="utf-8"?>
<worksheet xmlns="http://schemas.openxmlformats.org/spreadsheetml/2006/main" xmlns:r="http://schemas.openxmlformats.org/officeDocument/2006/relationships">
  <dimension ref="A1:K48"/>
  <sheetViews>
    <sheetView workbookViewId="0">
      <selection activeCell="I31" sqref="I31"/>
    </sheetView>
  </sheetViews>
  <sheetFormatPr defaultRowHeight="12.75"/>
  <cols>
    <col min="1" max="1" width="2.7109375" style="405" customWidth="1"/>
    <col min="2" max="2" width="13.28515625" style="405" customWidth="1"/>
    <col min="3" max="3" width="8.7109375" style="405" customWidth="1"/>
    <col min="4" max="4" width="9" style="405" customWidth="1"/>
    <col min="5" max="6" width="17" style="405" customWidth="1"/>
    <col min="7" max="7" width="17.140625" style="405" customWidth="1"/>
    <col min="8" max="8" width="0.140625" style="405" customWidth="1"/>
    <col min="9" max="11" width="9.140625" style="405" hidden="1" customWidth="1"/>
    <col min="12" max="16384" width="9.140625" style="405"/>
  </cols>
  <sheetData>
    <row r="1" spans="1:9">
      <c r="A1" s="1250" t="s">
        <v>471</v>
      </c>
      <c r="B1" s="1250"/>
      <c r="C1" s="1250"/>
      <c r="D1" s="1250"/>
      <c r="E1" s="1250"/>
      <c r="F1" s="1250"/>
      <c r="G1" s="1250"/>
    </row>
    <row r="2" spans="1:9" s="412" customFormat="1" ht="18.75" customHeight="1">
      <c r="A2" s="1524" t="str">
        <f>CONCATENATE("Progress of Co-operative Movement in the district of ",District!A1)</f>
        <v>Progress of Co-operative Movement in the district of Nadia</v>
      </c>
      <c r="B2" s="1524"/>
      <c r="C2" s="1524"/>
      <c r="D2" s="1524"/>
      <c r="E2" s="1524"/>
      <c r="F2" s="1524"/>
      <c r="G2" s="1524"/>
    </row>
    <row r="3" spans="1:9" ht="15.75" customHeight="1">
      <c r="A3" s="1333" t="s">
        <v>61</v>
      </c>
      <c r="B3" s="1278"/>
      <c r="C3" s="1321" t="s">
        <v>1242</v>
      </c>
      <c r="D3" s="1322"/>
      <c r="E3" s="1262" t="s">
        <v>989</v>
      </c>
      <c r="F3" s="1262" t="s">
        <v>62</v>
      </c>
      <c r="G3" s="1262" t="s">
        <v>1049</v>
      </c>
    </row>
    <row r="4" spans="1:9" ht="39" customHeight="1">
      <c r="A4" s="1334"/>
      <c r="B4" s="1280"/>
      <c r="C4" s="395" t="s">
        <v>146</v>
      </c>
      <c r="D4" s="396" t="s">
        <v>147</v>
      </c>
      <c r="E4" s="1263"/>
      <c r="F4" s="1263"/>
      <c r="G4" s="1263"/>
    </row>
    <row r="5" spans="1:9" ht="15" customHeight="1">
      <c r="A5" s="1414" t="s">
        <v>163</v>
      </c>
      <c r="B5" s="1471"/>
      <c r="C5" s="299" t="s">
        <v>164</v>
      </c>
      <c r="D5" s="224" t="s">
        <v>165</v>
      </c>
      <c r="E5" s="513" t="s">
        <v>166</v>
      </c>
      <c r="F5" s="514" t="s">
        <v>167</v>
      </c>
      <c r="G5" s="515" t="s">
        <v>168</v>
      </c>
    </row>
    <row r="6" spans="1:9" ht="15" customHeight="1">
      <c r="A6" s="715">
        <v>1</v>
      </c>
      <c r="B6" s="716" t="s">
        <v>711</v>
      </c>
      <c r="C6" s="717"/>
      <c r="D6" s="626"/>
      <c r="E6" s="718"/>
      <c r="F6" s="650"/>
      <c r="G6" s="493"/>
    </row>
    <row r="7" spans="1:9" ht="15" customHeight="1">
      <c r="A7" s="596"/>
      <c r="B7" s="45" t="str">
        <f>District!D13</f>
        <v>2009-10</v>
      </c>
      <c r="C7" s="653">
        <v>1</v>
      </c>
      <c r="D7" s="628">
        <v>1118</v>
      </c>
      <c r="E7" s="461">
        <v>4796000</v>
      </c>
      <c r="F7" s="462">
        <v>1410000</v>
      </c>
      <c r="G7" s="628">
        <v>1238531</v>
      </c>
    </row>
    <row r="8" spans="1:9" ht="15" customHeight="1">
      <c r="A8" s="596"/>
      <c r="B8" s="45" t="str">
        <f>District!D14</f>
        <v>2010-11</v>
      </c>
      <c r="C8" s="653">
        <v>1</v>
      </c>
      <c r="D8" s="628">
        <v>1121</v>
      </c>
      <c r="E8" s="461">
        <v>5252600</v>
      </c>
      <c r="F8" s="462">
        <v>1740800</v>
      </c>
      <c r="G8" s="628">
        <v>1386220</v>
      </c>
      <c r="H8" s="6"/>
    </row>
    <row r="9" spans="1:9" ht="15" customHeight="1">
      <c r="A9" s="596"/>
      <c r="B9" s="45" t="str">
        <f>District!D15</f>
        <v>2011-12</v>
      </c>
      <c r="C9" s="653">
        <v>1</v>
      </c>
      <c r="D9" s="628">
        <v>1237</v>
      </c>
      <c r="E9" s="461">
        <v>5593808</v>
      </c>
      <c r="F9" s="462">
        <v>2226659</v>
      </c>
      <c r="G9" s="628">
        <v>368832</v>
      </c>
    </row>
    <row r="10" spans="1:9" ht="15" customHeight="1">
      <c r="A10" s="596"/>
      <c r="B10" s="45" t="str">
        <f>District!D16</f>
        <v>2012-13</v>
      </c>
      <c r="C10" s="653">
        <v>1</v>
      </c>
      <c r="D10" s="628">
        <v>1237</v>
      </c>
      <c r="E10" s="461">
        <v>5777860</v>
      </c>
      <c r="F10" s="462">
        <v>2754870</v>
      </c>
      <c r="G10" s="628">
        <v>2480858</v>
      </c>
    </row>
    <row r="11" spans="1:9" ht="15" customHeight="1">
      <c r="A11" s="596"/>
      <c r="B11" s="45" t="str">
        <f>District!D17</f>
        <v>2013-14</v>
      </c>
      <c r="C11" s="653">
        <v>1</v>
      </c>
      <c r="D11" s="628">
        <v>1237</v>
      </c>
      <c r="E11" s="461">
        <v>7511218</v>
      </c>
      <c r="F11" s="462">
        <v>3581331</v>
      </c>
      <c r="G11" s="628">
        <v>3200307</v>
      </c>
      <c r="I11" s="405" t="s">
        <v>1216</v>
      </c>
    </row>
    <row r="12" spans="1:9" ht="15" customHeight="1">
      <c r="A12" s="523">
        <v>2</v>
      </c>
      <c r="B12" s="719" t="s">
        <v>1421</v>
      </c>
      <c r="C12" s="720"/>
      <c r="D12" s="721"/>
      <c r="E12" s="722"/>
      <c r="F12" s="723"/>
      <c r="G12" s="421"/>
    </row>
    <row r="13" spans="1:9" ht="15" customHeight="1">
      <c r="A13" s="596"/>
      <c r="B13" s="45" t="str">
        <f>District!D13</f>
        <v>2009-10</v>
      </c>
      <c r="C13" s="494">
        <v>1</v>
      </c>
      <c r="D13" s="421">
        <v>24029</v>
      </c>
      <c r="E13" s="464">
        <v>531884</v>
      </c>
      <c r="F13" s="463">
        <v>242084</v>
      </c>
      <c r="G13" s="421">
        <v>50696</v>
      </c>
    </row>
    <row r="14" spans="1:9" ht="15" customHeight="1">
      <c r="A14" s="596"/>
      <c r="B14" s="45" t="str">
        <f>District!D14</f>
        <v>2010-11</v>
      </c>
      <c r="C14" s="494">
        <v>1</v>
      </c>
      <c r="D14" s="421">
        <v>23047</v>
      </c>
      <c r="E14" s="464">
        <v>496375</v>
      </c>
      <c r="F14" s="463">
        <v>235807</v>
      </c>
      <c r="G14" s="421">
        <v>46099</v>
      </c>
    </row>
    <row r="15" spans="1:9" ht="15" customHeight="1">
      <c r="A15" s="596"/>
      <c r="B15" s="45" t="str">
        <f>District!D15</f>
        <v>2011-12</v>
      </c>
      <c r="C15" s="494">
        <v>1</v>
      </c>
      <c r="D15" s="421">
        <v>23047</v>
      </c>
      <c r="E15" s="464">
        <v>446100</v>
      </c>
      <c r="F15" s="463">
        <v>227900</v>
      </c>
      <c r="G15" s="421">
        <v>39985</v>
      </c>
    </row>
    <row r="16" spans="1:9" ht="15" customHeight="1">
      <c r="A16" s="596"/>
      <c r="B16" s="45" t="str">
        <f>District!D16</f>
        <v>2012-13</v>
      </c>
      <c r="C16" s="494">
        <v>1</v>
      </c>
      <c r="D16" s="421">
        <v>23242</v>
      </c>
      <c r="E16" s="464">
        <v>446581</v>
      </c>
      <c r="F16" s="463">
        <v>202421</v>
      </c>
      <c r="G16" s="421">
        <v>39034</v>
      </c>
    </row>
    <row r="17" spans="1:7" ht="15" customHeight="1">
      <c r="A17" s="596"/>
      <c r="B17" s="45" t="str">
        <f>District!D17</f>
        <v>2013-14</v>
      </c>
      <c r="C17" s="494">
        <v>1</v>
      </c>
      <c r="D17" s="421">
        <v>24401</v>
      </c>
      <c r="E17" s="464">
        <v>491239</v>
      </c>
      <c r="F17" s="463">
        <v>222663</v>
      </c>
      <c r="G17" s="421">
        <v>40986</v>
      </c>
    </row>
    <row r="18" spans="1:7" ht="15" customHeight="1">
      <c r="A18" s="523">
        <v>3</v>
      </c>
      <c r="B18" s="1523" t="s">
        <v>1420</v>
      </c>
      <c r="C18" s="1457"/>
      <c r="D18" s="1458"/>
      <c r="E18" s="722"/>
      <c r="F18" s="723"/>
      <c r="G18" s="421"/>
    </row>
    <row r="19" spans="1:7" ht="15" customHeight="1">
      <c r="A19" s="596"/>
      <c r="B19" s="45" t="str">
        <f>District!D13</f>
        <v>2009-10</v>
      </c>
      <c r="C19" s="494">
        <v>353</v>
      </c>
      <c r="D19" s="421">
        <v>249540</v>
      </c>
      <c r="E19" s="464">
        <v>730456</v>
      </c>
      <c r="F19" s="463">
        <v>573827</v>
      </c>
      <c r="G19" s="421">
        <v>559839</v>
      </c>
    </row>
    <row r="20" spans="1:7" ht="15" customHeight="1">
      <c r="A20" s="596"/>
      <c r="B20" s="45" t="str">
        <f>District!D14</f>
        <v>2010-11</v>
      </c>
      <c r="C20" s="494">
        <v>355</v>
      </c>
      <c r="D20" s="421">
        <v>264173</v>
      </c>
      <c r="E20" s="464">
        <v>3393741</v>
      </c>
      <c r="F20" s="463">
        <v>1017614</v>
      </c>
      <c r="G20" s="421">
        <v>593095</v>
      </c>
    </row>
    <row r="21" spans="1:7" ht="15" customHeight="1">
      <c r="A21" s="596"/>
      <c r="B21" s="45" t="str">
        <f>District!D15</f>
        <v>2011-12</v>
      </c>
      <c r="C21" s="494">
        <v>349</v>
      </c>
      <c r="D21" s="421">
        <v>271101</v>
      </c>
      <c r="E21" s="464">
        <v>3887573</v>
      </c>
      <c r="F21" s="463">
        <v>874570</v>
      </c>
      <c r="G21" s="421">
        <v>568407</v>
      </c>
    </row>
    <row r="22" spans="1:7" ht="15" customHeight="1">
      <c r="A22" s="596"/>
      <c r="B22" s="45" t="str">
        <f>District!D16</f>
        <v>2012-13</v>
      </c>
      <c r="C22" s="494">
        <v>349</v>
      </c>
      <c r="D22" s="421">
        <v>274541</v>
      </c>
      <c r="E22" s="464">
        <v>3693699</v>
      </c>
      <c r="F22" s="463">
        <v>1133110</v>
      </c>
      <c r="G22" s="421">
        <v>1002006</v>
      </c>
    </row>
    <row r="23" spans="1:7" ht="15" customHeight="1">
      <c r="A23" s="596"/>
      <c r="B23" s="45" t="str">
        <f>District!D17</f>
        <v>2013-14</v>
      </c>
      <c r="C23" s="494">
        <v>349</v>
      </c>
      <c r="D23" s="421">
        <v>283478</v>
      </c>
      <c r="E23" s="464">
        <v>4063053</v>
      </c>
      <c r="F23" s="463">
        <v>1246421</v>
      </c>
      <c r="G23" s="421">
        <v>1352708</v>
      </c>
    </row>
    <row r="24" spans="1:7" ht="15" customHeight="1">
      <c r="A24" s="523">
        <v>4</v>
      </c>
      <c r="B24" s="719" t="s">
        <v>1423</v>
      </c>
      <c r="C24" s="720"/>
      <c r="D24" s="721"/>
      <c r="E24" s="719"/>
      <c r="F24" s="723"/>
      <c r="G24" s="421"/>
    </row>
    <row r="25" spans="1:7" ht="15" customHeight="1">
      <c r="A25" s="596"/>
      <c r="B25" s="45" t="str">
        <f>District!D13</f>
        <v>2009-10</v>
      </c>
      <c r="C25" s="494">
        <v>189</v>
      </c>
      <c r="D25" s="421">
        <v>55287</v>
      </c>
      <c r="E25" s="464">
        <v>1570663</v>
      </c>
      <c r="F25" s="463">
        <v>232175</v>
      </c>
      <c r="G25" s="46" t="s">
        <v>1170</v>
      </c>
    </row>
    <row r="26" spans="1:7" ht="15" customHeight="1">
      <c r="A26" s="596"/>
      <c r="B26" s="45" t="str">
        <f>District!D14</f>
        <v>2010-11</v>
      </c>
      <c r="C26" s="494">
        <v>196</v>
      </c>
      <c r="D26" s="421">
        <v>73022</v>
      </c>
      <c r="E26" s="464">
        <v>2100424</v>
      </c>
      <c r="F26" s="463">
        <v>718534</v>
      </c>
      <c r="G26" s="421">
        <v>180884</v>
      </c>
    </row>
    <row r="27" spans="1:7" ht="15" customHeight="1">
      <c r="A27" s="596"/>
      <c r="B27" s="45" t="str">
        <f>District!D15</f>
        <v>2011-12</v>
      </c>
      <c r="C27" s="494">
        <v>282</v>
      </c>
      <c r="D27" s="421">
        <v>83441</v>
      </c>
      <c r="E27" s="464">
        <v>3182359</v>
      </c>
      <c r="F27" s="463">
        <v>861166</v>
      </c>
      <c r="G27" s="421">
        <v>106500</v>
      </c>
    </row>
    <row r="28" spans="1:7" ht="15" customHeight="1">
      <c r="A28" s="596"/>
      <c r="B28" s="45" t="str">
        <f>District!D16</f>
        <v>2012-13</v>
      </c>
      <c r="C28" s="494">
        <v>248</v>
      </c>
      <c r="D28" s="421">
        <v>75296</v>
      </c>
      <c r="E28" s="464">
        <v>2552631</v>
      </c>
      <c r="F28" s="463">
        <v>854571</v>
      </c>
      <c r="G28" s="421">
        <v>252743</v>
      </c>
    </row>
    <row r="29" spans="1:7" ht="15" customHeight="1">
      <c r="A29" s="596"/>
      <c r="B29" s="45" t="str">
        <f>District!D17</f>
        <v>2013-14</v>
      </c>
      <c r="C29" s="494">
        <v>289</v>
      </c>
      <c r="D29" s="421">
        <v>88885</v>
      </c>
      <c r="E29" s="464">
        <v>3318420</v>
      </c>
      <c r="F29" s="463">
        <v>1110942</v>
      </c>
      <c r="G29" s="421">
        <v>315929</v>
      </c>
    </row>
    <row r="30" spans="1:7" ht="15" customHeight="1">
      <c r="A30" s="523">
        <v>5</v>
      </c>
      <c r="B30" s="719" t="s">
        <v>715</v>
      </c>
      <c r="C30" s="720"/>
      <c r="D30" s="721"/>
      <c r="E30" s="719"/>
      <c r="F30" s="723"/>
      <c r="G30" s="421"/>
    </row>
    <row r="31" spans="1:7" ht="15" customHeight="1">
      <c r="A31" s="596"/>
      <c r="B31" s="45" t="str">
        <f>District!D13</f>
        <v>2009-10</v>
      </c>
      <c r="C31" s="494">
        <f t="shared" ref="C31:G32" si="0">IF(SUM(C7,C13,C19,C25)=0,"..",SUM(C7,C13,C19,C25))</f>
        <v>544</v>
      </c>
      <c r="D31" s="421">
        <f t="shared" si="0"/>
        <v>329974</v>
      </c>
      <c r="E31" s="464">
        <f t="shared" si="0"/>
        <v>7629003</v>
      </c>
      <c r="F31" s="463">
        <f t="shared" si="0"/>
        <v>2458086</v>
      </c>
      <c r="G31" s="421">
        <f t="shared" si="0"/>
        <v>1849066</v>
      </c>
    </row>
    <row r="32" spans="1:7" ht="15" customHeight="1">
      <c r="A32" s="596"/>
      <c r="B32" s="45" t="str">
        <f>District!D14</f>
        <v>2010-11</v>
      </c>
      <c r="C32" s="494">
        <f t="shared" si="0"/>
        <v>553</v>
      </c>
      <c r="D32" s="421">
        <f t="shared" si="0"/>
        <v>361363</v>
      </c>
      <c r="E32" s="464">
        <f t="shared" si="0"/>
        <v>11243140</v>
      </c>
      <c r="F32" s="463">
        <f t="shared" si="0"/>
        <v>3712755</v>
      </c>
      <c r="G32" s="421">
        <f t="shared" si="0"/>
        <v>2206298</v>
      </c>
    </row>
    <row r="33" spans="1:11" ht="15" customHeight="1">
      <c r="A33" s="596"/>
      <c r="B33" s="45" t="str">
        <f>District!D15</f>
        <v>2011-12</v>
      </c>
      <c r="C33" s="494">
        <f>IF(SUM(C9,C15,C21,C27)=0,"..",SUM(C9,C15,C21,C27))</f>
        <v>633</v>
      </c>
      <c r="D33" s="421">
        <f>IF(SUM(D9,D15,D21,D27)=0,"..",SUM(D9,D15,D21,D27))</f>
        <v>378826</v>
      </c>
      <c r="E33" s="464">
        <f>IF(SUM(E9,E15,E21,E27)=0,"..",SUM(E9,E15,E21,E27))</f>
        <v>13109840</v>
      </c>
      <c r="F33" s="463">
        <f>IF(SUM(F9,F15,F21,F27)=0,"..",SUM(F9,F15,F21,F27))</f>
        <v>4190295</v>
      </c>
      <c r="G33" s="421">
        <f>IF(SUM(G9,G15,G21,G27)=0,"..",SUM(G9,G15,G21,G27))</f>
        <v>1083724</v>
      </c>
    </row>
    <row r="34" spans="1:11" ht="15" customHeight="1">
      <c r="A34" s="596"/>
      <c r="B34" s="45" t="str">
        <f>District!D16</f>
        <v>2012-13</v>
      </c>
      <c r="C34" s="494">
        <f t="shared" ref="C34:G35" si="1">IF(SUM(C10,C16,C22,C28)=0,"..",SUM(C10,C16,C22,C28))</f>
        <v>599</v>
      </c>
      <c r="D34" s="421">
        <f t="shared" si="1"/>
        <v>374316</v>
      </c>
      <c r="E34" s="464">
        <f t="shared" si="1"/>
        <v>12470771</v>
      </c>
      <c r="F34" s="463">
        <f t="shared" si="1"/>
        <v>4944972</v>
      </c>
      <c r="G34" s="421">
        <f t="shared" si="1"/>
        <v>3774641</v>
      </c>
    </row>
    <row r="35" spans="1:11" ht="15" customHeight="1">
      <c r="A35" s="596"/>
      <c r="B35" s="45" t="str">
        <f>District!D17</f>
        <v>2013-14</v>
      </c>
      <c r="C35" s="494">
        <f>IF(SUM(C11,C17,C23,C29)=0,"..",SUM(C11,C17,C23,C29))</f>
        <v>640</v>
      </c>
      <c r="D35" s="421">
        <f t="shared" si="1"/>
        <v>398001</v>
      </c>
      <c r="E35" s="464">
        <f>SUM(E11,E17,E23,E29)</f>
        <v>15383930</v>
      </c>
      <c r="F35" s="463">
        <f t="shared" si="1"/>
        <v>6161357</v>
      </c>
      <c r="G35" s="421">
        <f t="shared" si="1"/>
        <v>4909930</v>
      </c>
    </row>
    <row r="36" spans="1:11" ht="15" customHeight="1">
      <c r="A36" s="523">
        <v>6</v>
      </c>
      <c r="B36" s="719" t="s">
        <v>1424</v>
      </c>
      <c r="C36" s="720"/>
      <c r="D36" s="724"/>
      <c r="E36" s="722"/>
      <c r="F36" s="723"/>
      <c r="G36" s="421"/>
    </row>
    <row r="37" spans="1:11" ht="15" customHeight="1">
      <c r="A37" s="596"/>
      <c r="B37" s="45" t="str">
        <f>District!D13</f>
        <v>2009-10</v>
      </c>
      <c r="C37" s="494">
        <v>582</v>
      </c>
      <c r="D37" s="421">
        <v>20469</v>
      </c>
      <c r="E37" s="464">
        <v>523446</v>
      </c>
      <c r="F37" s="81" t="s">
        <v>643</v>
      </c>
      <c r="G37" s="46" t="s">
        <v>643</v>
      </c>
    </row>
    <row r="38" spans="1:11" ht="15" customHeight="1">
      <c r="A38" s="596"/>
      <c r="B38" s="45" t="str">
        <f>District!D14</f>
        <v>2010-11</v>
      </c>
      <c r="C38" s="494">
        <v>589</v>
      </c>
      <c r="D38" s="421">
        <v>21763</v>
      </c>
      <c r="E38" s="464">
        <v>564863</v>
      </c>
      <c r="F38" s="81" t="s">
        <v>643</v>
      </c>
      <c r="G38" s="46" t="s">
        <v>643</v>
      </c>
    </row>
    <row r="39" spans="1:11" ht="15" customHeight="1">
      <c r="A39" s="596"/>
      <c r="B39" s="45" t="str">
        <f>District!D15</f>
        <v>2011-12</v>
      </c>
      <c r="C39" s="494">
        <v>583</v>
      </c>
      <c r="D39" s="421">
        <v>15773</v>
      </c>
      <c r="E39" s="464">
        <v>308853</v>
      </c>
      <c r="F39" s="81" t="s">
        <v>643</v>
      </c>
      <c r="G39" s="46" t="s">
        <v>643</v>
      </c>
    </row>
    <row r="40" spans="1:11" ht="15" customHeight="1">
      <c r="A40" s="596"/>
      <c r="B40" s="45" t="str">
        <f>District!D16</f>
        <v>2012-13</v>
      </c>
      <c r="C40" s="494">
        <v>603</v>
      </c>
      <c r="D40" s="421">
        <v>22958</v>
      </c>
      <c r="E40" s="464">
        <v>634517</v>
      </c>
      <c r="F40" s="81" t="s">
        <v>643</v>
      </c>
      <c r="G40" s="46" t="s">
        <v>643</v>
      </c>
    </row>
    <row r="41" spans="1:11" ht="15" customHeight="1">
      <c r="A41" s="596"/>
      <c r="B41" s="45" t="str">
        <f>District!D17</f>
        <v>2013-14</v>
      </c>
      <c r="C41" s="494">
        <v>610</v>
      </c>
      <c r="D41" s="421">
        <v>17046</v>
      </c>
      <c r="E41" s="464">
        <v>659898</v>
      </c>
      <c r="F41" s="81" t="s">
        <v>643</v>
      </c>
      <c r="G41" s="46" t="s">
        <v>643</v>
      </c>
    </row>
    <row r="42" spans="1:11" ht="15" customHeight="1">
      <c r="A42" s="523">
        <v>7</v>
      </c>
      <c r="B42" s="719" t="s">
        <v>717</v>
      </c>
      <c r="C42" s="720"/>
      <c r="D42" s="721"/>
      <c r="E42" s="719"/>
      <c r="F42" s="723"/>
      <c r="G42" s="421"/>
      <c r="K42" s="405" t="s">
        <v>1609</v>
      </c>
    </row>
    <row r="43" spans="1:11" ht="15" customHeight="1">
      <c r="A43" s="643"/>
      <c r="B43" s="108" t="str">
        <f>District!D13</f>
        <v>2009-10</v>
      </c>
      <c r="C43" s="494">
        <f t="shared" ref="C43:G44" si="2">IF(SUM(C31,C37)=0,"..",SUM(C31,C37))</f>
        <v>1126</v>
      </c>
      <c r="D43" s="464">
        <f t="shared" si="2"/>
        <v>350443</v>
      </c>
      <c r="E43" s="463">
        <f t="shared" si="2"/>
        <v>8152449</v>
      </c>
      <c r="F43" s="463">
        <f t="shared" si="2"/>
        <v>2458086</v>
      </c>
      <c r="G43" s="421">
        <f t="shared" si="2"/>
        <v>1849066</v>
      </c>
    </row>
    <row r="44" spans="1:11" ht="15" customHeight="1">
      <c r="A44" s="643"/>
      <c r="B44" s="108" t="str">
        <f>District!D14</f>
        <v>2010-11</v>
      </c>
      <c r="C44" s="494">
        <f t="shared" si="2"/>
        <v>1142</v>
      </c>
      <c r="D44" s="464">
        <f t="shared" si="2"/>
        <v>383126</v>
      </c>
      <c r="E44" s="463">
        <f t="shared" si="2"/>
        <v>11808003</v>
      </c>
      <c r="F44" s="463">
        <f t="shared" si="2"/>
        <v>3712755</v>
      </c>
      <c r="G44" s="421">
        <f t="shared" si="2"/>
        <v>2206298</v>
      </c>
    </row>
    <row r="45" spans="1:11" ht="15" customHeight="1">
      <c r="A45" s="643"/>
      <c r="B45" s="108" t="str">
        <f>District!D15</f>
        <v>2011-12</v>
      </c>
      <c r="C45" s="494">
        <f>IF(SUM(C33,C39)=0,"..",SUM(C33,C39))</f>
        <v>1216</v>
      </c>
      <c r="D45" s="464">
        <f>IF(SUM(D33,D39)=0,"..",SUM(D33,D39))</f>
        <v>394599</v>
      </c>
      <c r="E45" s="463">
        <f>IF(SUM(E33,E39)=0,"..",SUM(E33,E39))</f>
        <v>13418693</v>
      </c>
      <c r="F45" s="463">
        <f>IF(SUM(F33,F39)=0,"..",SUM(F33,F39))</f>
        <v>4190295</v>
      </c>
      <c r="G45" s="421">
        <f>IF(SUM(G33,G39)=0,"..",SUM(G33,G39))</f>
        <v>1083724</v>
      </c>
    </row>
    <row r="46" spans="1:11" ht="15" customHeight="1">
      <c r="A46" s="643"/>
      <c r="B46" s="108" t="str">
        <f>District!D16</f>
        <v>2012-13</v>
      </c>
      <c r="C46" s="494">
        <f t="shared" ref="C46:G47" si="3">IF(SUM(C34,C40)=0,"..",SUM(C34,C40))</f>
        <v>1202</v>
      </c>
      <c r="D46" s="464">
        <f t="shared" si="3"/>
        <v>397274</v>
      </c>
      <c r="E46" s="463">
        <f t="shared" si="3"/>
        <v>13105288</v>
      </c>
      <c r="F46" s="463">
        <f t="shared" si="3"/>
        <v>4944972</v>
      </c>
      <c r="G46" s="421">
        <f t="shared" si="3"/>
        <v>3774641</v>
      </c>
    </row>
    <row r="47" spans="1:11" ht="15" customHeight="1">
      <c r="A47" s="648"/>
      <c r="B47" s="127" t="str">
        <f>District!D17</f>
        <v>2013-14</v>
      </c>
      <c r="C47" s="467">
        <f t="shared" si="3"/>
        <v>1250</v>
      </c>
      <c r="D47" s="464">
        <f t="shared" si="3"/>
        <v>415047</v>
      </c>
      <c r="E47" s="463">
        <f t="shared" si="3"/>
        <v>16043828</v>
      </c>
      <c r="F47" s="463">
        <f t="shared" si="3"/>
        <v>6161357</v>
      </c>
      <c r="G47" s="421">
        <f t="shared" si="3"/>
        <v>4909930</v>
      </c>
    </row>
    <row r="48" spans="1:11">
      <c r="B48" s="725"/>
      <c r="C48" s="725"/>
      <c r="D48" s="725"/>
      <c r="E48" s="725"/>
      <c r="F48" s="725"/>
      <c r="G48" s="617" t="s">
        <v>63</v>
      </c>
    </row>
  </sheetData>
  <mergeCells count="9">
    <mergeCell ref="B18:D18"/>
    <mergeCell ref="A1:G1"/>
    <mergeCell ref="A5:B5"/>
    <mergeCell ref="G3:G4"/>
    <mergeCell ref="A2:G2"/>
    <mergeCell ref="E3:E4"/>
    <mergeCell ref="A3:B4"/>
    <mergeCell ref="C3:D3"/>
    <mergeCell ref="F3:F4"/>
  </mergeCells>
  <phoneticPr fontId="0" type="noConversion"/>
  <conditionalFormatting sqref="A1:K1048576 L1:L30 L34:L42 L47:L65536 M1:IV1048576">
    <cfRule type="cellIs" dxfId="8" priority="1" stopIfTrue="1" operator="equal">
      <formula>".."</formula>
    </cfRule>
  </conditionalFormatting>
  <printOptions horizontalCentered="1"/>
  <pageMargins left="0.15" right="0.1" top="0.76" bottom="0.1" header="0.32" footer="0.1"/>
  <pageSetup paperSize="9" orientation="portrait" blackAndWhite="1" r:id="rId1"/>
  <headerFooter alignWithMargins="0"/>
</worksheet>
</file>

<file path=xl/worksheets/sheet57.xml><?xml version="1.0" encoding="utf-8"?>
<worksheet xmlns="http://schemas.openxmlformats.org/spreadsheetml/2006/main" xmlns:r="http://schemas.openxmlformats.org/officeDocument/2006/relationships">
  <dimension ref="A1:AH37"/>
  <sheetViews>
    <sheetView topLeftCell="A13" workbookViewId="0">
      <selection activeCell="Q11" sqref="Q11"/>
    </sheetView>
  </sheetViews>
  <sheetFormatPr defaultRowHeight="12.75"/>
  <cols>
    <col min="1" max="1" width="7.42578125" style="405" customWidth="1"/>
    <col min="2" max="2" width="11.7109375" style="405" customWidth="1"/>
    <col min="3" max="3" width="5.140625" style="405" customWidth="1"/>
    <col min="4" max="4" width="7" style="405" customWidth="1"/>
    <col min="5" max="5" width="7.7109375" style="405" customWidth="1"/>
    <col min="6" max="6" width="8.140625" style="405" customWidth="1"/>
    <col min="7" max="7" width="5" style="405" customWidth="1"/>
    <col min="8" max="8" width="7.140625" style="405" customWidth="1"/>
    <col min="9" max="9" width="7.5703125" style="405" customWidth="1"/>
    <col min="10" max="10" width="8" style="405" customWidth="1"/>
    <col min="11" max="11" width="5" style="405" customWidth="1"/>
    <col min="12" max="12" width="7.42578125" style="405" customWidth="1"/>
    <col min="13" max="13" width="7.7109375" style="405" customWidth="1"/>
    <col min="14" max="14" width="8.7109375" style="405" customWidth="1"/>
    <col min="15" max="15" width="5.5703125" style="405" customWidth="1"/>
    <col min="16" max="16" width="6.85546875" style="405" customWidth="1"/>
    <col min="17" max="17" width="7.5703125" style="405" customWidth="1"/>
    <col min="18" max="18" width="8" style="405" customWidth="1"/>
    <col min="19" max="19" width="9.7109375" style="405" customWidth="1"/>
    <col min="20" max="20" width="11.5703125" style="405" customWidth="1"/>
    <col min="21" max="21" width="0" style="405" hidden="1" customWidth="1"/>
    <col min="22" max="22" width="9.140625" style="405"/>
    <col min="23" max="23" width="14.7109375" style="405" customWidth="1"/>
    <col min="24" max="16384" width="9.140625" style="405"/>
  </cols>
  <sheetData>
    <row r="1" spans="1:34" ht="15" customHeight="1">
      <c r="A1" s="432"/>
      <c r="B1" s="1250" t="s">
        <v>472</v>
      </c>
      <c r="C1" s="1250"/>
      <c r="D1" s="1250"/>
      <c r="E1" s="1250"/>
      <c r="F1" s="1250"/>
      <c r="G1" s="1250"/>
      <c r="H1" s="1250"/>
      <c r="I1" s="1250"/>
      <c r="J1" s="1250"/>
      <c r="K1" s="1250"/>
      <c r="L1" s="1250"/>
      <c r="M1" s="1250"/>
      <c r="N1" s="1250"/>
      <c r="O1" s="1250"/>
      <c r="P1" s="1250"/>
      <c r="Q1" s="1250"/>
      <c r="R1" s="1250"/>
      <c r="S1" s="1250"/>
    </row>
    <row r="2" spans="1:34" s="412" customFormat="1" ht="15.75" customHeight="1">
      <c r="A2" s="433"/>
      <c r="B2" s="1355" t="str">
        <f>CONCATENATE("Progress of Commercial Banking in the district of ",District!A1)</f>
        <v>Progress of Commercial Banking in the district of Nadia</v>
      </c>
      <c r="C2" s="1355"/>
      <c r="D2" s="1355"/>
      <c r="E2" s="1355"/>
      <c r="F2" s="1355"/>
      <c r="G2" s="1355"/>
      <c r="H2" s="1355"/>
      <c r="I2" s="1355"/>
      <c r="J2" s="1355"/>
      <c r="K2" s="1355"/>
      <c r="L2" s="1355"/>
      <c r="M2" s="1355"/>
      <c r="N2" s="1355"/>
      <c r="O2" s="1355"/>
      <c r="P2" s="1355"/>
      <c r="Q2" s="1355"/>
      <c r="R2" s="1355"/>
      <c r="S2" s="1355"/>
    </row>
    <row r="3" spans="1:34" ht="12" customHeight="1">
      <c r="A3" s="435"/>
      <c r="B3" s="533"/>
      <c r="C3" s="406"/>
      <c r="D3" s="406"/>
      <c r="E3" s="406"/>
      <c r="F3" s="406"/>
      <c r="G3" s="406"/>
      <c r="H3" s="406"/>
      <c r="I3" s="406"/>
      <c r="J3" s="406"/>
      <c r="K3" s="406"/>
      <c r="L3" s="406"/>
      <c r="M3" s="406"/>
      <c r="N3" s="406"/>
      <c r="O3" s="406"/>
      <c r="P3" s="406"/>
      <c r="Q3" s="406"/>
      <c r="R3" s="406"/>
      <c r="S3" s="726"/>
    </row>
    <row r="4" spans="1:34" ht="19.5" customHeight="1">
      <c r="A4" s="433"/>
      <c r="B4" s="1538" t="s">
        <v>239</v>
      </c>
      <c r="C4" s="1540" t="s">
        <v>251</v>
      </c>
      <c r="D4" s="1541"/>
      <c r="E4" s="1541"/>
      <c r="F4" s="1542"/>
      <c r="G4" s="1321" t="s">
        <v>1050</v>
      </c>
      <c r="H4" s="1471"/>
      <c r="I4" s="1471"/>
      <c r="J4" s="1322"/>
      <c r="K4" s="1321" t="s">
        <v>719</v>
      </c>
      <c r="L4" s="1471"/>
      <c r="M4" s="1471"/>
      <c r="N4" s="1322"/>
      <c r="O4" s="1321" t="s">
        <v>210</v>
      </c>
      <c r="P4" s="1471"/>
      <c r="Q4" s="1471"/>
      <c r="R4" s="1322"/>
      <c r="S4" s="1291" t="s">
        <v>1231</v>
      </c>
    </row>
    <row r="5" spans="1:34" ht="39" customHeight="1">
      <c r="A5" s="433"/>
      <c r="B5" s="1539"/>
      <c r="C5" s="727" t="s">
        <v>1499</v>
      </c>
      <c r="D5" s="727" t="s">
        <v>410</v>
      </c>
      <c r="E5" s="727" t="s">
        <v>411</v>
      </c>
      <c r="F5" s="727" t="s">
        <v>1500</v>
      </c>
      <c r="G5" s="727" t="s">
        <v>1499</v>
      </c>
      <c r="H5" s="727" t="s">
        <v>410</v>
      </c>
      <c r="I5" s="727" t="s">
        <v>411</v>
      </c>
      <c r="J5" s="727" t="s">
        <v>1500</v>
      </c>
      <c r="K5" s="727" t="s">
        <v>1499</v>
      </c>
      <c r="L5" s="727" t="s">
        <v>410</v>
      </c>
      <c r="M5" s="727" t="s">
        <v>411</v>
      </c>
      <c r="N5" s="727" t="s">
        <v>1500</v>
      </c>
      <c r="O5" s="727" t="s">
        <v>1499</v>
      </c>
      <c r="P5" s="727" t="s">
        <v>410</v>
      </c>
      <c r="Q5" s="727" t="s">
        <v>411</v>
      </c>
      <c r="R5" s="727" t="s">
        <v>1500</v>
      </c>
      <c r="S5" s="1292"/>
    </row>
    <row r="6" spans="1:34" ht="18" customHeight="1">
      <c r="A6" s="433"/>
      <c r="B6" s="225" t="s">
        <v>163</v>
      </c>
      <c r="C6" s="225" t="s">
        <v>164</v>
      </c>
      <c r="D6" s="224" t="s">
        <v>165</v>
      </c>
      <c r="E6" s="224" t="s">
        <v>166</v>
      </c>
      <c r="F6" s="224" t="s">
        <v>167</v>
      </c>
      <c r="G6" s="224" t="s">
        <v>168</v>
      </c>
      <c r="H6" s="225" t="s">
        <v>169</v>
      </c>
      <c r="I6" s="224" t="s">
        <v>211</v>
      </c>
      <c r="J6" s="481" t="s">
        <v>212</v>
      </c>
      <c r="K6" s="225" t="s">
        <v>213</v>
      </c>
      <c r="L6" s="224" t="s">
        <v>214</v>
      </c>
      <c r="M6" s="224" t="s">
        <v>253</v>
      </c>
      <c r="N6" s="224" t="s">
        <v>254</v>
      </c>
      <c r="O6" s="224" t="s">
        <v>255</v>
      </c>
      <c r="P6" s="224" t="s">
        <v>256</v>
      </c>
      <c r="Q6" s="224" t="s">
        <v>257</v>
      </c>
      <c r="R6" s="224" t="s">
        <v>262</v>
      </c>
      <c r="S6" s="224" t="s">
        <v>264</v>
      </c>
    </row>
    <row r="7" spans="1:34" ht="21" customHeight="1">
      <c r="A7" s="433"/>
      <c r="B7" s="81">
        <f>District!C13</f>
        <v>2010</v>
      </c>
      <c r="C7" s="81">
        <v>111</v>
      </c>
      <c r="D7" s="46">
        <v>1723</v>
      </c>
      <c r="E7" s="46">
        <v>601</v>
      </c>
      <c r="F7" s="109">
        <v>34.880000000000003</v>
      </c>
      <c r="G7" s="46">
        <v>73</v>
      </c>
      <c r="H7" s="81">
        <v>2696</v>
      </c>
      <c r="I7" s="46">
        <v>645</v>
      </c>
      <c r="J7" s="46">
        <v>23.92</v>
      </c>
      <c r="K7" s="81">
        <v>32</v>
      </c>
      <c r="L7" s="46">
        <v>1434</v>
      </c>
      <c r="M7" s="191">
        <v>404</v>
      </c>
      <c r="N7" s="46">
        <v>28.16</v>
      </c>
      <c r="O7" s="46">
        <f>SUM(C7,G7,K7)</f>
        <v>216</v>
      </c>
      <c r="P7" s="81">
        <f>SUM(D7,H7,L7,)</f>
        <v>5853</v>
      </c>
      <c r="Q7" s="197">
        <f>SUM(E7,I7,M7,)</f>
        <v>1650</v>
      </c>
      <c r="R7" s="241">
        <v>28.19</v>
      </c>
      <c r="S7" s="81" t="s">
        <v>724</v>
      </c>
    </row>
    <row r="8" spans="1:34" ht="21.75" customHeight="1">
      <c r="A8" s="433"/>
      <c r="B8" s="81">
        <f>District!C14</f>
        <v>2011</v>
      </c>
      <c r="C8" s="81">
        <v>112</v>
      </c>
      <c r="D8" s="46">
        <v>2080</v>
      </c>
      <c r="E8" s="46">
        <v>671</v>
      </c>
      <c r="F8" s="109">
        <v>32.200000000000003</v>
      </c>
      <c r="G8" s="81">
        <v>77</v>
      </c>
      <c r="H8" s="46">
        <v>3384</v>
      </c>
      <c r="I8" s="46">
        <v>734</v>
      </c>
      <c r="J8" s="109">
        <v>21.7</v>
      </c>
      <c r="K8" s="46">
        <v>35</v>
      </c>
      <c r="L8" s="81">
        <v>1693</v>
      </c>
      <c r="M8" s="191">
        <v>467</v>
      </c>
      <c r="N8" s="109">
        <v>27.6</v>
      </c>
      <c r="O8" s="81">
        <f>SUM(C8,G8,K8)</f>
        <v>224</v>
      </c>
      <c r="P8" s="45">
        <f>SUM(D8,H8,L8,)</f>
        <v>7157</v>
      </c>
      <c r="Q8" s="197">
        <v>1871</v>
      </c>
      <c r="R8" s="241">
        <v>26.1</v>
      </c>
      <c r="S8" s="81">
        <f>ROUND('2.2'!$D$36/1000/'7.2,7.3'!O8,0)</f>
        <v>23</v>
      </c>
    </row>
    <row r="9" spans="1:34" ht="21" customHeight="1">
      <c r="A9" s="433"/>
      <c r="B9" s="81">
        <f>District!C15</f>
        <v>2012</v>
      </c>
      <c r="C9" s="81">
        <v>122</v>
      </c>
      <c r="D9" s="46">
        <v>2597</v>
      </c>
      <c r="E9" s="46">
        <v>803</v>
      </c>
      <c r="F9" s="109">
        <f>E9/D9*100</f>
        <v>30.920292645360032</v>
      </c>
      <c r="G9" s="81">
        <v>85</v>
      </c>
      <c r="H9" s="81">
        <v>4237</v>
      </c>
      <c r="I9" s="46">
        <v>843</v>
      </c>
      <c r="J9" s="109">
        <f>I9/H9*100</f>
        <v>19.896152938399812</v>
      </c>
      <c r="K9" s="81">
        <v>40</v>
      </c>
      <c r="L9" s="46">
        <v>2076</v>
      </c>
      <c r="M9" s="191">
        <v>526</v>
      </c>
      <c r="N9" s="109">
        <f>M9/L9*100</f>
        <v>25.337186897880535</v>
      </c>
      <c r="O9" s="81">
        <f>SUM(C9,G9,K9)</f>
        <v>247</v>
      </c>
      <c r="P9" s="45">
        <f>SUM(D9,H9,L9,)</f>
        <v>8910</v>
      </c>
      <c r="Q9" s="197">
        <f>SUM(E9,I9,M9,)</f>
        <v>2172</v>
      </c>
      <c r="R9" s="109">
        <f>Q9/P9*100</f>
        <v>24.377104377104377</v>
      </c>
      <c r="S9" s="81">
        <f>ROUND('2.2'!$D$36/1000/'7.2,7.3'!O9,0)</f>
        <v>21</v>
      </c>
    </row>
    <row r="10" spans="1:34" s="619" customFormat="1" ht="21" customHeight="1">
      <c r="A10" s="433"/>
      <c r="B10" s="81">
        <f>District!C16</f>
        <v>2013</v>
      </c>
      <c r="C10" s="108">
        <v>130</v>
      </c>
      <c r="D10" s="108">
        <v>3083</v>
      </c>
      <c r="E10" s="108">
        <v>931</v>
      </c>
      <c r="F10" s="332">
        <f>E10/D10*100</f>
        <v>30.197859228024654</v>
      </c>
      <c r="G10" s="108">
        <v>95</v>
      </c>
      <c r="H10" s="108">
        <v>5088</v>
      </c>
      <c r="I10" s="108">
        <v>951</v>
      </c>
      <c r="J10" s="332">
        <f>I10/H10*100</f>
        <v>18.691037735849054</v>
      </c>
      <c r="K10" s="108">
        <v>44</v>
      </c>
      <c r="L10" s="108">
        <v>2566</v>
      </c>
      <c r="M10" s="247">
        <v>573</v>
      </c>
      <c r="N10" s="332">
        <f>M10/L10*100</f>
        <v>22.330475448168354</v>
      </c>
      <c r="O10" s="81">
        <f>SUM(C10,G10,K10)</f>
        <v>269</v>
      </c>
      <c r="P10" s="45">
        <f>SUM(D10,H10,L10,)</f>
        <v>10737</v>
      </c>
      <c r="Q10" s="197">
        <f>SUM(E10,I10,M10,)</f>
        <v>2455</v>
      </c>
      <c r="R10" s="332">
        <f>Q10/P10*100</f>
        <v>22.864859830492691</v>
      </c>
      <c r="S10" s="81">
        <f>ROUND('2.2'!$D$36/1000/'7.2,7.3'!O10,0)</f>
        <v>19</v>
      </c>
      <c r="T10" s="450"/>
      <c r="U10" s="450"/>
      <c r="V10" s="450"/>
      <c r="W10" s="450"/>
      <c r="X10" s="450"/>
      <c r="Y10" s="450"/>
      <c r="Z10" s="450"/>
      <c r="AA10" s="450"/>
      <c r="AB10" s="450"/>
      <c r="AC10" s="450"/>
      <c r="AD10" s="450"/>
      <c r="AE10" s="450"/>
      <c r="AF10" s="450"/>
      <c r="AG10" s="450"/>
      <c r="AH10" s="450"/>
    </row>
    <row r="11" spans="1:34" s="450" customFormat="1" ht="21" customHeight="1">
      <c r="A11" s="728"/>
      <c r="B11" s="129">
        <f>District!C17</f>
        <v>2014</v>
      </c>
      <c r="C11" s="129">
        <v>141</v>
      </c>
      <c r="D11" s="129">
        <v>3829</v>
      </c>
      <c r="E11" s="129">
        <v>1012</v>
      </c>
      <c r="F11" s="160">
        <f>E11/D11*100</f>
        <v>26.429877252546358</v>
      </c>
      <c r="G11" s="129">
        <v>106</v>
      </c>
      <c r="H11" s="129">
        <v>6072</v>
      </c>
      <c r="I11" s="129">
        <v>2154</v>
      </c>
      <c r="J11" s="160">
        <f>I11/H11*100</f>
        <v>35.474308300395258</v>
      </c>
      <c r="K11" s="129">
        <v>46</v>
      </c>
      <c r="L11" s="129">
        <v>2938</v>
      </c>
      <c r="M11" s="234">
        <v>620</v>
      </c>
      <c r="N11" s="160">
        <f>M11/L11*100</f>
        <v>21.102791014295438</v>
      </c>
      <c r="O11" s="129">
        <f>SUM(C11,G11,K11)</f>
        <v>293</v>
      </c>
      <c r="P11" s="129">
        <f>SUM(D11,H11,L11,)</f>
        <v>12839</v>
      </c>
      <c r="Q11" s="234">
        <f>SUM(E11,I11,M11,)</f>
        <v>3786</v>
      </c>
      <c r="R11" s="160">
        <f>Q11/P11*100</f>
        <v>29.488277903263494</v>
      </c>
      <c r="S11" s="129">
        <f>ROUND('2.2'!$D$36/1000/'7.2,7.3'!O11,0)</f>
        <v>18</v>
      </c>
      <c r="U11" s="450" t="e">
        <f>ROUND('2.2'!#REF!/(O11*1000),0)</f>
        <v>#REF!</v>
      </c>
    </row>
    <row r="12" spans="1:34" ht="12.75" customHeight="1">
      <c r="A12" s="433"/>
      <c r="B12" s="280" t="s">
        <v>385</v>
      </c>
      <c r="C12" s="18" t="s">
        <v>727</v>
      </c>
      <c r="D12" s="18"/>
      <c r="E12" s="18"/>
      <c r="F12" s="18"/>
      <c r="G12" s="18"/>
      <c r="H12" s="18"/>
      <c r="I12" s="18"/>
      <c r="J12" s="18"/>
      <c r="K12" s="18"/>
      <c r="L12" s="18"/>
      <c r="M12" s="729" t="s">
        <v>1105</v>
      </c>
      <c r="N12" s="1532" t="s">
        <v>1378</v>
      </c>
      <c r="O12" s="1532"/>
      <c r="P12" s="1532"/>
      <c r="Q12" s="1532"/>
      <c r="R12" s="1532"/>
      <c r="S12" s="1532"/>
    </row>
    <row r="13" spans="1:34">
      <c r="A13" s="433"/>
      <c r="B13" s="18"/>
      <c r="C13" s="18" t="s">
        <v>728</v>
      </c>
      <c r="D13" s="18"/>
      <c r="E13" s="18"/>
      <c r="F13" s="18"/>
      <c r="G13" s="18"/>
      <c r="H13" s="18"/>
      <c r="I13" s="18"/>
      <c r="J13" s="18"/>
      <c r="K13" s="18"/>
      <c r="L13" s="18"/>
      <c r="M13" s="561"/>
      <c r="N13" s="1532"/>
      <c r="O13" s="1532"/>
      <c r="P13" s="1532"/>
      <c r="Q13" s="1532"/>
      <c r="R13" s="1532"/>
      <c r="S13" s="1532"/>
    </row>
    <row r="14" spans="1:34">
      <c r="A14" s="433"/>
      <c r="B14" s="18"/>
      <c r="C14" s="18" t="s">
        <v>729</v>
      </c>
      <c r="D14" s="18"/>
      <c r="E14" s="18"/>
      <c r="F14" s="730"/>
      <c r="G14" s="730"/>
      <c r="H14" s="731"/>
      <c r="I14" s="731"/>
      <c r="J14" s="732"/>
      <c r="K14" s="30"/>
      <c r="L14" s="18"/>
      <c r="M14" s="18"/>
      <c r="N14" s="1532"/>
      <c r="O14" s="1532"/>
      <c r="P14" s="1532"/>
      <c r="Q14" s="1532"/>
      <c r="R14" s="1532"/>
      <c r="S14" s="1532"/>
    </row>
    <row r="15" spans="1:34">
      <c r="A15" s="433"/>
      <c r="B15" s="18"/>
      <c r="C15" s="18" t="s">
        <v>1116</v>
      </c>
      <c r="D15" s="18"/>
      <c r="E15" s="18"/>
      <c r="F15" s="18"/>
      <c r="G15" s="18"/>
      <c r="H15" s="18"/>
      <c r="I15" s="18"/>
      <c r="J15" s="18"/>
      <c r="K15" s="18"/>
      <c r="L15" s="18"/>
      <c r="M15" s="18"/>
      <c r="N15" s="18"/>
      <c r="O15" s="18"/>
      <c r="P15" s="18"/>
      <c r="Q15" s="18"/>
      <c r="R15" s="18"/>
      <c r="S15" s="18"/>
    </row>
    <row r="16" spans="1:34" ht="13.5">
      <c r="A16" s="433"/>
      <c r="B16" s="377" t="s">
        <v>725</v>
      </c>
      <c r="C16" s="282"/>
      <c r="D16" s="733"/>
      <c r="E16" s="701"/>
      <c r="F16" s="18"/>
      <c r="G16" s="18"/>
      <c r="H16" s="18"/>
      <c r="I16" s="18"/>
      <c r="J16" s="18"/>
      <c r="K16" s="18"/>
      <c r="L16" s="18"/>
      <c r="M16" s="18"/>
      <c r="N16" s="18"/>
      <c r="O16" s="18"/>
      <c r="P16" s="18"/>
      <c r="Q16" s="18"/>
      <c r="R16" s="18"/>
      <c r="S16" s="18"/>
    </row>
    <row r="17" spans="1:21">
      <c r="A17" s="433"/>
      <c r="B17" s="376" t="s">
        <v>726</v>
      </c>
      <c r="C17" s="376"/>
      <c r="D17" s="376"/>
      <c r="E17" s="376"/>
      <c r="F17" s="376"/>
      <c r="G17" s="376"/>
      <c r="H17" s="376"/>
      <c r="I17" s="18"/>
      <c r="J17" s="18"/>
      <c r="K17" s="18"/>
      <c r="L17" s="18"/>
      <c r="M17" s="18"/>
      <c r="N17" s="18"/>
      <c r="O17" s="18"/>
      <c r="P17" s="18"/>
      <c r="Q17" s="18"/>
      <c r="R17" s="18"/>
      <c r="S17" s="18"/>
    </row>
    <row r="18" spans="1:21">
      <c r="A18" s="433"/>
      <c r="B18" s="331"/>
      <c r="C18" s="331"/>
      <c r="D18" s="331"/>
      <c r="E18" s="331"/>
      <c r="F18" s="331"/>
      <c r="G18" s="331"/>
      <c r="H18" s="331"/>
      <c r="I18" s="18"/>
      <c r="J18" s="18"/>
      <c r="K18" s="18"/>
      <c r="L18" s="18"/>
      <c r="M18" s="18"/>
      <c r="N18" s="18"/>
      <c r="O18" s="18"/>
      <c r="P18" s="18"/>
      <c r="Q18" s="18"/>
      <c r="R18" s="18"/>
      <c r="S18" s="18"/>
    </row>
    <row r="19" spans="1:21" ht="12" customHeight="1">
      <c r="A19" s="433"/>
      <c r="B19" s="282"/>
      <c r="C19" s="1261" t="s">
        <v>500</v>
      </c>
      <c r="D19" s="1261"/>
      <c r="E19" s="1261"/>
      <c r="F19" s="1261"/>
      <c r="G19" s="1261"/>
      <c r="H19" s="1261"/>
      <c r="I19" s="1261"/>
      <c r="J19" s="1261"/>
      <c r="K19" s="1261"/>
      <c r="L19" s="1261"/>
      <c r="M19" s="1261"/>
      <c r="N19" s="1261"/>
      <c r="O19" s="1261"/>
      <c r="P19" s="1261"/>
      <c r="Q19" s="1261"/>
      <c r="R19" s="1261"/>
      <c r="S19" s="734"/>
      <c r="T19" s="734"/>
      <c r="U19" s="734"/>
    </row>
    <row r="20" spans="1:21" s="412" customFormat="1" ht="16.5" customHeight="1">
      <c r="A20" s="433"/>
      <c r="B20" s="405"/>
      <c r="C20" s="1534" t="str">
        <f>CONCATENATE("Progress of L.I.C. in the district of ",District!A1)</f>
        <v>Progress of L.I.C. in the district of Nadia</v>
      </c>
      <c r="D20" s="1534"/>
      <c r="E20" s="1534"/>
      <c r="F20" s="1534"/>
      <c r="G20" s="1534"/>
      <c r="H20" s="1534"/>
      <c r="I20" s="1534"/>
      <c r="J20" s="1534"/>
      <c r="K20" s="1534"/>
      <c r="L20" s="1534"/>
      <c r="M20" s="1534"/>
      <c r="N20" s="1534"/>
      <c r="O20" s="1534"/>
      <c r="P20" s="1534"/>
      <c r="Q20" s="1534"/>
      <c r="R20" s="1534"/>
    </row>
    <row r="21" spans="1:21" ht="15" customHeight="1">
      <c r="A21" s="435"/>
      <c r="B21" s="412"/>
      <c r="C21" s="1340" t="s">
        <v>107</v>
      </c>
      <c r="D21" s="1535"/>
      <c r="E21" s="1253" t="s">
        <v>730</v>
      </c>
      <c r="F21" s="1251"/>
      <c r="G21" s="1251"/>
      <c r="H21" s="1251"/>
      <c r="I21" s="1252"/>
      <c r="J21" s="1253" t="s">
        <v>1644</v>
      </c>
      <c r="K21" s="1251"/>
      <c r="L21" s="1251"/>
      <c r="M21" s="1251"/>
      <c r="N21" s="1252"/>
      <c r="O21" s="1253" t="s">
        <v>731</v>
      </c>
      <c r="P21" s="1251"/>
      <c r="Q21" s="1251"/>
      <c r="R21" s="1252"/>
      <c r="S21" s="45"/>
    </row>
    <row r="22" spans="1:21" ht="41.25" customHeight="1">
      <c r="A22" s="433"/>
      <c r="C22" s="1536"/>
      <c r="D22" s="1537"/>
      <c r="E22" s="1321" t="s">
        <v>1477</v>
      </c>
      <c r="F22" s="1322"/>
      <c r="G22" s="1308" t="s">
        <v>1478</v>
      </c>
      <c r="H22" s="1290"/>
      <c r="I22" s="1290"/>
      <c r="J22" s="1321" t="s">
        <v>733</v>
      </c>
      <c r="K22" s="1471"/>
      <c r="L22" s="1322"/>
      <c r="M22" s="1321" t="s">
        <v>238</v>
      </c>
      <c r="N22" s="1322"/>
      <c r="O22" s="1321" t="s">
        <v>1476</v>
      </c>
      <c r="P22" s="1529"/>
      <c r="Q22" s="1321" t="s">
        <v>1479</v>
      </c>
      <c r="R22" s="1322"/>
      <c r="S22" s="45"/>
    </row>
    <row r="23" spans="1:21" ht="15" customHeight="1">
      <c r="A23" s="433"/>
      <c r="C23" s="1259" t="s">
        <v>163</v>
      </c>
      <c r="D23" s="1327"/>
      <c r="E23" s="1259" t="s">
        <v>164</v>
      </c>
      <c r="F23" s="1260"/>
      <c r="G23" s="1327" t="s">
        <v>165</v>
      </c>
      <c r="H23" s="1327"/>
      <c r="I23" s="1327"/>
      <c r="J23" s="1259" t="s">
        <v>166</v>
      </c>
      <c r="K23" s="1327"/>
      <c r="L23" s="1260"/>
      <c r="M23" s="1327" t="s">
        <v>167</v>
      </c>
      <c r="N23" s="1327"/>
      <c r="O23" s="1259" t="s">
        <v>168</v>
      </c>
      <c r="P23" s="1260"/>
      <c r="Q23" s="1259" t="s">
        <v>169</v>
      </c>
      <c r="R23" s="1260"/>
      <c r="S23" s="352"/>
    </row>
    <row r="24" spans="1:21" ht="19.5" customHeight="1">
      <c r="A24" s="433"/>
      <c r="C24" s="1268" t="str">
        <f>District!D13</f>
        <v>2009-10</v>
      </c>
      <c r="D24" s="1266"/>
      <c r="E24" s="1410">
        <v>154045</v>
      </c>
      <c r="F24" s="1411"/>
      <c r="G24" s="1410">
        <v>1376.78</v>
      </c>
      <c r="H24" s="1533"/>
      <c r="I24" s="1411"/>
      <c r="J24" s="1410">
        <v>1296014</v>
      </c>
      <c r="K24" s="1533"/>
      <c r="L24" s="1411"/>
      <c r="M24" s="1268">
        <v>2704963</v>
      </c>
      <c r="N24" s="1266"/>
      <c r="O24" s="1410">
        <v>24108</v>
      </c>
      <c r="P24" s="1411"/>
      <c r="Q24" s="1410">
        <v>356448</v>
      </c>
      <c r="R24" s="1411"/>
      <c r="S24" s="464"/>
    </row>
    <row r="25" spans="1:21" ht="19.5" customHeight="1">
      <c r="A25" s="433"/>
      <c r="C25" s="1351" t="str">
        <f>District!D14</f>
        <v>2010-11</v>
      </c>
      <c r="D25" s="1398"/>
      <c r="E25" s="1244">
        <v>143252</v>
      </c>
      <c r="F25" s="1245"/>
      <c r="G25" s="1526">
        <v>1556.97</v>
      </c>
      <c r="H25" s="1527"/>
      <c r="I25" s="1528"/>
      <c r="J25" s="1545">
        <v>1233215</v>
      </c>
      <c r="K25" s="1550"/>
      <c r="L25" s="1546"/>
      <c r="M25" s="1530">
        <v>2942391</v>
      </c>
      <c r="N25" s="1531"/>
      <c r="O25" s="1244">
        <v>20933</v>
      </c>
      <c r="P25" s="1245"/>
      <c r="Q25" s="1545">
        <v>374194</v>
      </c>
      <c r="R25" s="1546"/>
      <c r="S25" s="464"/>
    </row>
    <row r="26" spans="1:21" ht="19.5" customHeight="1">
      <c r="A26" s="433"/>
      <c r="C26" s="1351" t="str">
        <f>District!D15</f>
        <v>2011-12</v>
      </c>
      <c r="D26" s="1398"/>
      <c r="E26" s="1244">
        <v>115220</v>
      </c>
      <c r="F26" s="1245"/>
      <c r="G26" s="1526">
        <v>536</v>
      </c>
      <c r="H26" s="1527"/>
      <c r="I26" s="1528"/>
      <c r="J26" s="1545">
        <v>918743</v>
      </c>
      <c r="K26" s="1550"/>
      <c r="L26" s="1546"/>
      <c r="M26" s="1530">
        <v>2977942</v>
      </c>
      <c r="N26" s="1531"/>
      <c r="O26" s="1244">
        <v>20449</v>
      </c>
      <c r="P26" s="1245"/>
      <c r="Q26" s="1545">
        <v>420134</v>
      </c>
      <c r="R26" s="1546"/>
      <c r="S26" s="464"/>
    </row>
    <row r="27" spans="1:21" ht="19.5" customHeight="1">
      <c r="A27" s="433"/>
      <c r="C27" s="1351" t="str">
        <f>District!D16</f>
        <v>2012-13</v>
      </c>
      <c r="D27" s="1398"/>
      <c r="E27" s="1244">
        <v>102583</v>
      </c>
      <c r="F27" s="1245"/>
      <c r="G27" s="1527">
        <v>1122.23</v>
      </c>
      <c r="H27" s="1527"/>
      <c r="I27" s="1527"/>
      <c r="J27" s="1545">
        <v>890381</v>
      </c>
      <c r="K27" s="1550"/>
      <c r="L27" s="1546"/>
      <c r="M27" s="1530">
        <v>3212723</v>
      </c>
      <c r="N27" s="1531"/>
      <c r="O27" s="1244">
        <v>21472</v>
      </c>
      <c r="P27" s="1245"/>
      <c r="Q27" s="1545">
        <v>1302886</v>
      </c>
      <c r="R27" s="1546"/>
      <c r="S27" s="464"/>
    </row>
    <row r="28" spans="1:21" ht="19.5" customHeight="1">
      <c r="A28" s="433"/>
      <c r="C28" s="1399" t="str">
        <f>District!D17</f>
        <v>2013-14</v>
      </c>
      <c r="D28" s="1290"/>
      <c r="E28" s="1246">
        <v>111383</v>
      </c>
      <c r="F28" s="1247"/>
      <c r="G28" s="1525">
        <v>775</v>
      </c>
      <c r="H28" s="1525"/>
      <c r="I28" s="1525"/>
      <c r="J28" s="1543">
        <v>871677.18</v>
      </c>
      <c r="K28" s="1549"/>
      <c r="L28" s="1544"/>
      <c r="M28" s="1547">
        <v>3474898</v>
      </c>
      <c r="N28" s="1548"/>
      <c r="O28" s="1246">
        <v>24677</v>
      </c>
      <c r="P28" s="1247"/>
      <c r="Q28" s="1543">
        <v>624164</v>
      </c>
      <c r="R28" s="1544"/>
      <c r="S28" s="464"/>
    </row>
    <row r="29" spans="1:21" ht="12" customHeight="1">
      <c r="A29" s="433"/>
      <c r="D29" s="5"/>
      <c r="G29" s="45"/>
      <c r="H29" s="45"/>
      <c r="K29" s="243" t="s">
        <v>1105</v>
      </c>
      <c r="L29" s="1303" t="s">
        <v>990</v>
      </c>
      <c r="M29" s="1303"/>
      <c r="N29" s="1303"/>
      <c r="O29" s="1303"/>
      <c r="P29" s="1303"/>
      <c r="Q29" s="1303"/>
      <c r="R29" s="1303"/>
    </row>
    <row r="30" spans="1:21" ht="11.25" customHeight="1">
      <c r="A30" s="433"/>
      <c r="J30" s="736"/>
      <c r="K30" s="736"/>
      <c r="L30" s="1304"/>
      <c r="M30" s="1304"/>
      <c r="N30" s="1304"/>
      <c r="O30" s="1304"/>
      <c r="P30" s="1304"/>
      <c r="Q30" s="1304"/>
      <c r="R30" s="1304"/>
      <c r="S30" s="737"/>
    </row>
    <row r="31" spans="1:21">
      <c r="P31" s="737"/>
      <c r="Q31" s="737"/>
      <c r="R31" s="737"/>
      <c r="S31" s="737"/>
    </row>
    <row r="37" spans="23:23">
      <c r="W37" s="738"/>
    </row>
  </sheetData>
  <mergeCells count="64">
    <mergeCell ref="G23:I23"/>
    <mergeCell ref="Q28:R28"/>
    <mergeCell ref="Q26:R26"/>
    <mergeCell ref="Q27:R27"/>
    <mergeCell ref="L29:R30"/>
    <mergeCell ref="O27:P27"/>
    <mergeCell ref="O28:P28"/>
    <mergeCell ref="M27:N27"/>
    <mergeCell ref="M28:N28"/>
    <mergeCell ref="J28:L28"/>
    <mergeCell ref="J26:L26"/>
    <mergeCell ref="J27:L27"/>
    <mergeCell ref="M26:N26"/>
    <mergeCell ref="O26:P26"/>
    <mergeCell ref="Q25:R25"/>
    <mergeCell ref="J25:L25"/>
    <mergeCell ref="B1:S1"/>
    <mergeCell ref="S4:S5"/>
    <mergeCell ref="B4:B5"/>
    <mergeCell ref="B2:S2"/>
    <mergeCell ref="C4:F4"/>
    <mergeCell ref="G4:J4"/>
    <mergeCell ref="K4:N4"/>
    <mergeCell ref="O4:R4"/>
    <mergeCell ref="N12:S14"/>
    <mergeCell ref="J22:L22"/>
    <mergeCell ref="J23:L23"/>
    <mergeCell ref="E24:F24"/>
    <mergeCell ref="G24:I24"/>
    <mergeCell ref="J24:L24"/>
    <mergeCell ref="Q23:R23"/>
    <mergeCell ref="Q22:R22"/>
    <mergeCell ref="O21:R21"/>
    <mergeCell ref="J21:N21"/>
    <mergeCell ref="C19:R19"/>
    <mergeCell ref="C24:D24"/>
    <mergeCell ref="C20:R20"/>
    <mergeCell ref="M22:N22"/>
    <mergeCell ref="C21:D22"/>
    <mergeCell ref="C23:D23"/>
    <mergeCell ref="O23:P23"/>
    <mergeCell ref="M23:N23"/>
    <mergeCell ref="O22:P22"/>
    <mergeCell ref="Q24:R24"/>
    <mergeCell ref="O25:P25"/>
    <mergeCell ref="M25:N25"/>
    <mergeCell ref="M24:N24"/>
    <mergeCell ref="O24:P24"/>
    <mergeCell ref="C28:D28"/>
    <mergeCell ref="E28:F28"/>
    <mergeCell ref="E27:F27"/>
    <mergeCell ref="C27:D27"/>
    <mergeCell ref="E21:I21"/>
    <mergeCell ref="G28:I28"/>
    <mergeCell ref="C25:D25"/>
    <mergeCell ref="E22:F22"/>
    <mergeCell ref="E23:F23"/>
    <mergeCell ref="C26:D26"/>
    <mergeCell ref="E26:F26"/>
    <mergeCell ref="G26:I26"/>
    <mergeCell ref="E25:F25"/>
    <mergeCell ref="G27:I27"/>
    <mergeCell ref="G25:I25"/>
    <mergeCell ref="G22:I22"/>
  </mergeCells>
  <phoneticPr fontId="0" type="noConversion"/>
  <pageMargins left="0.1" right="0.1" top="0.35" bottom="0.16" header="0.11" footer="0.16"/>
  <pageSetup paperSize="9" orientation="landscape" blackAndWhite="1" r:id="rId1"/>
  <headerFooter alignWithMargins="0"/>
</worksheet>
</file>

<file path=xl/worksheets/sheet58.xml><?xml version="1.0" encoding="utf-8"?>
<worksheet xmlns="http://schemas.openxmlformats.org/spreadsheetml/2006/main" xmlns:r="http://schemas.openxmlformats.org/officeDocument/2006/relationships">
  <dimension ref="A1:M51"/>
  <sheetViews>
    <sheetView topLeftCell="A10" workbookViewId="0">
      <selection activeCell="I15" sqref="I15"/>
    </sheetView>
  </sheetViews>
  <sheetFormatPr defaultRowHeight="12.75"/>
  <cols>
    <col min="1" max="1" width="20.42578125" style="405" customWidth="1"/>
    <col min="2" max="6" width="13.42578125" style="405" customWidth="1"/>
    <col min="7" max="16384" width="9.140625" style="405"/>
  </cols>
  <sheetData>
    <row r="1" spans="1:13">
      <c r="A1" s="1250" t="s">
        <v>474</v>
      </c>
      <c r="B1" s="1250"/>
      <c r="C1" s="1250"/>
      <c r="D1" s="1250"/>
      <c r="E1" s="1250"/>
      <c r="F1" s="1250"/>
    </row>
    <row r="2" spans="1:13" s="412" customFormat="1" ht="50.25" customHeight="1">
      <c r="A2" s="1297" t="str">
        <f>CONCATENATE("Micro &amp; Small Scale Enterprises with corresponding Employment 
in the district of ",District!A1)</f>
        <v>Micro &amp; Small Scale Enterprises with corresponding Employment 
in the district of Nadia</v>
      </c>
      <c r="B2" s="1297"/>
      <c r="C2" s="1297"/>
      <c r="D2" s="1297"/>
      <c r="E2" s="1297"/>
      <c r="F2" s="1297"/>
    </row>
    <row r="3" spans="1:13" ht="14.25" customHeight="1">
      <c r="A3" s="412"/>
      <c r="B3" s="16"/>
      <c r="D3" s="20"/>
      <c r="E3" s="450"/>
      <c r="F3" s="491" t="s">
        <v>223</v>
      </c>
    </row>
    <row r="4" spans="1:13" ht="18" customHeight="1">
      <c r="A4" s="1333" t="s">
        <v>229</v>
      </c>
      <c r="B4" s="1278"/>
      <c r="C4" s="1253" t="s">
        <v>108</v>
      </c>
      <c r="D4" s="1252"/>
      <c r="E4" s="1253" t="s">
        <v>735</v>
      </c>
      <c r="F4" s="1252"/>
    </row>
    <row r="5" spans="1:13" ht="18" customHeight="1">
      <c r="A5" s="1334"/>
      <c r="B5" s="1280"/>
      <c r="C5" s="246" t="s">
        <v>399</v>
      </c>
      <c r="D5" s="246" t="s">
        <v>401</v>
      </c>
      <c r="E5" s="246" t="s">
        <v>399</v>
      </c>
      <c r="F5" s="221" t="s">
        <v>401</v>
      </c>
    </row>
    <row r="6" spans="1:13" ht="14.25" customHeight="1">
      <c r="A6" s="1259" t="s">
        <v>163</v>
      </c>
      <c r="B6" s="1327"/>
      <c r="C6" s="299" t="s">
        <v>164</v>
      </c>
      <c r="D6" s="299" t="s">
        <v>165</v>
      </c>
      <c r="E6" s="739" t="s">
        <v>166</v>
      </c>
      <c r="F6" s="225" t="s">
        <v>167</v>
      </c>
      <c r="H6" s="464"/>
      <c r="I6" s="464"/>
      <c r="J6" s="487"/>
      <c r="K6" s="464"/>
    </row>
    <row r="7" spans="1:13" s="412" customFormat="1" ht="21.75" customHeight="1">
      <c r="A7" s="1268" t="str">
        <f>District!D13</f>
        <v>2009-10</v>
      </c>
      <c r="B7" s="1266"/>
      <c r="C7" s="465">
        <v>367</v>
      </c>
      <c r="D7" s="108">
        <v>1398</v>
      </c>
      <c r="E7" s="465">
        <v>4503</v>
      </c>
      <c r="F7" s="204">
        <v>13656</v>
      </c>
      <c r="G7" s="405"/>
      <c r="H7" s="464"/>
      <c r="I7" s="464"/>
      <c r="J7" s="740"/>
      <c r="K7" s="464"/>
      <c r="L7" s="511"/>
      <c r="M7" s="511"/>
    </row>
    <row r="8" spans="1:13" ht="21.75" customHeight="1">
      <c r="A8" s="1351" t="str">
        <f>District!D14</f>
        <v>2010-11</v>
      </c>
      <c r="B8" s="1398"/>
      <c r="C8" s="463">
        <v>330</v>
      </c>
      <c r="D8" s="108">
        <v>1728</v>
      </c>
      <c r="E8" s="463">
        <v>3520</v>
      </c>
      <c r="F8" s="81">
        <v>17176</v>
      </c>
      <c r="H8" s="469"/>
      <c r="I8" s="469"/>
      <c r="J8" s="607"/>
      <c r="K8" s="469"/>
    </row>
    <row r="9" spans="1:13" ht="21.75" customHeight="1">
      <c r="A9" s="1351" t="str">
        <f>District!D15</f>
        <v>2011-12</v>
      </c>
      <c r="B9" s="1398"/>
      <c r="C9" s="463">
        <v>714</v>
      </c>
      <c r="D9" s="108">
        <v>2442</v>
      </c>
      <c r="E9" s="463">
        <v>4871</v>
      </c>
      <c r="F9" s="81">
        <v>22047</v>
      </c>
      <c r="H9" s="469"/>
      <c r="I9" s="469"/>
      <c r="J9" s="741"/>
      <c r="K9" s="469"/>
    </row>
    <row r="10" spans="1:13" ht="21.75" customHeight="1">
      <c r="A10" s="1351" t="str">
        <f>District!D16</f>
        <v>2012-13</v>
      </c>
      <c r="B10" s="1398"/>
      <c r="C10" s="463">
        <v>768</v>
      </c>
      <c r="D10" s="108">
        <f>SUM(D9,C10)</f>
        <v>3210</v>
      </c>
      <c r="E10" s="463">
        <v>5349</v>
      </c>
      <c r="F10" s="81">
        <f>SUM(F9,E10)</f>
        <v>27396</v>
      </c>
      <c r="H10" s="614"/>
      <c r="I10" s="614"/>
      <c r="J10" s="614"/>
      <c r="K10" s="45"/>
      <c r="L10" s="45"/>
    </row>
    <row r="11" spans="1:13" ht="21.75" customHeight="1">
      <c r="A11" s="1399" t="str">
        <f>District!D17</f>
        <v>2013-14</v>
      </c>
      <c r="B11" s="1325"/>
      <c r="C11" s="468">
        <v>861</v>
      </c>
      <c r="D11" s="127">
        <v>4071</v>
      </c>
      <c r="E11" s="468">
        <v>6311</v>
      </c>
      <c r="F11" s="129">
        <v>33707</v>
      </c>
      <c r="H11" s="614"/>
      <c r="I11" s="614"/>
      <c r="J11" s="614"/>
      <c r="K11" s="45"/>
      <c r="L11" s="45"/>
    </row>
    <row r="12" spans="1:13" ht="14.1" customHeight="1">
      <c r="A12" s="287"/>
      <c r="B12" s="287"/>
      <c r="C12" s="729" t="s">
        <v>1105</v>
      </c>
      <c r="D12" s="1551" t="s">
        <v>1051</v>
      </c>
      <c r="E12" s="1551"/>
      <c r="F12" s="1551"/>
      <c r="H12" s="614"/>
      <c r="I12" s="614"/>
      <c r="J12" s="614"/>
      <c r="K12" s="45"/>
      <c r="L12" s="45"/>
    </row>
    <row r="13" spans="1:13" ht="15.75" customHeight="1">
      <c r="A13" s="289"/>
      <c r="B13" s="289"/>
      <c r="C13" s="18"/>
      <c r="D13" s="1532"/>
      <c r="E13" s="1532"/>
      <c r="F13" s="1532"/>
      <c r="H13" s="614"/>
      <c r="I13" s="614"/>
      <c r="J13" s="614"/>
      <c r="K13" s="45"/>
      <c r="L13" s="45"/>
    </row>
    <row r="14" spans="1:13" ht="12" customHeight="1">
      <c r="A14" s="289"/>
      <c r="B14" s="289"/>
      <c r="C14" s="18"/>
      <c r="D14" s="742"/>
      <c r="E14" s="742"/>
      <c r="F14" s="742"/>
    </row>
    <row r="15" spans="1:13">
      <c r="A15" s="1250" t="s">
        <v>473</v>
      </c>
      <c r="B15" s="1250"/>
      <c r="C15" s="1250"/>
      <c r="D15" s="1250"/>
      <c r="E15" s="1250"/>
      <c r="F15" s="1250"/>
    </row>
    <row r="16" spans="1:13" s="412" customFormat="1" ht="16.5">
      <c r="A16" s="1350" t="str">
        <f>CONCATENATE("Mouzas Electrified in the district of ",District!A1)</f>
        <v>Mouzas Electrified in the district of Nadia</v>
      </c>
      <c r="B16" s="1350"/>
      <c r="C16" s="1350"/>
      <c r="D16" s="1350"/>
      <c r="E16" s="1350"/>
      <c r="F16" s="1350"/>
    </row>
    <row r="17" spans="1:6">
      <c r="A17" s="412"/>
      <c r="B17" s="436"/>
      <c r="C17" s="436"/>
      <c r="D17" s="436"/>
      <c r="E17" s="436"/>
      <c r="F17" s="451" t="s">
        <v>223</v>
      </c>
    </row>
    <row r="18" spans="1:6" ht="15" customHeight="1">
      <c r="A18" s="1262" t="s">
        <v>240</v>
      </c>
      <c r="B18" s="1251" t="s">
        <v>1615</v>
      </c>
      <c r="C18" s="1251"/>
      <c r="D18" s="1251"/>
      <c r="E18" s="1251"/>
      <c r="F18" s="1252"/>
    </row>
    <row r="19" spans="1:6" ht="15" customHeight="1">
      <c r="A19" s="1263"/>
      <c r="B19" s="393">
        <f>District!C7</f>
        <v>2010</v>
      </c>
      <c r="C19" s="393">
        <f>District!D7</f>
        <v>2011</v>
      </c>
      <c r="D19" s="393">
        <f>District!E7</f>
        <v>2012</v>
      </c>
      <c r="E19" s="393">
        <f>District!F7</f>
        <v>2013</v>
      </c>
      <c r="F19" s="393">
        <f>District!G7</f>
        <v>2014</v>
      </c>
    </row>
    <row r="20" spans="1:6" ht="14.1" customHeight="1">
      <c r="A20" s="299" t="s">
        <v>163</v>
      </c>
      <c r="B20" s="225" t="s">
        <v>164</v>
      </c>
      <c r="C20" s="225" t="s">
        <v>165</v>
      </c>
      <c r="D20" s="224" t="s">
        <v>166</v>
      </c>
      <c r="E20" s="208" t="s">
        <v>167</v>
      </c>
      <c r="F20" s="208" t="s">
        <v>168</v>
      </c>
    </row>
    <row r="21" spans="1:6" ht="18" customHeight="1">
      <c r="A21" s="140" t="s">
        <v>336</v>
      </c>
      <c r="B21" s="193">
        <f>SUM(B22:B25)</f>
        <v>220</v>
      </c>
      <c r="C21" s="193">
        <f>SUM(C22:C25)</f>
        <v>220</v>
      </c>
      <c r="D21" s="193">
        <f>SUM(D22:D25)</f>
        <v>220</v>
      </c>
      <c r="E21" s="193">
        <f>SUM(E22:E25)</f>
        <v>220</v>
      </c>
      <c r="F21" s="193">
        <f>SUM(F22:F25)</f>
        <v>220</v>
      </c>
    </row>
    <row r="22" spans="1:6" ht="18" customHeight="1">
      <c r="A22" s="743" t="s">
        <v>1118</v>
      </c>
      <c r="B22" s="463">
        <v>64</v>
      </c>
      <c r="C22" s="463">
        <v>64</v>
      </c>
      <c r="D22" s="463">
        <v>64</v>
      </c>
      <c r="E22" s="463">
        <v>64</v>
      </c>
      <c r="F22" s="463">
        <v>64</v>
      </c>
    </row>
    <row r="23" spans="1:6" ht="18" customHeight="1">
      <c r="A23" s="743" t="s">
        <v>1119</v>
      </c>
      <c r="B23" s="463">
        <v>68</v>
      </c>
      <c r="C23" s="463">
        <v>68</v>
      </c>
      <c r="D23" s="463">
        <v>68</v>
      </c>
      <c r="E23" s="463">
        <v>68</v>
      </c>
      <c r="F23" s="463">
        <v>68</v>
      </c>
    </row>
    <row r="24" spans="1:6" ht="18" customHeight="1">
      <c r="A24" s="743" t="s">
        <v>1121</v>
      </c>
      <c r="B24" s="463">
        <v>56</v>
      </c>
      <c r="C24" s="463">
        <v>56</v>
      </c>
      <c r="D24" s="463">
        <v>56</v>
      </c>
      <c r="E24" s="463">
        <v>56</v>
      </c>
      <c r="F24" s="463">
        <v>56</v>
      </c>
    </row>
    <row r="25" spans="1:6" ht="18" customHeight="1">
      <c r="A25" s="743" t="s">
        <v>1120</v>
      </c>
      <c r="B25" s="463">
        <v>32</v>
      </c>
      <c r="C25" s="463">
        <v>32</v>
      </c>
      <c r="D25" s="463">
        <v>32</v>
      </c>
      <c r="E25" s="463">
        <v>32</v>
      </c>
      <c r="F25" s="463">
        <v>32</v>
      </c>
    </row>
    <row r="26" spans="1:6" ht="18" customHeight="1">
      <c r="A26" s="720" t="s">
        <v>1241</v>
      </c>
      <c r="B26" s="118">
        <f>SUM(B27:B33)</f>
        <v>487</v>
      </c>
      <c r="C26" s="118">
        <f>SUM(C27:C33)</f>
        <v>487</v>
      </c>
      <c r="D26" s="118">
        <f>SUM(D27:D33)</f>
        <v>487</v>
      </c>
      <c r="E26" s="118">
        <f>SUM(E27:E33)</f>
        <v>487</v>
      </c>
      <c r="F26" s="118">
        <f>SUM(F27:F33)</f>
        <v>487</v>
      </c>
    </row>
    <row r="27" spans="1:6" ht="18" customHeight="1">
      <c r="A27" s="743" t="s">
        <v>1122</v>
      </c>
      <c r="B27" s="463">
        <v>107</v>
      </c>
      <c r="C27" s="463">
        <v>107</v>
      </c>
      <c r="D27" s="463">
        <v>107</v>
      </c>
      <c r="E27" s="463">
        <v>107</v>
      </c>
      <c r="F27" s="463">
        <v>107</v>
      </c>
    </row>
    <row r="28" spans="1:6" ht="18" customHeight="1">
      <c r="A28" s="743" t="s">
        <v>1123</v>
      </c>
      <c r="B28" s="463">
        <v>100</v>
      </c>
      <c r="C28" s="463">
        <v>100</v>
      </c>
      <c r="D28" s="463">
        <v>100</v>
      </c>
      <c r="E28" s="463">
        <v>100</v>
      </c>
      <c r="F28" s="463">
        <v>100</v>
      </c>
    </row>
    <row r="29" spans="1:6" ht="18" customHeight="1">
      <c r="A29" s="743" t="s">
        <v>1124</v>
      </c>
      <c r="B29" s="463">
        <v>78</v>
      </c>
      <c r="C29" s="463">
        <v>78</v>
      </c>
      <c r="D29" s="463">
        <v>78</v>
      </c>
      <c r="E29" s="463">
        <v>78</v>
      </c>
      <c r="F29" s="463">
        <v>78</v>
      </c>
    </row>
    <row r="30" spans="1:6" ht="18" customHeight="1">
      <c r="A30" s="743" t="s">
        <v>1125</v>
      </c>
      <c r="B30" s="463">
        <v>52</v>
      </c>
      <c r="C30" s="463">
        <v>52</v>
      </c>
      <c r="D30" s="463">
        <v>52</v>
      </c>
      <c r="E30" s="463">
        <v>52</v>
      </c>
      <c r="F30" s="463">
        <v>52</v>
      </c>
    </row>
    <row r="31" spans="1:6" ht="18" customHeight="1">
      <c r="A31" s="743" t="s">
        <v>1126</v>
      </c>
      <c r="B31" s="463">
        <v>85</v>
      </c>
      <c r="C31" s="463">
        <v>85</v>
      </c>
      <c r="D31" s="463">
        <v>85</v>
      </c>
      <c r="E31" s="463">
        <v>85</v>
      </c>
      <c r="F31" s="463">
        <v>85</v>
      </c>
    </row>
    <row r="32" spans="1:6" ht="18" customHeight="1">
      <c r="A32" s="743" t="s">
        <v>1128</v>
      </c>
      <c r="B32" s="463">
        <v>42</v>
      </c>
      <c r="C32" s="463">
        <v>42</v>
      </c>
      <c r="D32" s="463">
        <v>42</v>
      </c>
      <c r="E32" s="463">
        <v>42</v>
      </c>
      <c r="F32" s="463">
        <v>42</v>
      </c>
    </row>
    <row r="33" spans="1:6" ht="18" customHeight="1">
      <c r="A33" s="743" t="s">
        <v>90</v>
      </c>
      <c r="B33" s="463">
        <v>23</v>
      </c>
      <c r="C33" s="463">
        <v>23</v>
      </c>
      <c r="D33" s="463">
        <v>23</v>
      </c>
      <c r="E33" s="463">
        <v>23</v>
      </c>
      <c r="F33" s="463">
        <v>23</v>
      </c>
    </row>
    <row r="34" spans="1:6" ht="18" customHeight="1">
      <c r="A34" s="720" t="s">
        <v>805</v>
      </c>
      <c r="B34" s="118">
        <f>SUM(B35:B38)</f>
        <v>310</v>
      </c>
      <c r="C34" s="118">
        <f>SUM(C35:C38)</f>
        <v>310</v>
      </c>
      <c r="D34" s="118">
        <f>SUM(D35:D38)</f>
        <v>310</v>
      </c>
      <c r="E34" s="118">
        <f>SUM(E35:E38)</f>
        <v>310</v>
      </c>
      <c r="F34" s="118">
        <f>SUM(F35:F38)</f>
        <v>310</v>
      </c>
    </row>
    <row r="35" spans="1:6" ht="18" customHeight="1">
      <c r="A35" s="743" t="s">
        <v>1131</v>
      </c>
      <c r="B35" s="463">
        <v>64</v>
      </c>
      <c r="C35" s="463">
        <v>64</v>
      </c>
      <c r="D35" s="463">
        <v>64</v>
      </c>
      <c r="E35" s="463">
        <v>64</v>
      </c>
      <c r="F35" s="463">
        <v>64</v>
      </c>
    </row>
    <row r="36" spans="1:6" ht="18" customHeight="1">
      <c r="A36" s="743" t="s">
        <v>1134</v>
      </c>
      <c r="B36" s="463">
        <v>78</v>
      </c>
      <c r="C36" s="463">
        <v>78</v>
      </c>
      <c r="D36" s="463">
        <v>78</v>
      </c>
      <c r="E36" s="463">
        <v>78</v>
      </c>
      <c r="F36" s="463">
        <v>78</v>
      </c>
    </row>
    <row r="37" spans="1:6" ht="18" customHeight="1">
      <c r="A37" s="743" t="s">
        <v>1623</v>
      </c>
      <c r="B37" s="463">
        <v>64</v>
      </c>
      <c r="C37" s="463">
        <v>64</v>
      </c>
      <c r="D37" s="463">
        <v>64</v>
      </c>
      <c r="E37" s="463">
        <v>64</v>
      </c>
      <c r="F37" s="463">
        <v>64</v>
      </c>
    </row>
    <row r="38" spans="1:6" ht="18" customHeight="1">
      <c r="A38" s="743" t="s">
        <v>714</v>
      </c>
      <c r="B38" s="463">
        <v>104</v>
      </c>
      <c r="C38" s="463">
        <v>104</v>
      </c>
      <c r="D38" s="463">
        <v>104</v>
      </c>
      <c r="E38" s="463">
        <v>104</v>
      </c>
      <c r="F38" s="463">
        <v>104</v>
      </c>
    </row>
    <row r="39" spans="1:6" ht="18" customHeight="1">
      <c r="A39" s="720" t="s">
        <v>1265</v>
      </c>
      <c r="B39" s="118">
        <f>SUM(B40:B41)</f>
        <v>215</v>
      </c>
      <c r="C39" s="118">
        <f>SUM(C40:C41)</f>
        <v>215</v>
      </c>
      <c r="D39" s="118">
        <f>SUM(D40:D41)</f>
        <v>215</v>
      </c>
      <c r="E39" s="118">
        <f>SUM(E40:E41)</f>
        <v>215</v>
      </c>
      <c r="F39" s="118">
        <f>SUM(F40:F41)</f>
        <v>215</v>
      </c>
    </row>
    <row r="40" spans="1:6" ht="18" customHeight="1">
      <c r="A40" s="743" t="s">
        <v>769</v>
      </c>
      <c r="B40" s="463">
        <v>130</v>
      </c>
      <c r="C40" s="463">
        <v>130</v>
      </c>
      <c r="D40" s="463">
        <v>130</v>
      </c>
      <c r="E40" s="463">
        <v>130</v>
      </c>
      <c r="F40" s="463">
        <v>130</v>
      </c>
    </row>
    <row r="41" spans="1:6" ht="18" customHeight="1">
      <c r="A41" s="743" t="s">
        <v>772</v>
      </c>
      <c r="B41" s="463">
        <v>85</v>
      </c>
      <c r="C41" s="463">
        <v>85</v>
      </c>
      <c r="D41" s="463">
        <v>85</v>
      </c>
      <c r="E41" s="463">
        <v>85</v>
      </c>
      <c r="F41" s="463">
        <v>85</v>
      </c>
    </row>
    <row r="42" spans="1:6" s="6" customFormat="1" ht="15.95" customHeight="1">
      <c r="A42" s="490" t="s">
        <v>210</v>
      </c>
      <c r="B42" s="305">
        <f>SUM(B21,B26,B34,B39)</f>
        <v>1232</v>
      </c>
      <c r="C42" s="305">
        <f>SUM(C21,C26,C34,C39)</f>
        <v>1232</v>
      </c>
      <c r="D42" s="305">
        <f>SUM(D21,D26,D34,D39)</f>
        <v>1232</v>
      </c>
      <c r="E42" s="305">
        <f>SUM(E21,E26,E34,E39)</f>
        <v>1232</v>
      </c>
      <c r="F42" s="305">
        <f>SUM(F21,F26,F34,F39)</f>
        <v>1232</v>
      </c>
    </row>
    <row r="43" spans="1:6" ht="12.75" customHeight="1">
      <c r="B43" s="560"/>
      <c r="D43" s="744"/>
      <c r="E43" s="744"/>
      <c r="F43" s="745" t="str">
        <f>CONCATENATE("Source : Divisional Engineer, ",District!A16," Constn.(D) Div., W.B.S.E.D.C.L.")</f>
        <v>Source : Divisional Engineer, Krishnanagar(M) Constn.(D) Div., W.B.S.E.D.C.L.</v>
      </c>
    </row>
    <row r="44" spans="1:6">
      <c r="C44" s="701"/>
      <c r="D44" s="701"/>
      <c r="E44" s="701"/>
      <c r="F44" s="701"/>
    </row>
    <row r="51" spans="1:6">
      <c r="A51" s="45"/>
      <c r="B51" s="464"/>
      <c r="C51" s="464"/>
      <c r="D51" s="464"/>
      <c r="E51" s="464"/>
      <c r="F51" s="464"/>
    </row>
  </sheetData>
  <mergeCells count="16">
    <mergeCell ref="B18:F18"/>
    <mergeCell ref="A18:A19"/>
    <mergeCell ref="A10:B10"/>
    <mergeCell ref="A16:F16"/>
    <mergeCell ref="A15:F15"/>
    <mergeCell ref="D12:F13"/>
    <mergeCell ref="A11:B11"/>
    <mergeCell ref="A1:F1"/>
    <mergeCell ref="A2:F2"/>
    <mergeCell ref="E4:F4"/>
    <mergeCell ref="A9:B9"/>
    <mergeCell ref="C4:D4"/>
    <mergeCell ref="A6:B6"/>
    <mergeCell ref="A4:B5"/>
    <mergeCell ref="A7:B7"/>
    <mergeCell ref="A8:B8"/>
  </mergeCells>
  <phoneticPr fontId="0" type="noConversion"/>
  <printOptions horizontalCentered="1"/>
  <pageMargins left="0.1" right="0.1" top="0.55000000000000004" bottom="0.1" header="0.48" footer="0.1"/>
  <pageSetup paperSize="9" orientation="portrait" blackAndWhite="1" r:id="rId1"/>
  <headerFooter alignWithMargins="0"/>
</worksheet>
</file>

<file path=xl/worksheets/sheet59.xml><?xml version="1.0" encoding="utf-8"?>
<worksheet xmlns="http://schemas.openxmlformats.org/spreadsheetml/2006/main" xmlns:r="http://schemas.openxmlformats.org/officeDocument/2006/relationships">
  <dimension ref="B1:L18"/>
  <sheetViews>
    <sheetView workbookViewId="0">
      <selection activeCell="I31" sqref="I31"/>
    </sheetView>
  </sheetViews>
  <sheetFormatPr defaultRowHeight="12.75"/>
  <cols>
    <col min="1" max="1" width="8.85546875" style="405" customWidth="1"/>
    <col min="2" max="2" width="14.28515625" style="405" customWidth="1"/>
    <col min="3" max="11" width="13" style="405" customWidth="1"/>
    <col min="12" max="16384" width="9.140625" style="405"/>
  </cols>
  <sheetData>
    <row r="1" spans="2:12">
      <c r="B1" s="1250" t="s">
        <v>736</v>
      </c>
      <c r="C1" s="1250"/>
      <c r="D1" s="1250"/>
      <c r="E1" s="1250"/>
      <c r="F1" s="1250"/>
      <c r="G1" s="1250"/>
      <c r="H1" s="1250"/>
      <c r="I1" s="1250"/>
      <c r="J1" s="1250"/>
      <c r="K1" s="1250"/>
    </row>
    <row r="2" spans="2:12" s="412" customFormat="1" ht="22.5" customHeight="1">
      <c r="B2" s="1269" t="str">
        <f>CONCATENATE("Consumption of Electricity by different sectors in the district of ",District!A1)</f>
        <v>Consumption of Electricity by different sectors in the district of Nadia</v>
      </c>
      <c r="C2" s="1269"/>
      <c r="D2" s="1269"/>
      <c r="E2" s="1269"/>
      <c r="F2" s="1269"/>
      <c r="G2" s="1269"/>
      <c r="H2" s="1269"/>
      <c r="I2" s="1269"/>
      <c r="J2" s="1269"/>
      <c r="K2" s="1269"/>
    </row>
    <row r="3" spans="2:12" ht="13.5" customHeight="1">
      <c r="B3" s="412"/>
      <c r="C3" s="16"/>
      <c r="D3" s="22"/>
      <c r="E3" s="22"/>
      <c r="F3" s="22"/>
      <c r="G3" s="26"/>
      <c r="H3" s="26"/>
      <c r="I3" s="26"/>
      <c r="J3" s="619"/>
      <c r="K3" s="451" t="s">
        <v>1052</v>
      </c>
      <c r="L3" s="450"/>
    </row>
    <row r="4" spans="2:12" s="5" customFormat="1" ht="66" customHeight="1">
      <c r="B4" s="746" t="s">
        <v>107</v>
      </c>
      <c r="C4" s="265" t="s">
        <v>737</v>
      </c>
      <c r="D4" s="204" t="s">
        <v>1137</v>
      </c>
      <c r="E4" s="452" t="s">
        <v>738</v>
      </c>
      <c r="F4" s="221" t="s">
        <v>739</v>
      </c>
      <c r="G4" s="400" t="s">
        <v>753</v>
      </c>
      <c r="H4" s="233" t="s">
        <v>1338</v>
      </c>
      <c r="I4" s="747" t="s">
        <v>991</v>
      </c>
      <c r="J4" s="219" t="s">
        <v>1486</v>
      </c>
      <c r="K4" s="396" t="s">
        <v>210</v>
      </c>
    </row>
    <row r="5" spans="2:12" ht="14.25" customHeight="1">
      <c r="B5" s="417" t="s">
        <v>163</v>
      </c>
      <c r="C5" s="418" t="s">
        <v>164</v>
      </c>
      <c r="D5" s="417" t="s">
        <v>165</v>
      </c>
      <c r="E5" s="418" t="s">
        <v>166</v>
      </c>
      <c r="F5" s="417" t="s">
        <v>167</v>
      </c>
      <c r="G5" s="418" t="s">
        <v>168</v>
      </c>
      <c r="H5" s="417" t="s">
        <v>169</v>
      </c>
      <c r="I5" s="748" t="s">
        <v>211</v>
      </c>
      <c r="J5" s="417" t="s">
        <v>212</v>
      </c>
      <c r="K5" s="509" t="s">
        <v>213</v>
      </c>
    </row>
    <row r="6" spans="2:12" ht="35.25" customHeight="1">
      <c r="B6" s="108" t="str">
        <f>District!D13</f>
        <v>2009-10</v>
      </c>
      <c r="C6" s="81">
        <v>323546</v>
      </c>
      <c r="D6" s="45">
        <v>68697</v>
      </c>
      <c r="E6" s="81">
        <v>62486</v>
      </c>
      <c r="F6" s="45">
        <v>8641</v>
      </c>
      <c r="G6" s="81">
        <v>112221</v>
      </c>
      <c r="H6" s="45">
        <v>7060</v>
      </c>
      <c r="I6" s="81">
        <v>1419</v>
      </c>
      <c r="J6" s="81">
        <v>6160</v>
      </c>
      <c r="K6" s="46">
        <f>SUM(C6:J6)</f>
        <v>590230</v>
      </c>
    </row>
    <row r="7" spans="2:12" ht="35.25" customHeight="1">
      <c r="B7" s="108" t="str">
        <f>District!D14</f>
        <v>2010-11</v>
      </c>
      <c r="C7" s="81">
        <v>370890</v>
      </c>
      <c r="D7" s="45">
        <v>84607</v>
      </c>
      <c r="E7" s="81">
        <v>62985</v>
      </c>
      <c r="F7" s="45">
        <v>10361</v>
      </c>
      <c r="G7" s="81">
        <v>128529</v>
      </c>
      <c r="H7" s="45">
        <v>8083</v>
      </c>
      <c r="I7" s="81">
        <v>1687</v>
      </c>
      <c r="J7" s="176">
        <v>2730</v>
      </c>
      <c r="K7" s="46">
        <f>SUM(C7:J7)</f>
        <v>669872</v>
      </c>
    </row>
    <row r="8" spans="2:12" ht="35.25" customHeight="1">
      <c r="B8" s="108" t="str">
        <f>District!D15</f>
        <v>2011-12</v>
      </c>
      <c r="C8" s="81">
        <v>402968</v>
      </c>
      <c r="D8" s="45">
        <v>116288</v>
      </c>
      <c r="E8" s="81">
        <v>81706</v>
      </c>
      <c r="F8" s="45">
        <v>10382</v>
      </c>
      <c r="G8" s="81">
        <v>66429</v>
      </c>
      <c r="H8" s="45">
        <v>9754</v>
      </c>
      <c r="I8" s="81">
        <v>1243</v>
      </c>
      <c r="J8" s="81">
        <v>45911</v>
      </c>
      <c r="K8" s="46">
        <f>IF(SUM(C8:J8)=0,"..",SUM(C8:J8))</f>
        <v>734681</v>
      </c>
    </row>
    <row r="9" spans="2:12" s="6" customFormat="1" ht="35.25" customHeight="1">
      <c r="B9" s="108" t="str">
        <f>District!D16</f>
        <v>2012-13</v>
      </c>
      <c r="C9" s="81">
        <v>463365</v>
      </c>
      <c r="D9" s="45">
        <v>125135</v>
      </c>
      <c r="E9" s="81">
        <v>84342</v>
      </c>
      <c r="F9" s="45">
        <v>8250</v>
      </c>
      <c r="G9" s="81">
        <v>69805</v>
      </c>
      <c r="H9" s="45">
        <v>9268</v>
      </c>
      <c r="I9" s="81">
        <v>1010</v>
      </c>
      <c r="J9" s="81">
        <v>45287</v>
      </c>
      <c r="K9" s="46">
        <f>IF(SUM(C9:J9)=0,"..",SUM(C9:J9))</f>
        <v>806462</v>
      </c>
    </row>
    <row r="10" spans="2:12" s="6" customFormat="1" ht="35.25" customHeight="1">
      <c r="B10" s="127" t="str">
        <f>District!D17</f>
        <v>2013-14</v>
      </c>
      <c r="C10" s="127">
        <v>609867</v>
      </c>
      <c r="D10" s="127">
        <v>147014</v>
      </c>
      <c r="E10" s="127">
        <v>185127</v>
      </c>
      <c r="F10" s="127">
        <v>10525</v>
      </c>
      <c r="G10" s="127">
        <v>124371</v>
      </c>
      <c r="H10" s="127">
        <v>20002</v>
      </c>
      <c r="I10" s="127">
        <v>48437</v>
      </c>
      <c r="J10" s="127">
        <v>23334</v>
      </c>
      <c r="K10" s="129">
        <f>IF(SUM(C10:J10)=0,"..",SUM(C10:J10))</f>
        <v>1168677</v>
      </c>
    </row>
    <row r="11" spans="2:12">
      <c r="B11" s="749"/>
      <c r="C11" s="749"/>
      <c r="D11" s="749"/>
      <c r="E11" s="749"/>
      <c r="F11" s="27"/>
      <c r="G11" s="27"/>
      <c r="H11" s="729" t="s">
        <v>1105</v>
      </c>
      <c r="I11" s="1532" t="s">
        <v>1614</v>
      </c>
      <c r="J11" s="1532"/>
      <c r="K11" s="1532"/>
    </row>
    <row r="12" spans="2:12">
      <c r="B12" s="749"/>
      <c r="C12" s="749"/>
      <c r="D12" s="749"/>
      <c r="E12" s="749"/>
      <c r="H12" s="742"/>
      <c r="I12" s="1552"/>
      <c r="J12" s="1552"/>
      <c r="K12" s="1552"/>
    </row>
    <row r="13" spans="2:12">
      <c r="I13" s="750"/>
      <c r="J13" s="750"/>
      <c r="K13" s="750"/>
    </row>
    <row r="18" spans="7:7">
      <c r="G18" s="750"/>
    </row>
  </sheetData>
  <mergeCells count="3">
    <mergeCell ref="B2:K2"/>
    <mergeCell ref="B1:K1"/>
    <mergeCell ref="I11:K12"/>
  </mergeCells>
  <phoneticPr fontId="0" type="noConversion"/>
  <conditionalFormatting sqref="K9:K10">
    <cfRule type="cellIs" dxfId="7" priority="1" stopIfTrue="1" operator="equal">
      <formula>".."</formula>
    </cfRule>
  </conditionalFormatting>
  <pageMargins left="0.1" right="0.1" top="1.18" bottom="0.1" header="0.63" footer="0.5"/>
  <pageSetup paperSize="9" orientation="landscape" blackAndWhite="1" r:id="rId1"/>
  <headerFooter alignWithMargins="0"/>
</worksheet>
</file>

<file path=xl/worksheets/sheet6.xml><?xml version="1.0" encoding="utf-8"?>
<worksheet xmlns="http://schemas.openxmlformats.org/spreadsheetml/2006/main" xmlns:r="http://schemas.openxmlformats.org/officeDocument/2006/relationships">
  <sheetPr codeName="Sheet3"/>
  <dimension ref="B1:I46"/>
  <sheetViews>
    <sheetView topLeftCell="A7" workbookViewId="0">
      <selection activeCell="C15" sqref="C15:D15"/>
    </sheetView>
  </sheetViews>
  <sheetFormatPr defaultRowHeight="12.75"/>
  <cols>
    <col min="1" max="1" width="9.140625" style="412"/>
    <col min="2" max="2" width="17" style="412" customWidth="1"/>
    <col min="3" max="6" width="13.7109375" style="412" customWidth="1"/>
    <col min="7" max="7" width="14.140625" style="412" customWidth="1"/>
    <col min="8" max="8" width="13.7109375" style="412" customWidth="1"/>
    <col min="9" max="9" width="16" style="412" customWidth="1"/>
    <col min="10" max="16384" width="9.140625" style="412"/>
  </cols>
  <sheetData>
    <row r="1" spans="2:9" s="405" customFormat="1" ht="22.5" customHeight="1">
      <c r="B1" s="1261" t="s">
        <v>417</v>
      </c>
      <c r="C1" s="1261"/>
      <c r="D1" s="1261"/>
      <c r="E1" s="1261"/>
      <c r="F1" s="1261"/>
      <c r="G1" s="1261"/>
      <c r="H1" s="1261"/>
      <c r="I1" s="1261"/>
    </row>
    <row r="2" spans="2:9" ht="18.75" customHeight="1">
      <c r="B2" s="1264" t="str">
        <f>CONCATENATE("Geographical Location of ",District!$A$1," district and its headquarters")</f>
        <v>Geographical Location of Nadia district and its headquarters</v>
      </c>
      <c r="C2" s="1264"/>
      <c r="D2" s="1264"/>
      <c r="E2" s="1264"/>
      <c r="F2" s="1264"/>
      <c r="G2" s="1264"/>
      <c r="H2" s="1264"/>
      <c r="I2" s="1264"/>
    </row>
    <row r="3" spans="2:9" s="405" customFormat="1" ht="15" customHeight="1">
      <c r="B3" s="1262" t="s">
        <v>1608</v>
      </c>
      <c r="C3" s="1253" t="s">
        <v>154</v>
      </c>
      <c r="D3" s="1252"/>
      <c r="E3" s="1253" t="s">
        <v>155</v>
      </c>
      <c r="F3" s="1252"/>
      <c r="G3" s="1262" t="s">
        <v>162</v>
      </c>
      <c r="H3" s="1262" t="s">
        <v>154</v>
      </c>
      <c r="I3" s="1262" t="s">
        <v>155</v>
      </c>
    </row>
    <row r="4" spans="2:9" s="405" customFormat="1" ht="25.5" customHeight="1">
      <c r="B4" s="1263"/>
      <c r="C4" s="45" t="s">
        <v>156</v>
      </c>
      <c r="D4" s="204" t="s">
        <v>159</v>
      </c>
      <c r="E4" s="108" t="s">
        <v>160</v>
      </c>
      <c r="F4" s="204" t="s">
        <v>161</v>
      </c>
      <c r="G4" s="1263"/>
      <c r="H4" s="1263"/>
      <c r="I4" s="1263"/>
    </row>
    <row r="5" spans="2:9" s="405" customFormat="1" ht="15" customHeight="1">
      <c r="B5" s="225" t="s">
        <v>163</v>
      </c>
      <c r="C5" s="226" t="s">
        <v>164</v>
      </c>
      <c r="D5" s="225" t="s">
        <v>165</v>
      </c>
      <c r="E5" s="480" t="s">
        <v>166</v>
      </c>
      <c r="F5" s="304" t="s">
        <v>167</v>
      </c>
      <c r="G5" s="304" t="s">
        <v>168</v>
      </c>
      <c r="H5" s="304" t="s">
        <v>169</v>
      </c>
      <c r="I5" s="304" t="s">
        <v>211</v>
      </c>
    </row>
    <row r="6" spans="2:9" s="405" customFormat="1" ht="30" customHeight="1">
      <c r="B6" s="746" t="str">
        <f>District!$A$1</f>
        <v>Nadia</v>
      </c>
      <c r="C6" s="770" t="s">
        <v>1468</v>
      </c>
      <c r="D6" s="771" t="s">
        <v>1185</v>
      </c>
      <c r="E6" s="772" t="s">
        <v>1190</v>
      </c>
      <c r="F6" s="771" t="s">
        <v>1191</v>
      </c>
      <c r="G6" s="305" t="s">
        <v>773</v>
      </c>
      <c r="H6" s="223" t="s">
        <v>1192</v>
      </c>
      <c r="I6" s="223" t="s">
        <v>1193</v>
      </c>
    </row>
    <row r="7" spans="2:9" s="405" customFormat="1">
      <c r="C7" s="450"/>
      <c r="D7" s="450"/>
      <c r="E7" s="450"/>
      <c r="G7" s="27"/>
      <c r="H7" s="27"/>
      <c r="I7" s="280" t="s">
        <v>1456</v>
      </c>
    </row>
    <row r="8" spans="2:9" s="405" customFormat="1">
      <c r="C8" s="450"/>
      <c r="E8" s="450"/>
    </row>
    <row r="9" spans="2:9" s="405" customFormat="1">
      <c r="B9" s="1250" t="s">
        <v>416</v>
      </c>
      <c r="C9" s="1250"/>
      <c r="D9" s="1250"/>
      <c r="E9" s="1250"/>
      <c r="F9" s="1250"/>
      <c r="G9" s="1250"/>
      <c r="H9" s="1250"/>
      <c r="I9" s="1250"/>
    </row>
    <row r="10" spans="2:9" ht="16.5">
      <c r="B10" s="1254" t="str">
        <f>CONCATENATE("Monthly Rainfall in the district of ",District!$A$1)</f>
        <v>Monthly Rainfall in the district of Nadia</v>
      </c>
      <c r="C10" s="1254"/>
      <c r="D10" s="1254"/>
      <c r="E10" s="1254"/>
      <c r="F10" s="1254"/>
      <c r="G10" s="1254"/>
      <c r="H10" s="1254"/>
      <c r="I10" s="1254"/>
    </row>
    <row r="11" spans="2:9" s="405" customFormat="1">
      <c r="B11" s="413"/>
      <c r="D11" s="451"/>
      <c r="E11" s="451"/>
      <c r="F11" s="451"/>
      <c r="G11" s="451"/>
      <c r="H11" s="451"/>
      <c r="I11" s="451" t="s">
        <v>233</v>
      </c>
    </row>
    <row r="12" spans="2:9" s="405" customFormat="1" ht="15" customHeight="1">
      <c r="B12" s="1257" t="s">
        <v>195</v>
      </c>
      <c r="C12" s="1253" t="s">
        <v>196</v>
      </c>
      <c r="D12" s="1252"/>
      <c r="E12" s="1251" t="s">
        <v>197</v>
      </c>
      <c r="F12" s="1251"/>
      <c r="G12" s="1251"/>
      <c r="H12" s="1251"/>
      <c r="I12" s="1252"/>
    </row>
    <row r="13" spans="2:9" s="405" customFormat="1" ht="15" customHeight="1">
      <c r="B13" s="1258"/>
      <c r="C13" s="1255">
        <f>I13</f>
        <v>2014</v>
      </c>
      <c r="D13" s="1256"/>
      <c r="E13" s="625">
        <f>District!C7</f>
        <v>2010</v>
      </c>
      <c r="F13" s="625">
        <f>District!D7</f>
        <v>2011</v>
      </c>
      <c r="G13" s="625">
        <f>District!E7</f>
        <v>2012</v>
      </c>
      <c r="H13" s="625">
        <f>District!F7</f>
        <v>2013</v>
      </c>
      <c r="I13" s="625">
        <f>District!G7</f>
        <v>2014</v>
      </c>
    </row>
    <row r="14" spans="2:9" s="405" customFormat="1" ht="15" customHeight="1">
      <c r="B14" s="225" t="s">
        <v>163</v>
      </c>
      <c r="C14" s="1259" t="s">
        <v>164</v>
      </c>
      <c r="D14" s="1260"/>
      <c r="E14" s="224" t="s">
        <v>165</v>
      </c>
      <c r="F14" s="365" t="s">
        <v>166</v>
      </c>
      <c r="G14" s="655" t="s">
        <v>167</v>
      </c>
      <c r="H14" s="365" t="s">
        <v>168</v>
      </c>
      <c r="I14" s="365" t="s">
        <v>169</v>
      </c>
    </row>
    <row r="15" spans="2:9" s="405" customFormat="1" ht="18" customHeight="1">
      <c r="B15" s="516" t="s">
        <v>198</v>
      </c>
      <c r="C15" s="1244">
        <v>9</v>
      </c>
      <c r="D15" s="1245"/>
      <c r="E15" s="465" t="s">
        <v>643</v>
      </c>
      <c r="F15" s="463" t="s">
        <v>643</v>
      </c>
      <c r="G15" s="463">
        <v>29</v>
      </c>
      <c r="H15" s="463">
        <v>11</v>
      </c>
      <c r="I15" s="1062" t="s">
        <v>643</v>
      </c>
    </row>
    <row r="16" spans="2:9" s="405" customFormat="1" ht="18" customHeight="1">
      <c r="B16" s="516" t="s">
        <v>199</v>
      </c>
      <c r="C16" s="1244">
        <v>29</v>
      </c>
      <c r="D16" s="1245"/>
      <c r="E16" s="463">
        <v>8</v>
      </c>
      <c r="F16" s="482">
        <v>1</v>
      </c>
      <c r="G16" s="463" t="s">
        <v>643</v>
      </c>
      <c r="H16" s="463">
        <v>12</v>
      </c>
      <c r="I16" s="463">
        <v>52</v>
      </c>
    </row>
    <row r="17" spans="2:9" s="405" customFormat="1" ht="18" customHeight="1">
      <c r="B17" s="81" t="s">
        <v>200</v>
      </c>
      <c r="C17" s="1244">
        <v>32</v>
      </c>
      <c r="D17" s="1245"/>
      <c r="E17" s="463" t="s">
        <v>643</v>
      </c>
      <c r="F17" s="463">
        <v>47</v>
      </c>
      <c r="G17" s="463">
        <v>4</v>
      </c>
      <c r="H17" s="463">
        <v>1</v>
      </c>
      <c r="I17" s="463">
        <v>14</v>
      </c>
    </row>
    <row r="18" spans="2:9" s="405" customFormat="1" ht="18" customHeight="1">
      <c r="B18" s="81" t="s">
        <v>201</v>
      </c>
      <c r="C18" s="1244">
        <v>60</v>
      </c>
      <c r="D18" s="1245"/>
      <c r="E18" s="463">
        <v>28</v>
      </c>
      <c r="F18" s="482">
        <v>83</v>
      </c>
      <c r="G18" s="482">
        <v>35</v>
      </c>
      <c r="H18" s="482">
        <v>48</v>
      </c>
      <c r="I18" s="482">
        <v>7</v>
      </c>
    </row>
    <row r="19" spans="2:9" s="405" customFormat="1" ht="18" customHeight="1">
      <c r="B19" s="81" t="s">
        <v>202</v>
      </c>
      <c r="C19" s="1244">
        <v>139</v>
      </c>
      <c r="D19" s="1245"/>
      <c r="E19" s="463">
        <v>143</v>
      </c>
      <c r="F19" s="463">
        <v>118</v>
      </c>
      <c r="G19" s="463">
        <v>55</v>
      </c>
      <c r="H19" s="463">
        <v>182</v>
      </c>
      <c r="I19" s="463">
        <v>119</v>
      </c>
    </row>
    <row r="20" spans="2:9" s="405" customFormat="1" ht="18" customHeight="1">
      <c r="B20" s="81" t="s">
        <v>203</v>
      </c>
      <c r="C20" s="1244">
        <v>246</v>
      </c>
      <c r="D20" s="1245"/>
      <c r="E20" s="463">
        <v>192</v>
      </c>
      <c r="F20" s="463">
        <v>340</v>
      </c>
      <c r="G20" s="463">
        <v>110</v>
      </c>
      <c r="H20" s="463">
        <v>188</v>
      </c>
      <c r="I20" s="463">
        <v>226</v>
      </c>
    </row>
    <row r="21" spans="2:9" s="405" customFormat="1" ht="18" customHeight="1">
      <c r="B21" s="81" t="s">
        <v>204</v>
      </c>
      <c r="C21" s="1244">
        <v>308</v>
      </c>
      <c r="D21" s="1245"/>
      <c r="E21" s="463">
        <v>115</v>
      </c>
      <c r="F21" s="463">
        <v>245</v>
      </c>
      <c r="G21" s="463">
        <v>291</v>
      </c>
      <c r="H21" s="463">
        <v>154</v>
      </c>
      <c r="I21" s="463">
        <v>205</v>
      </c>
    </row>
    <row r="22" spans="2:9" s="405" customFormat="1" ht="18" customHeight="1">
      <c r="B22" s="81" t="s">
        <v>205</v>
      </c>
      <c r="C22" s="1244">
        <v>271</v>
      </c>
      <c r="D22" s="1245"/>
      <c r="E22" s="463">
        <v>97</v>
      </c>
      <c r="F22" s="463">
        <v>378</v>
      </c>
      <c r="G22" s="463">
        <v>184</v>
      </c>
      <c r="H22" s="463">
        <v>251</v>
      </c>
      <c r="I22" s="463">
        <v>244</v>
      </c>
    </row>
    <row r="23" spans="2:9" s="405" customFormat="1" ht="18" customHeight="1">
      <c r="B23" s="81" t="s">
        <v>206</v>
      </c>
      <c r="C23" s="1244">
        <v>229</v>
      </c>
      <c r="D23" s="1245"/>
      <c r="E23" s="463">
        <v>176</v>
      </c>
      <c r="F23" s="463">
        <v>250</v>
      </c>
      <c r="G23" s="463">
        <v>175</v>
      </c>
      <c r="H23" s="463">
        <v>167</v>
      </c>
      <c r="I23" s="463">
        <v>206</v>
      </c>
    </row>
    <row r="24" spans="2:9" s="405" customFormat="1" ht="18" customHeight="1">
      <c r="B24" s="81" t="s">
        <v>207</v>
      </c>
      <c r="C24" s="1244">
        <v>88</v>
      </c>
      <c r="D24" s="1245"/>
      <c r="E24" s="463">
        <v>131</v>
      </c>
      <c r="F24" s="463">
        <v>25</v>
      </c>
      <c r="G24" s="463">
        <v>98</v>
      </c>
      <c r="H24" s="463">
        <v>231</v>
      </c>
      <c r="I24" s="463">
        <v>55</v>
      </c>
    </row>
    <row r="25" spans="2:9" s="405" customFormat="1" ht="18" customHeight="1">
      <c r="B25" s="81" t="s">
        <v>208</v>
      </c>
      <c r="C25" s="1244">
        <v>19</v>
      </c>
      <c r="D25" s="1245"/>
      <c r="E25" s="482">
        <v>6</v>
      </c>
      <c r="F25" s="463">
        <v>1</v>
      </c>
      <c r="G25" s="463">
        <v>54</v>
      </c>
      <c r="H25" s="115" t="s">
        <v>643</v>
      </c>
      <c r="I25" s="1062" t="s">
        <v>643</v>
      </c>
    </row>
    <row r="26" spans="2:9" s="405" customFormat="1" ht="18" customHeight="1">
      <c r="B26" s="81" t="s">
        <v>209</v>
      </c>
      <c r="C26" s="1246">
        <v>17</v>
      </c>
      <c r="D26" s="1247"/>
      <c r="E26" s="605">
        <v>44</v>
      </c>
      <c r="F26" s="463" t="s">
        <v>643</v>
      </c>
      <c r="G26" s="463">
        <v>4</v>
      </c>
      <c r="H26" s="115" t="s">
        <v>643</v>
      </c>
      <c r="I26" s="1062" t="s">
        <v>643</v>
      </c>
    </row>
    <row r="27" spans="2:9" s="6" customFormat="1" ht="18" customHeight="1">
      <c r="B27" s="305" t="s">
        <v>210</v>
      </c>
      <c r="C27" s="1248">
        <f>SUM(C15:C26)</f>
        <v>1447</v>
      </c>
      <c r="D27" s="1249"/>
      <c r="E27" s="119">
        <f>SUM(E15:E26)</f>
        <v>940</v>
      </c>
      <c r="F27" s="305">
        <f>SUM(F15:F26)</f>
        <v>1488</v>
      </c>
      <c r="G27" s="305">
        <f>SUM(G15:G26)</f>
        <v>1039</v>
      </c>
      <c r="H27" s="305">
        <f>SUM(H15:H26)</f>
        <v>1245</v>
      </c>
      <c r="I27" s="305">
        <f>SUM(I15:I26)</f>
        <v>1128</v>
      </c>
    </row>
    <row r="28" spans="2:9">
      <c r="B28" s="405"/>
      <c r="C28" s="405"/>
      <c r="D28" s="405"/>
      <c r="E28" s="405"/>
      <c r="F28" s="405"/>
      <c r="G28" s="281" t="s">
        <v>1105</v>
      </c>
      <c r="H28" s="282" t="s">
        <v>510</v>
      </c>
    </row>
    <row r="29" spans="2:9">
      <c r="G29" s="282"/>
      <c r="H29" s="282" t="s">
        <v>966</v>
      </c>
    </row>
    <row r="30" spans="2:9">
      <c r="F30" s="281"/>
    </row>
    <row r="45" spans="2:9">
      <c r="C45" s="773"/>
      <c r="D45" s="773"/>
      <c r="E45" s="773"/>
      <c r="F45" s="773"/>
      <c r="G45" s="773"/>
      <c r="H45" s="773"/>
      <c r="I45" s="773"/>
    </row>
    <row r="46" spans="2:9">
      <c r="B46" s="773"/>
      <c r="C46" s="773"/>
      <c r="D46" s="773"/>
      <c r="E46" s="773"/>
      <c r="F46" s="773"/>
      <c r="G46" s="773"/>
      <c r="H46" s="773"/>
      <c r="I46" s="773"/>
    </row>
  </sheetData>
  <mergeCells count="28">
    <mergeCell ref="B1:I1"/>
    <mergeCell ref="B3:B4"/>
    <mergeCell ref="C3:D3"/>
    <mergeCell ref="G3:G4"/>
    <mergeCell ref="I3:I4"/>
    <mergeCell ref="H3:H4"/>
    <mergeCell ref="B2:I2"/>
    <mergeCell ref="E3:F3"/>
    <mergeCell ref="B9:I9"/>
    <mergeCell ref="E12:I12"/>
    <mergeCell ref="C12:D12"/>
    <mergeCell ref="B10:I10"/>
    <mergeCell ref="C20:D20"/>
    <mergeCell ref="C18:D18"/>
    <mergeCell ref="C19:D19"/>
    <mergeCell ref="C17:D17"/>
    <mergeCell ref="C13:D13"/>
    <mergeCell ref="B12:B13"/>
    <mergeCell ref="C16:D16"/>
    <mergeCell ref="C14:D14"/>
    <mergeCell ref="C15:D15"/>
    <mergeCell ref="C21:D21"/>
    <mergeCell ref="C26:D26"/>
    <mergeCell ref="C27:D27"/>
    <mergeCell ref="C22:D22"/>
    <mergeCell ref="C23:D23"/>
    <mergeCell ref="C24:D24"/>
    <mergeCell ref="C25:D25"/>
  </mergeCells>
  <phoneticPr fontId="0" type="noConversion"/>
  <conditionalFormatting sqref="B11">
    <cfRule type="cellIs" dxfId="18" priority="1" stopIfTrue="1" operator="equal">
      <formula>".."</formula>
    </cfRule>
  </conditionalFormatting>
  <printOptions horizontalCentered="1"/>
  <pageMargins left="0" right="0" top="0.65" bottom="0.1" header="0.46" footer="0.22"/>
  <pageSetup paperSize="9" orientation="landscape" blackAndWhite="1" r:id="rId1"/>
  <headerFooter alignWithMargins="0"/>
</worksheet>
</file>

<file path=xl/worksheets/sheet60.xml><?xml version="1.0" encoding="utf-8"?>
<worksheet xmlns="http://schemas.openxmlformats.org/spreadsheetml/2006/main" xmlns:r="http://schemas.openxmlformats.org/officeDocument/2006/relationships">
  <dimension ref="A1:L69"/>
  <sheetViews>
    <sheetView workbookViewId="0">
      <selection activeCell="N8" sqref="N8"/>
    </sheetView>
  </sheetViews>
  <sheetFormatPr defaultRowHeight="12.75"/>
  <cols>
    <col min="1" max="1" width="11.140625" style="765" customWidth="1"/>
    <col min="2" max="2" width="8.85546875" style="765" customWidth="1"/>
    <col min="3" max="3" width="12.28515625" style="765" customWidth="1"/>
    <col min="4" max="4" width="11.5703125" style="765" customWidth="1"/>
    <col min="5" max="5" width="10.7109375" style="765" customWidth="1"/>
    <col min="6" max="6" width="12.28515625" style="765" customWidth="1"/>
    <col min="7" max="7" width="12.140625" style="765" customWidth="1"/>
    <col min="8" max="8" width="11.5703125" style="765" customWidth="1"/>
    <col min="9" max="11" width="11.42578125" style="765" customWidth="1"/>
    <col min="12" max="16384" width="9.140625" style="765"/>
  </cols>
  <sheetData>
    <row r="1" spans="1:11" ht="14.25" customHeight="1">
      <c r="A1" s="1250" t="s">
        <v>475</v>
      </c>
      <c r="B1" s="1250"/>
      <c r="C1" s="1250"/>
      <c r="D1" s="1250"/>
      <c r="E1" s="1250"/>
      <c r="F1" s="1250"/>
      <c r="G1" s="1250"/>
      <c r="H1" s="1250"/>
      <c r="I1" s="1250"/>
      <c r="J1" s="1250"/>
      <c r="K1" s="1250"/>
    </row>
    <row r="2" spans="1:11" s="113" customFormat="1" ht="21" customHeight="1">
      <c r="A2" s="1269" t="s">
        <v>1694</v>
      </c>
      <c r="B2" s="1269"/>
      <c r="C2" s="1269"/>
      <c r="D2" s="1269"/>
      <c r="E2" s="1269"/>
      <c r="F2" s="1269"/>
      <c r="G2" s="1269"/>
      <c r="H2" s="1269"/>
      <c r="I2" s="1269"/>
      <c r="J2" s="1269"/>
      <c r="K2" s="1269"/>
    </row>
    <row r="3" spans="1:11" ht="11.25" customHeight="1">
      <c r="C3" s="1194"/>
      <c r="D3" s="1194"/>
      <c r="E3" s="1561"/>
      <c r="F3" s="1561"/>
      <c r="G3" s="1561"/>
      <c r="H3" s="1561"/>
      <c r="I3" s="1561"/>
      <c r="J3" s="1561"/>
      <c r="K3" s="1561"/>
    </row>
    <row r="4" spans="1:11" ht="48.75" customHeight="1">
      <c r="A4" s="1195" t="s">
        <v>740</v>
      </c>
      <c r="B4" s="1195" t="s">
        <v>812</v>
      </c>
      <c r="C4" s="1195" t="s">
        <v>171</v>
      </c>
      <c r="D4" s="1196" t="s">
        <v>172</v>
      </c>
      <c r="E4" s="1195" t="s">
        <v>813</v>
      </c>
      <c r="F4" s="1195" t="s">
        <v>170</v>
      </c>
      <c r="G4" s="1195" t="s">
        <v>173</v>
      </c>
      <c r="H4" s="1197" t="s">
        <v>174</v>
      </c>
      <c r="I4" s="1197" t="s">
        <v>175</v>
      </c>
      <c r="J4" s="1197" t="s">
        <v>176</v>
      </c>
      <c r="K4" s="1198" t="s">
        <v>177</v>
      </c>
    </row>
    <row r="5" spans="1:11" ht="19.5" customHeight="1">
      <c r="A5" s="1143" t="s">
        <v>163</v>
      </c>
      <c r="B5" s="1143" t="s">
        <v>164</v>
      </c>
      <c r="C5" s="1143" t="s">
        <v>165</v>
      </c>
      <c r="D5" s="1145" t="s">
        <v>166</v>
      </c>
      <c r="E5" s="1143" t="s">
        <v>167</v>
      </c>
      <c r="F5" s="1143" t="s">
        <v>168</v>
      </c>
      <c r="G5" s="1143" t="s">
        <v>169</v>
      </c>
      <c r="H5" s="1199" t="s">
        <v>211</v>
      </c>
      <c r="I5" s="1143" t="s">
        <v>212</v>
      </c>
      <c r="J5" s="1199" t="s">
        <v>213</v>
      </c>
      <c r="K5" s="1145" t="s">
        <v>214</v>
      </c>
    </row>
    <row r="6" spans="1:11" ht="18.75" customHeight="1">
      <c r="A6" s="1200" t="s">
        <v>942</v>
      </c>
      <c r="B6" s="1200">
        <v>20</v>
      </c>
      <c r="C6" s="1200">
        <v>8950</v>
      </c>
      <c r="D6" s="1180">
        <v>12021</v>
      </c>
      <c r="E6" s="1200">
        <v>539</v>
      </c>
      <c r="F6" s="1200">
        <v>207</v>
      </c>
      <c r="G6" s="1200">
        <v>808</v>
      </c>
      <c r="H6" s="1200">
        <v>12432</v>
      </c>
      <c r="I6" s="1200">
        <v>14316</v>
      </c>
      <c r="J6" s="1200">
        <v>1414</v>
      </c>
      <c r="K6" s="1178">
        <v>851</v>
      </c>
    </row>
    <row r="7" spans="1:11" ht="18.75" customHeight="1">
      <c r="A7" s="1200" t="s">
        <v>943</v>
      </c>
      <c r="B7" s="1200">
        <v>1</v>
      </c>
      <c r="C7" s="1200">
        <v>6331</v>
      </c>
      <c r="D7" s="1180">
        <v>7583</v>
      </c>
      <c r="E7" s="1200">
        <v>361</v>
      </c>
      <c r="F7" s="1200">
        <v>119</v>
      </c>
      <c r="G7" s="1200">
        <v>1022</v>
      </c>
      <c r="H7" s="1200">
        <v>8592</v>
      </c>
      <c r="I7" s="1200">
        <v>14201</v>
      </c>
      <c r="J7" s="1200">
        <v>5028</v>
      </c>
      <c r="K7" s="1180">
        <v>5008</v>
      </c>
    </row>
    <row r="8" spans="1:11" ht="18.75" customHeight="1">
      <c r="A8" s="1200" t="s">
        <v>944</v>
      </c>
      <c r="B8" s="1200">
        <v>54</v>
      </c>
      <c r="C8" s="1200">
        <v>7</v>
      </c>
      <c r="D8" s="1180">
        <v>12</v>
      </c>
      <c r="E8" s="1200">
        <v>307</v>
      </c>
      <c r="F8" s="1200">
        <v>86</v>
      </c>
      <c r="G8" s="1200">
        <v>41</v>
      </c>
      <c r="H8" s="1200">
        <v>167</v>
      </c>
      <c r="I8" s="1200">
        <v>223</v>
      </c>
      <c r="J8" s="1200">
        <v>56</v>
      </c>
      <c r="K8" s="1180">
        <v>56</v>
      </c>
    </row>
    <row r="9" spans="1:11" ht="18.75" customHeight="1">
      <c r="A9" s="1200" t="s">
        <v>945</v>
      </c>
      <c r="B9" s="1200">
        <v>6</v>
      </c>
      <c r="C9" s="1200">
        <v>573</v>
      </c>
      <c r="D9" s="1180">
        <v>686</v>
      </c>
      <c r="E9" s="1200">
        <v>198</v>
      </c>
      <c r="F9" s="1200">
        <v>65</v>
      </c>
      <c r="G9" s="1200">
        <v>131</v>
      </c>
      <c r="H9" s="1200">
        <v>543</v>
      </c>
      <c r="I9" s="1200">
        <v>646</v>
      </c>
      <c r="J9" s="1200">
        <v>56</v>
      </c>
      <c r="K9" s="1180">
        <v>48</v>
      </c>
    </row>
    <row r="10" spans="1:11" ht="18.75" customHeight="1">
      <c r="A10" s="1200" t="s">
        <v>946</v>
      </c>
      <c r="B10" s="1200">
        <v>1</v>
      </c>
      <c r="C10" s="1200">
        <v>126</v>
      </c>
      <c r="D10" s="1180">
        <v>426</v>
      </c>
      <c r="E10" s="1200">
        <v>53</v>
      </c>
      <c r="F10" s="1200">
        <v>17</v>
      </c>
      <c r="G10" s="1200">
        <v>43</v>
      </c>
      <c r="H10" s="1200">
        <v>367</v>
      </c>
      <c r="I10" s="1200">
        <v>485</v>
      </c>
      <c r="J10" s="1200">
        <v>101</v>
      </c>
      <c r="K10" s="1180">
        <v>58</v>
      </c>
    </row>
    <row r="11" spans="1:11" ht="18.75" customHeight="1">
      <c r="A11" s="1200" t="s">
        <v>947</v>
      </c>
      <c r="B11" s="1200">
        <v>4</v>
      </c>
      <c r="C11" s="1200">
        <v>109</v>
      </c>
      <c r="D11" s="1180">
        <v>165</v>
      </c>
      <c r="E11" s="1200">
        <v>48</v>
      </c>
      <c r="F11" s="1200">
        <v>22</v>
      </c>
      <c r="G11" s="1200">
        <v>25</v>
      </c>
      <c r="H11" s="1200">
        <v>308</v>
      </c>
      <c r="I11" s="1200">
        <v>359</v>
      </c>
      <c r="J11" s="1200">
        <v>38</v>
      </c>
      <c r="K11" s="1180">
        <v>35</v>
      </c>
    </row>
    <row r="12" spans="1:11" ht="18.75" customHeight="1">
      <c r="A12" s="1200" t="s">
        <v>948</v>
      </c>
      <c r="B12" s="1200">
        <v>2</v>
      </c>
      <c r="C12" s="1200">
        <v>7541</v>
      </c>
      <c r="D12" s="1180">
        <v>9701</v>
      </c>
      <c r="E12" s="1200">
        <v>374</v>
      </c>
      <c r="F12" s="1200">
        <v>197</v>
      </c>
      <c r="G12" s="1200">
        <v>606</v>
      </c>
      <c r="H12" s="1200">
        <v>6793</v>
      </c>
      <c r="I12" s="1200">
        <v>7848</v>
      </c>
      <c r="J12" s="1200">
        <v>767</v>
      </c>
      <c r="K12" s="1180">
        <v>627</v>
      </c>
    </row>
    <row r="13" spans="1:11" ht="18.75" customHeight="1">
      <c r="A13" s="1200" t="s">
        <v>949</v>
      </c>
      <c r="B13" s="1200">
        <v>2</v>
      </c>
      <c r="C13" s="1200">
        <v>428</v>
      </c>
      <c r="D13" s="1180">
        <v>609</v>
      </c>
      <c r="E13" s="1200">
        <v>183</v>
      </c>
      <c r="F13" s="1200">
        <v>63</v>
      </c>
      <c r="G13" s="1200">
        <v>1094</v>
      </c>
      <c r="H13" s="1200">
        <v>30175</v>
      </c>
      <c r="I13" s="1200">
        <v>29538</v>
      </c>
      <c r="J13" s="1200">
        <v>-682</v>
      </c>
      <c r="K13" s="1180">
        <v>-688</v>
      </c>
    </row>
    <row r="14" spans="1:11" ht="18.75" customHeight="1">
      <c r="A14" s="1200" t="s">
        <v>950</v>
      </c>
      <c r="B14" s="1200">
        <v>8</v>
      </c>
      <c r="C14" s="1200">
        <v>3000</v>
      </c>
      <c r="D14" s="1180">
        <v>3560</v>
      </c>
      <c r="E14" s="1200">
        <v>115</v>
      </c>
      <c r="F14" s="1200">
        <v>46</v>
      </c>
      <c r="G14" s="1200">
        <v>225</v>
      </c>
      <c r="H14" s="1200">
        <v>4385</v>
      </c>
      <c r="I14" s="1200">
        <v>5057</v>
      </c>
      <c r="J14" s="1200">
        <v>403</v>
      </c>
      <c r="K14" s="1180">
        <v>90</v>
      </c>
    </row>
    <row r="15" spans="1:11" ht="18.75" customHeight="1">
      <c r="A15" s="1200" t="s">
        <v>951</v>
      </c>
      <c r="B15" s="1200">
        <v>4</v>
      </c>
      <c r="C15" s="1200">
        <v>213</v>
      </c>
      <c r="D15" s="1180">
        <v>333</v>
      </c>
      <c r="E15" s="1200">
        <v>47</v>
      </c>
      <c r="F15" s="1200">
        <v>65</v>
      </c>
      <c r="G15" s="1200">
        <v>281</v>
      </c>
      <c r="H15" s="1200">
        <v>713</v>
      </c>
      <c r="I15" s="1200">
        <v>1078</v>
      </c>
      <c r="J15" s="1200">
        <v>337</v>
      </c>
      <c r="K15" s="1180">
        <v>314</v>
      </c>
    </row>
    <row r="16" spans="1:11" ht="18.75" customHeight="1">
      <c r="A16" s="1200" t="s">
        <v>952</v>
      </c>
      <c r="B16" s="1200">
        <v>3</v>
      </c>
      <c r="C16" s="1200">
        <v>374</v>
      </c>
      <c r="D16" s="1180">
        <v>498</v>
      </c>
      <c r="E16" s="1200">
        <v>32</v>
      </c>
      <c r="F16" s="1200">
        <v>11</v>
      </c>
      <c r="G16" s="1200">
        <v>32</v>
      </c>
      <c r="H16" s="1200">
        <v>918</v>
      </c>
      <c r="I16" s="1200">
        <v>1108</v>
      </c>
      <c r="J16" s="1200">
        <v>133</v>
      </c>
      <c r="K16" s="1180">
        <v>67</v>
      </c>
    </row>
    <row r="17" spans="1:11" ht="18.75" customHeight="1">
      <c r="A17" s="1200" t="s">
        <v>953</v>
      </c>
      <c r="B17" s="1200">
        <v>3</v>
      </c>
      <c r="C17" s="1200">
        <v>534</v>
      </c>
      <c r="D17" s="1180">
        <v>735</v>
      </c>
      <c r="E17" s="1200">
        <v>136</v>
      </c>
      <c r="F17" s="1200">
        <v>54</v>
      </c>
      <c r="G17" s="1200">
        <v>558</v>
      </c>
      <c r="H17" s="1200">
        <v>6342</v>
      </c>
      <c r="I17" s="1200">
        <v>7656</v>
      </c>
      <c r="J17" s="1200">
        <v>1243</v>
      </c>
      <c r="K17" s="1180">
        <v>1043</v>
      </c>
    </row>
    <row r="18" spans="1:11" ht="18.75" customHeight="1">
      <c r="A18" s="1200" t="s">
        <v>954</v>
      </c>
      <c r="B18" s="1200">
        <v>3</v>
      </c>
      <c r="C18" s="1200">
        <v>3810</v>
      </c>
      <c r="D18" s="1180">
        <v>12775</v>
      </c>
      <c r="E18" s="1200">
        <v>860</v>
      </c>
      <c r="F18" s="1200">
        <v>276</v>
      </c>
      <c r="G18" s="1200">
        <v>1156</v>
      </c>
      <c r="H18" s="1200">
        <v>58419</v>
      </c>
      <c r="I18" s="1200">
        <v>68500</v>
      </c>
      <c r="J18" s="1200">
        <v>9440</v>
      </c>
      <c r="K18" s="1180">
        <v>6516</v>
      </c>
    </row>
    <row r="19" spans="1:11" ht="18.75" customHeight="1">
      <c r="A19" s="1200" t="s">
        <v>955</v>
      </c>
      <c r="B19" s="1200">
        <v>9</v>
      </c>
      <c r="C19" s="1200">
        <v>665</v>
      </c>
      <c r="D19" s="1180">
        <v>4591</v>
      </c>
      <c r="E19" s="1200">
        <v>467</v>
      </c>
      <c r="F19" s="1200">
        <v>147</v>
      </c>
      <c r="G19" s="1200">
        <v>525</v>
      </c>
      <c r="H19" s="1200">
        <v>3215</v>
      </c>
      <c r="I19" s="1200">
        <v>4304</v>
      </c>
      <c r="J19" s="1200">
        <v>1028</v>
      </c>
      <c r="K19" s="1180">
        <v>757</v>
      </c>
    </row>
    <row r="20" spans="1:11" ht="18.75" customHeight="1">
      <c r="A20" s="1200" t="s">
        <v>956</v>
      </c>
      <c r="B20" s="1200">
        <v>2</v>
      </c>
      <c r="C20" s="1200">
        <v>2106</v>
      </c>
      <c r="D20" s="1180">
        <v>5612</v>
      </c>
      <c r="E20" s="1200">
        <v>1018</v>
      </c>
      <c r="F20" s="1200">
        <v>388</v>
      </c>
      <c r="G20" s="1200">
        <v>3049</v>
      </c>
      <c r="H20" s="1200">
        <v>8422</v>
      </c>
      <c r="I20" s="1200">
        <v>10148</v>
      </c>
      <c r="J20" s="1200">
        <v>639</v>
      </c>
      <c r="K20" s="1180">
        <v>-331</v>
      </c>
    </row>
    <row r="21" spans="1:11" ht="18.75" customHeight="1">
      <c r="A21" s="1200" t="s">
        <v>957</v>
      </c>
      <c r="B21" s="1200">
        <v>5</v>
      </c>
      <c r="C21" s="1200">
        <v>332</v>
      </c>
      <c r="D21" s="1180">
        <v>1212</v>
      </c>
      <c r="E21" s="1200">
        <v>138</v>
      </c>
      <c r="F21" s="1200">
        <v>77</v>
      </c>
      <c r="G21" s="1200">
        <v>963</v>
      </c>
      <c r="H21" s="1200">
        <v>3353</v>
      </c>
      <c r="I21" s="1200">
        <v>1845</v>
      </c>
      <c r="J21" s="1200">
        <v>-1537</v>
      </c>
      <c r="K21" s="1180">
        <v>-6426</v>
      </c>
    </row>
    <row r="22" spans="1:11" ht="18.75" customHeight="1">
      <c r="A22" s="1200" t="s">
        <v>1695</v>
      </c>
      <c r="B22" s="1200">
        <v>2</v>
      </c>
      <c r="C22" s="1200">
        <v>846</v>
      </c>
      <c r="D22" s="1180">
        <v>1268</v>
      </c>
      <c r="E22" s="1200">
        <v>5</v>
      </c>
      <c r="F22" s="1200">
        <v>2</v>
      </c>
      <c r="G22" s="1200">
        <v>2</v>
      </c>
      <c r="H22" s="1200">
        <v>480</v>
      </c>
      <c r="I22" s="1200">
        <v>561</v>
      </c>
      <c r="J22" s="1200">
        <v>77</v>
      </c>
      <c r="K22" s="1180">
        <v>4</v>
      </c>
    </row>
    <row r="23" spans="1:11" ht="18.75" customHeight="1">
      <c r="A23" s="1200" t="s">
        <v>1696</v>
      </c>
      <c r="B23" s="1200">
        <v>2</v>
      </c>
      <c r="C23" s="1200">
        <v>2323</v>
      </c>
      <c r="D23" s="1180">
        <v>3887</v>
      </c>
      <c r="E23" s="1200">
        <v>70</v>
      </c>
      <c r="F23" s="1200">
        <v>31</v>
      </c>
      <c r="G23" s="1200">
        <v>97</v>
      </c>
      <c r="H23" s="1200">
        <v>10936</v>
      </c>
      <c r="I23" s="1200">
        <v>11296</v>
      </c>
      <c r="J23" s="1200">
        <v>272</v>
      </c>
      <c r="K23" s="1180">
        <v>121</v>
      </c>
    </row>
    <row r="24" spans="1:11" ht="18.75" customHeight="1">
      <c r="A24" s="1200" t="s">
        <v>958</v>
      </c>
      <c r="B24" s="1200">
        <v>1</v>
      </c>
      <c r="C24" s="1200">
        <v>259</v>
      </c>
      <c r="D24" s="1180">
        <v>261</v>
      </c>
      <c r="E24" s="1200">
        <v>60</v>
      </c>
      <c r="F24" s="1200">
        <v>27</v>
      </c>
      <c r="G24" s="1200">
        <v>104</v>
      </c>
      <c r="H24" s="1200">
        <v>185</v>
      </c>
      <c r="I24" s="1200">
        <v>395</v>
      </c>
      <c r="J24" s="1200">
        <v>169</v>
      </c>
      <c r="K24" s="1180">
        <v>167</v>
      </c>
    </row>
    <row r="25" spans="1:11" ht="18.75" customHeight="1">
      <c r="A25" s="1200" t="s">
        <v>959</v>
      </c>
      <c r="B25" s="1200">
        <v>1</v>
      </c>
      <c r="C25" s="1200">
        <v>22</v>
      </c>
      <c r="D25" s="1180">
        <v>71</v>
      </c>
      <c r="E25" s="1200">
        <v>21</v>
      </c>
      <c r="F25" s="1200">
        <v>10</v>
      </c>
      <c r="G25" s="1200">
        <v>15</v>
      </c>
      <c r="H25" s="1200">
        <v>102</v>
      </c>
      <c r="I25" s="1200">
        <v>131</v>
      </c>
      <c r="J25" s="1200">
        <v>27</v>
      </c>
      <c r="K25" s="1180">
        <v>20</v>
      </c>
    </row>
    <row r="26" spans="1:11" ht="18.75" customHeight="1">
      <c r="A26" s="1200" t="s">
        <v>960</v>
      </c>
      <c r="B26" s="1200">
        <v>1</v>
      </c>
      <c r="C26" s="1200">
        <v>6</v>
      </c>
      <c r="D26" s="1180">
        <v>6</v>
      </c>
      <c r="E26" s="1200">
        <v>8</v>
      </c>
      <c r="F26" s="1200">
        <v>3</v>
      </c>
      <c r="G26" s="1200">
        <v>4</v>
      </c>
      <c r="H26" s="1200">
        <v>39</v>
      </c>
      <c r="I26" s="1200">
        <v>44</v>
      </c>
      <c r="J26" s="1200">
        <v>5</v>
      </c>
      <c r="K26" s="1180">
        <v>6</v>
      </c>
    </row>
    <row r="27" spans="1:11" ht="18.75" customHeight="1">
      <c r="A27" s="305" t="s">
        <v>1449</v>
      </c>
      <c r="B27" s="305">
        <f t="shared" ref="B27:K27" si="0">SUM(B6:B26)</f>
        <v>134</v>
      </c>
      <c r="C27" s="305">
        <f t="shared" si="0"/>
        <v>38555</v>
      </c>
      <c r="D27" s="1174">
        <f t="shared" si="0"/>
        <v>66012</v>
      </c>
      <c r="E27" s="305">
        <f t="shared" si="0"/>
        <v>5040</v>
      </c>
      <c r="F27" s="305">
        <f t="shared" si="0"/>
        <v>1913</v>
      </c>
      <c r="G27" s="305">
        <f t="shared" si="0"/>
        <v>10781</v>
      </c>
      <c r="H27" s="305">
        <f t="shared" si="0"/>
        <v>156886</v>
      </c>
      <c r="I27" s="305">
        <f t="shared" si="0"/>
        <v>179739</v>
      </c>
      <c r="J27" s="305">
        <f t="shared" si="0"/>
        <v>19014</v>
      </c>
      <c r="K27" s="1174">
        <f t="shared" si="0"/>
        <v>8343</v>
      </c>
    </row>
    <row r="28" spans="1:11" ht="13.5" customHeight="1">
      <c r="A28" s="1176"/>
      <c r="B28" s="751"/>
      <c r="C28" s="751"/>
      <c r="D28" s="751"/>
      <c r="E28" s="751"/>
      <c r="F28" s="751"/>
      <c r="G28" s="751"/>
      <c r="H28" s="751"/>
      <c r="I28" s="1201"/>
      <c r="K28" s="1181" t="s">
        <v>1458</v>
      </c>
    </row>
    <row r="29" spans="1:11" ht="27" customHeight="1">
      <c r="A29" s="1250" t="s">
        <v>178</v>
      </c>
      <c r="B29" s="1250"/>
      <c r="C29" s="1250"/>
      <c r="D29" s="1250"/>
      <c r="E29" s="1250"/>
      <c r="F29" s="1250"/>
      <c r="G29" s="1250"/>
      <c r="H29" s="1250"/>
      <c r="I29" s="1250"/>
      <c r="J29" s="1250"/>
      <c r="K29" s="1250"/>
    </row>
    <row r="30" spans="1:11" ht="26.25" customHeight="1">
      <c r="A30" s="1195" t="s">
        <v>740</v>
      </c>
      <c r="B30" s="1562" t="s">
        <v>519</v>
      </c>
      <c r="C30" s="1562"/>
      <c r="D30" s="1562"/>
      <c r="E30" s="1562"/>
      <c r="F30" s="1562"/>
      <c r="G30" s="1562"/>
      <c r="H30" s="1562"/>
      <c r="I30" s="1562"/>
      <c r="J30" s="1562"/>
      <c r="K30" s="1563"/>
    </row>
    <row r="31" spans="1:11" ht="19.5" customHeight="1">
      <c r="A31" s="1179">
        <v>10</v>
      </c>
      <c r="B31" s="1564" t="s">
        <v>741</v>
      </c>
      <c r="C31" s="1565"/>
      <c r="D31" s="1565"/>
      <c r="E31" s="1565"/>
      <c r="F31" s="1565"/>
      <c r="G31" s="1565"/>
      <c r="H31" s="1565"/>
      <c r="I31" s="1565"/>
      <c r="J31" s="1565"/>
      <c r="K31" s="1566"/>
    </row>
    <row r="32" spans="1:11" ht="19.5" customHeight="1">
      <c r="A32" s="1175">
        <v>11</v>
      </c>
      <c r="B32" s="1559" t="s">
        <v>961</v>
      </c>
      <c r="C32" s="1559"/>
      <c r="D32" s="1559"/>
      <c r="E32" s="1559"/>
      <c r="F32" s="1559"/>
      <c r="G32" s="1559"/>
      <c r="H32" s="1559"/>
      <c r="I32" s="1559"/>
      <c r="J32" s="1559"/>
      <c r="K32" s="1560"/>
    </row>
    <row r="33" spans="1:12" ht="19.5" customHeight="1">
      <c r="A33" s="1179">
        <v>12</v>
      </c>
      <c r="B33" s="1556" t="s">
        <v>742</v>
      </c>
      <c r="C33" s="1557"/>
      <c r="D33" s="1557"/>
      <c r="E33" s="1557"/>
      <c r="F33" s="1557"/>
      <c r="G33" s="1557"/>
      <c r="H33" s="1557"/>
      <c r="I33" s="1557"/>
      <c r="J33" s="1557"/>
      <c r="K33" s="1558"/>
    </row>
    <row r="34" spans="1:12" ht="16.5" customHeight="1">
      <c r="A34" s="1179">
        <v>13</v>
      </c>
      <c r="B34" s="1556" t="s">
        <v>743</v>
      </c>
      <c r="C34" s="1557"/>
      <c r="D34" s="1557"/>
      <c r="E34" s="1557"/>
      <c r="F34" s="1557"/>
      <c r="G34" s="1557"/>
      <c r="H34" s="1557"/>
      <c r="I34" s="1557"/>
      <c r="J34" s="1557"/>
      <c r="K34" s="1558"/>
    </row>
    <row r="35" spans="1:12" ht="16.5" customHeight="1">
      <c r="A35" s="1179">
        <v>14</v>
      </c>
      <c r="B35" s="1556" t="s">
        <v>1115</v>
      </c>
      <c r="C35" s="1557"/>
      <c r="D35" s="1557"/>
      <c r="E35" s="1557"/>
      <c r="F35" s="1557"/>
      <c r="G35" s="1557"/>
      <c r="H35" s="1557"/>
      <c r="I35" s="1557"/>
      <c r="J35" s="1557"/>
      <c r="K35" s="1558"/>
    </row>
    <row r="36" spans="1:12" ht="19.5" customHeight="1">
      <c r="A36" s="1179">
        <v>16</v>
      </c>
      <c r="B36" s="1556" t="s">
        <v>749</v>
      </c>
      <c r="C36" s="1557"/>
      <c r="D36" s="1557"/>
      <c r="E36" s="1557"/>
      <c r="F36" s="1557"/>
      <c r="G36" s="1557"/>
      <c r="H36" s="1557"/>
      <c r="I36" s="1557"/>
      <c r="J36" s="1557"/>
      <c r="K36" s="1558"/>
    </row>
    <row r="37" spans="1:12" ht="19.5" customHeight="1">
      <c r="A37" s="1179">
        <v>17</v>
      </c>
      <c r="B37" s="1556" t="s">
        <v>1616</v>
      </c>
      <c r="C37" s="1557"/>
      <c r="D37" s="1557"/>
      <c r="E37" s="1557"/>
      <c r="F37" s="1557"/>
      <c r="G37" s="1557"/>
      <c r="H37" s="1557"/>
      <c r="I37" s="1557"/>
      <c r="J37" s="1557"/>
      <c r="K37" s="1558"/>
    </row>
    <row r="38" spans="1:12" ht="19.5" customHeight="1">
      <c r="A38" s="1179">
        <v>19</v>
      </c>
      <c r="B38" s="1556" t="s">
        <v>744</v>
      </c>
      <c r="C38" s="1557"/>
      <c r="D38" s="1557"/>
      <c r="E38" s="1557"/>
      <c r="F38" s="1557"/>
      <c r="G38" s="1557"/>
      <c r="H38" s="1557"/>
      <c r="I38" s="1557"/>
      <c r="J38" s="1557"/>
      <c r="K38" s="1558"/>
    </row>
    <row r="39" spans="1:12" ht="19.5" customHeight="1">
      <c r="A39" s="1179">
        <v>20</v>
      </c>
      <c r="B39" s="1556" t="s">
        <v>1617</v>
      </c>
      <c r="C39" s="1557"/>
      <c r="D39" s="1557"/>
      <c r="E39" s="1557"/>
      <c r="F39" s="1557"/>
      <c r="G39" s="1557"/>
      <c r="H39" s="1557"/>
      <c r="I39" s="1557"/>
      <c r="J39" s="1557"/>
      <c r="K39" s="1558"/>
    </row>
    <row r="40" spans="1:12" ht="19.5" customHeight="1">
      <c r="A40" s="1179">
        <v>21</v>
      </c>
      <c r="B40" s="1556" t="s">
        <v>745</v>
      </c>
      <c r="C40" s="1557"/>
      <c r="D40" s="1557"/>
      <c r="E40" s="1557"/>
      <c r="F40" s="1557"/>
      <c r="G40" s="1557"/>
      <c r="H40" s="1557"/>
      <c r="I40" s="1557"/>
      <c r="J40" s="1557"/>
      <c r="K40" s="1558"/>
    </row>
    <row r="41" spans="1:12" ht="19.5" customHeight="1">
      <c r="A41" s="1175">
        <v>22</v>
      </c>
      <c r="B41" s="1559" t="s">
        <v>962</v>
      </c>
      <c r="C41" s="1559"/>
      <c r="D41" s="1559"/>
      <c r="E41" s="1559"/>
      <c r="F41" s="1559"/>
      <c r="G41" s="1559"/>
      <c r="H41" s="1559"/>
      <c r="I41" s="1559"/>
      <c r="J41" s="1559"/>
      <c r="K41" s="1560"/>
    </row>
    <row r="42" spans="1:12" ht="19.5" customHeight="1">
      <c r="A42" s="1179">
        <v>23</v>
      </c>
      <c r="B42" s="1556" t="s">
        <v>746</v>
      </c>
      <c r="C42" s="1557"/>
      <c r="D42" s="1557"/>
      <c r="E42" s="1557"/>
      <c r="F42" s="1557"/>
      <c r="G42" s="1557"/>
      <c r="H42" s="1557"/>
      <c r="I42" s="1202"/>
      <c r="J42" s="1202"/>
      <c r="K42" s="1203"/>
      <c r="L42" s="1016"/>
    </row>
    <row r="43" spans="1:12" ht="19.5" customHeight="1">
      <c r="A43" s="1179">
        <v>24</v>
      </c>
      <c r="B43" s="1556" t="s">
        <v>1618</v>
      </c>
      <c r="C43" s="1557"/>
      <c r="D43" s="1557"/>
      <c r="E43" s="1557"/>
      <c r="F43" s="1557"/>
      <c r="G43" s="1557"/>
      <c r="H43" s="1557"/>
      <c r="I43" s="1557"/>
      <c r="J43" s="1557"/>
      <c r="K43" s="1558"/>
    </row>
    <row r="44" spans="1:12" ht="19.5" customHeight="1">
      <c r="A44" s="1179">
        <v>25</v>
      </c>
      <c r="B44" s="1556" t="s">
        <v>750</v>
      </c>
      <c r="C44" s="1557"/>
      <c r="D44" s="1557"/>
      <c r="E44" s="1557"/>
      <c r="F44" s="1557"/>
      <c r="G44" s="1557"/>
      <c r="H44" s="1557"/>
      <c r="I44" s="1557"/>
      <c r="J44" s="1557"/>
      <c r="K44" s="1558"/>
    </row>
    <row r="45" spans="1:12" ht="19.5" customHeight="1">
      <c r="A45" s="1179">
        <v>26</v>
      </c>
      <c r="B45" s="1556" t="s">
        <v>747</v>
      </c>
      <c r="C45" s="1557"/>
      <c r="D45" s="1557"/>
      <c r="E45" s="1557"/>
      <c r="F45" s="1557"/>
      <c r="G45" s="1557"/>
      <c r="H45" s="1557"/>
      <c r="I45" s="1557"/>
      <c r="J45" s="1557"/>
      <c r="K45" s="1558"/>
    </row>
    <row r="46" spans="1:12" ht="19.5" customHeight="1">
      <c r="A46" s="1179">
        <v>27</v>
      </c>
      <c r="B46" s="1556" t="s">
        <v>748</v>
      </c>
      <c r="C46" s="1557"/>
      <c r="D46" s="1557"/>
      <c r="E46" s="1557"/>
      <c r="F46" s="1557"/>
      <c r="G46" s="1557"/>
      <c r="H46" s="1557"/>
      <c r="I46" s="1557"/>
      <c r="J46" s="1557"/>
      <c r="K46" s="1558"/>
    </row>
    <row r="47" spans="1:12" ht="19.5" customHeight="1">
      <c r="A47" s="1200">
        <v>28</v>
      </c>
      <c r="B47" s="1204" t="s">
        <v>1697</v>
      </c>
      <c r="C47" s="1205"/>
      <c r="D47" s="1205"/>
      <c r="E47" s="1205"/>
      <c r="F47" s="1205"/>
      <c r="G47" s="1205"/>
      <c r="H47" s="1205"/>
      <c r="I47" s="1205"/>
      <c r="J47" s="1205"/>
      <c r="K47" s="1206"/>
    </row>
    <row r="48" spans="1:12" ht="19.5" customHeight="1">
      <c r="A48" s="1200">
        <v>29</v>
      </c>
      <c r="B48" s="1204" t="s">
        <v>1698</v>
      </c>
      <c r="C48" s="1205"/>
      <c r="D48" s="1205"/>
      <c r="E48" s="1205"/>
      <c r="F48" s="1205"/>
      <c r="G48" s="1205"/>
      <c r="H48" s="1205"/>
      <c r="I48" s="1205"/>
      <c r="J48" s="1205"/>
      <c r="K48" s="1206"/>
    </row>
    <row r="49" spans="1:11" ht="19.5" customHeight="1">
      <c r="A49" s="1175">
        <v>38</v>
      </c>
      <c r="B49" s="1559" t="s">
        <v>963</v>
      </c>
      <c r="C49" s="1559"/>
      <c r="D49" s="1559"/>
      <c r="E49" s="1559"/>
      <c r="F49" s="1559"/>
      <c r="G49" s="1559"/>
      <c r="H49" s="1559"/>
      <c r="I49" s="1559"/>
      <c r="J49" s="1559"/>
      <c r="K49" s="1560"/>
    </row>
    <row r="50" spans="1:11" ht="19.5" customHeight="1">
      <c r="A50" s="1200">
        <v>45</v>
      </c>
      <c r="B50" s="1557" t="s">
        <v>751</v>
      </c>
      <c r="C50" s="1557"/>
      <c r="D50" s="1557"/>
      <c r="E50" s="1557"/>
      <c r="F50" s="1557"/>
      <c r="G50" s="1557"/>
      <c r="H50" s="1557"/>
      <c r="I50" s="1557"/>
      <c r="J50" s="1205"/>
      <c r="K50" s="1206"/>
    </row>
    <row r="51" spans="1:11" ht="19.5" customHeight="1">
      <c r="A51" s="116">
        <v>95</v>
      </c>
      <c r="B51" s="1553" t="s">
        <v>964</v>
      </c>
      <c r="C51" s="1554"/>
      <c r="D51" s="1554"/>
      <c r="E51" s="1554"/>
      <c r="F51" s="1554"/>
      <c r="G51" s="1554"/>
      <c r="H51" s="1554"/>
      <c r="I51" s="1554"/>
      <c r="J51" s="1554"/>
      <c r="K51" s="1555"/>
    </row>
    <row r="52" spans="1:11" ht="12" customHeight="1">
      <c r="A52" s="18"/>
      <c r="B52" s="1201"/>
      <c r="C52" s="1201"/>
      <c r="D52" s="1201"/>
      <c r="E52" s="1201"/>
      <c r="F52" s="1201"/>
      <c r="G52" s="1201"/>
      <c r="H52" s="1201"/>
      <c r="I52" s="1201"/>
      <c r="K52" s="1181" t="s">
        <v>1485</v>
      </c>
    </row>
    <row r="53" spans="1:11" ht="12.75" hidden="1" customHeight="1">
      <c r="F53" s="1207"/>
    </row>
    <row r="60" spans="1:11">
      <c r="B60" s="1208"/>
      <c r="C60" s="1208"/>
      <c r="E60" s="1208"/>
      <c r="F60" s="1016"/>
      <c r="G60" s="1208"/>
      <c r="H60" s="1016"/>
      <c r="I60" s="1208"/>
    </row>
    <row r="61" spans="1:11">
      <c r="B61" s="1208"/>
      <c r="C61" s="1016"/>
      <c r="E61" s="1208"/>
      <c r="F61" s="1016"/>
      <c r="G61" s="1208"/>
      <c r="H61" s="1016"/>
      <c r="I61" s="1016"/>
    </row>
    <row r="62" spans="1:11">
      <c r="B62" s="1208"/>
      <c r="C62" s="1208"/>
      <c r="E62" s="1208"/>
      <c r="F62" s="1016"/>
      <c r="G62" s="1016"/>
      <c r="H62" s="1016"/>
      <c r="I62" s="1016"/>
    </row>
    <row r="63" spans="1:11">
      <c r="B63" s="1208"/>
      <c r="C63" s="1208"/>
      <c r="E63" s="1208"/>
      <c r="F63" s="1016"/>
      <c r="G63" s="1016"/>
      <c r="H63" s="1016"/>
      <c r="I63" s="1016"/>
    </row>
    <row r="64" spans="1:11">
      <c r="E64" s="1208"/>
      <c r="F64" s="1016"/>
      <c r="G64" s="1016"/>
      <c r="H64" s="1016"/>
      <c r="I64" s="1016"/>
    </row>
    <row r="65" spans="2:12">
      <c r="E65" s="1208"/>
      <c r="F65" s="1016"/>
      <c r="G65" s="1016"/>
      <c r="H65" s="1016"/>
      <c r="I65" s="1016"/>
    </row>
    <row r="66" spans="2:12">
      <c r="B66" s="1209"/>
      <c r="C66" s="1209"/>
      <c r="D66" s="1209"/>
      <c r="E66" s="1209"/>
      <c r="F66" s="1209"/>
      <c r="G66" s="1209"/>
      <c r="H66" s="1209"/>
      <c r="I66" s="1209"/>
      <c r="J66" s="1209"/>
      <c r="K66" s="1209"/>
      <c r="L66" s="1209"/>
    </row>
    <row r="67" spans="2:12">
      <c r="B67" s="1209"/>
      <c r="C67" s="1209"/>
      <c r="D67" s="1209"/>
      <c r="E67" s="1209"/>
      <c r="F67" s="1209"/>
      <c r="G67" s="1209"/>
      <c r="H67" s="1209"/>
      <c r="I67" s="1209"/>
      <c r="J67" s="1209"/>
      <c r="K67" s="1209"/>
      <c r="L67" s="1209"/>
    </row>
    <row r="68" spans="2:12">
      <c r="B68" s="1209"/>
      <c r="C68" s="1209"/>
      <c r="D68" s="1209"/>
      <c r="E68" s="1209"/>
      <c r="F68" s="1209"/>
      <c r="G68" s="1209"/>
      <c r="H68" s="1209"/>
      <c r="I68" s="1209"/>
      <c r="J68" s="1209"/>
      <c r="K68" s="1209"/>
      <c r="L68" s="1209"/>
    </row>
    <row r="69" spans="2:12">
      <c r="B69" s="1209"/>
      <c r="C69" s="1209"/>
      <c r="D69" s="1209"/>
      <c r="E69" s="1209"/>
      <c r="F69" s="1209"/>
      <c r="G69" s="1209"/>
      <c r="H69" s="1209"/>
      <c r="I69" s="1209"/>
      <c r="J69" s="1209"/>
      <c r="K69" s="1209"/>
      <c r="L69" s="1210"/>
    </row>
  </sheetData>
  <mergeCells count="24">
    <mergeCell ref="B37:K37"/>
    <mergeCell ref="A1:K1"/>
    <mergeCell ref="A2:K2"/>
    <mergeCell ref="E3:K3"/>
    <mergeCell ref="A29:K29"/>
    <mergeCell ref="B30:K30"/>
    <mergeCell ref="B31:K31"/>
    <mergeCell ref="B32:K32"/>
    <mergeCell ref="B33:K33"/>
    <mergeCell ref="B34:K34"/>
    <mergeCell ref="B35:K35"/>
    <mergeCell ref="B36:K36"/>
    <mergeCell ref="B51:K51"/>
    <mergeCell ref="B38:K38"/>
    <mergeCell ref="B39:K39"/>
    <mergeCell ref="B40:K40"/>
    <mergeCell ref="B41:K41"/>
    <mergeCell ref="B42:H42"/>
    <mergeCell ref="B43:K43"/>
    <mergeCell ref="B44:K44"/>
    <mergeCell ref="B45:K45"/>
    <mergeCell ref="B46:K46"/>
    <mergeCell ref="B49:K49"/>
    <mergeCell ref="B50:I50"/>
  </mergeCells>
  <printOptions horizontalCentered="1"/>
  <pageMargins left="0.1" right="0.1" top="0.59" bottom="0.1" header="0.19" footer="0.1"/>
  <pageSetup paperSize="9" orientation="landscape" blackAndWhite="1" r:id="rId1"/>
  <headerFooter alignWithMargins="0"/>
  <rowBreaks count="1" manualBreakCount="1">
    <brk id="28" max="16383" man="1"/>
  </rowBreaks>
</worksheet>
</file>

<file path=xl/worksheets/sheet61.xml><?xml version="1.0" encoding="utf-8"?>
<worksheet xmlns="http://schemas.openxmlformats.org/spreadsheetml/2006/main" xmlns:r="http://schemas.openxmlformats.org/officeDocument/2006/relationships">
  <dimension ref="A1:I13"/>
  <sheetViews>
    <sheetView workbookViewId="0">
      <selection activeCell="I31" sqref="I31"/>
    </sheetView>
  </sheetViews>
  <sheetFormatPr defaultRowHeight="12.75"/>
  <cols>
    <col min="1" max="1" width="17.7109375" style="405" customWidth="1"/>
    <col min="2" max="9" width="13.140625" style="405" customWidth="1"/>
    <col min="10" max="16384" width="9.140625" style="405"/>
  </cols>
  <sheetData>
    <row r="1" spans="1:9" ht="18" customHeight="1">
      <c r="A1" s="1261" t="s">
        <v>476</v>
      </c>
      <c r="B1" s="1261"/>
      <c r="C1" s="1261"/>
      <c r="D1" s="1261"/>
      <c r="E1" s="1261"/>
      <c r="F1" s="1261"/>
      <c r="G1" s="1261"/>
      <c r="H1" s="1261"/>
      <c r="I1" s="1261"/>
    </row>
    <row r="2" spans="1:9" s="412" customFormat="1" ht="18" customHeight="1">
      <c r="A2" s="1269" t="str">
        <f>CONCATENATE("Production in Sericulture Industry in the district of ",District!A1)</f>
        <v>Production in Sericulture Industry in the district of Nadia</v>
      </c>
      <c r="B2" s="1269"/>
      <c r="C2" s="1269"/>
      <c r="D2" s="1269"/>
      <c r="E2" s="1269"/>
      <c r="F2" s="1269"/>
      <c r="G2" s="1269"/>
      <c r="H2" s="1269"/>
      <c r="I2" s="1269"/>
    </row>
    <row r="3" spans="1:9" ht="13.5" customHeight="1">
      <c r="A3" s="412"/>
      <c r="B3" s="22"/>
      <c r="C3" s="22"/>
      <c r="D3" s="22"/>
      <c r="E3" s="22"/>
      <c r="F3" s="16"/>
      <c r="G3" s="16"/>
      <c r="H3" s="21"/>
      <c r="I3" s="21"/>
    </row>
    <row r="4" spans="1:9" ht="18" customHeight="1">
      <c r="A4" s="1567" t="s">
        <v>107</v>
      </c>
      <c r="B4" s="1251" t="s">
        <v>759</v>
      </c>
      <c r="C4" s="1251"/>
      <c r="D4" s="1251"/>
      <c r="E4" s="1252"/>
      <c r="F4" s="1253" t="s">
        <v>1053</v>
      </c>
      <c r="G4" s="1251"/>
      <c r="H4" s="1251"/>
      <c r="I4" s="1252"/>
    </row>
    <row r="5" spans="1:9" ht="42.75" customHeight="1">
      <c r="A5" s="1568"/>
      <c r="B5" s="400" t="s">
        <v>241</v>
      </c>
      <c r="C5" s="400" t="s">
        <v>244</v>
      </c>
      <c r="D5" s="400" t="s">
        <v>242</v>
      </c>
      <c r="E5" s="401" t="s">
        <v>243</v>
      </c>
      <c r="F5" s="212" t="s">
        <v>760</v>
      </c>
      <c r="G5" s="212" t="s">
        <v>761</v>
      </c>
      <c r="H5" s="674" t="s">
        <v>762</v>
      </c>
      <c r="I5" s="753" t="s">
        <v>763</v>
      </c>
    </row>
    <row r="6" spans="1:9" ht="18" customHeight="1">
      <c r="A6" s="225" t="s">
        <v>163</v>
      </c>
      <c r="B6" s="226" t="s">
        <v>164</v>
      </c>
      <c r="C6" s="226" t="s">
        <v>165</v>
      </c>
      <c r="D6" s="226" t="s">
        <v>166</v>
      </c>
      <c r="E6" s="224" t="s">
        <v>167</v>
      </c>
      <c r="F6" s="226" t="s">
        <v>168</v>
      </c>
      <c r="G6" s="226" t="s">
        <v>169</v>
      </c>
      <c r="H6" s="226" t="s">
        <v>211</v>
      </c>
      <c r="I6" s="224" t="s">
        <v>212</v>
      </c>
    </row>
    <row r="7" spans="1:9" ht="36" customHeight="1">
      <c r="A7" s="81" t="str">
        <f>District!D13</f>
        <v>2009-10</v>
      </c>
      <c r="B7" s="188">
        <v>154.07</v>
      </c>
      <c r="C7" s="21" t="s">
        <v>643</v>
      </c>
      <c r="D7" s="21" t="s">
        <v>643</v>
      </c>
      <c r="E7" s="44" t="s">
        <v>643</v>
      </c>
      <c r="F7" s="196">
        <v>16948</v>
      </c>
      <c r="G7" s="503" t="s">
        <v>643</v>
      </c>
      <c r="H7" s="503" t="s">
        <v>643</v>
      </c>
      <c r="I7" s="421" t="s">
        <v>643</v>
      </c>
    </row>
    <row r="8" spans="1:9" ht="36" customHeight="1">
      <c r="A8" s="81" t="str">
        <f>District!D14</f>
        <v>2010-11</v>
      </c>
      <c r="B8" s="188">
        <v>151</v>
      </c>
      <c r="C8" s="20" t="s">
        <v>643</v>
      </c>
      <c r="D8" s="20" t="s">
        <v>643</v>
      </c>
      <c r="E8" s="44" t="s">
        <v>643</v>
      </c>
      <c r="F8" s="196">
        <v>18875</v>
      </c>
      <c r="G8" s="20" t="s">
        <v>643</v>
      </c>
      <c r="H8" s="20" t="s">
        <v>643</v>
      </c>
      <c r="I8" s="44" t="s">
        <v>643</v>
      </c>
    </row>
    <row r="9" spans="1:9" ht="36" customHeight="1">
      <c r="A9" s="81" t="str">
        <f>District!D15</f>
        <v>2011-12</v>
      </c>
      <c r="B9" s="188">
        <v>150</v>
      </c>
      <c r="C9" s="20" t="s">
        <v>643</v>
      </c>
      <c r="D9" s="20" t="s">
        <v>643</v>
      </c>
      <c r="E9" s="44" t="s">
        <v>643</v>
      </c>
      <c r="F9" s="196">
        <v>30000</v>
      </c>
      <c r="G9" s="20" t="s">
        <v>643</v>
      </c>
      <c r="H9" s="20" t="s">
        <v>643</v>
      </c>
      <c r="I9" s="44" t="s">
        <v>643</v>
      </c>
    </row>
    <row r="10" spans="1:9" ht="36" customHeight="1">
      <c r="A10" s="81" t="str">
        <f>District!D16</f>
        <v>2012-13</v>
      </c>
      <c r="B10" s="188">
        <v>183</v>
      </c>
      <c r="C10" s="20" t="s">
        <v>643</v>
      </c>
      <c r="D10" s="20" t="s">
        <v>643</v>
      </c>
      <c r="E10" s="44" t="s">
        <v>643</v>
      </c>
      <c r="F10" s="196">
        <v>45750</v>
      </c>
      <c r="G10" s="20" t="s">
        <v>643</v>
      </c>
      <c r="H10" s="20" t="s">
        <v>643</v>
      </c>
      <c r="I10" s="44" t="s">
        <v>643</v>
      </c>
    </row>
    <row r="11" spans="1:9" ht="36" customHeight="1">
      <c r="A11" s="127" t="str">
        <f>District!D17</f>
        <v>2013-14</v>
      </c>
      <c r="B11" s="239">
        <v>188.77</v>
      </c>
      <c r="C11" s="26" t="s">
        <v>643</v>
      </c>
      <c r="D11" s="26" t="s">
        <v>643</v>
      </c>
      <c r="E11" s="26" t="s">
        <v>643</v>
      </c>
      <c r="F11" s="240">
        <v>56631</v>
      </c>
      <c r="G11" s="26" t="s">
        <v>643</v>
      </c>
      <c r="H11" s="26" t="s">
        <v>643</v>
      </c>
      <c r="I11" s="130" t="s">
        <v>643</v>
      </c>
    </row>
    <row r="12" spans="1:9">
      <c r="A12" s="9"/>
      <c r="B12" s="705"/>
      <c r="C12" s="705"/>
      <c r="D12" s="705"/>
      <c r="E12" s="705"/>
      <c r="F12" s="705"/>
      <c r="G12" s="754"/>
      <c r="H12" s="6"/>
      <c r="I12" s="280" t="str">
        <f>CONCATENATE("Source : Dy. Director of Sericulture, ",District!A1)</f>
        <v>Source : Dy. Director of Sericulture, Nadia</v>
      </c>
    </row>
    <row r="13" spans="1:9">
      <c r="E13" s="27"/>
      <c r="F13" s="27"/>
      <c r="G13" s="27"/>
    </row>
  </sheetData>
  <mergeCells count="5">
    <mergeCell ref="A1:I1"/>
    <mergeCell ref="A4:A5"/>
    <mergeCell ref="B4:E4"/>
    <mergeCell ref="F4:I4"/>
    <mergeCell ref="A2:I2"/>
  </mergeCells>
  <phoneticPr fontId="0" type="noConversion"/>
  <printOptions horizontalCentered="1"/>
  <pageMargins left="0.1" right="0.1" top="1.1000000000000001" bottom="0.37" header="0.16" footer="0.26"/>
  <pageSetup paperSize="9" orientation="landscape" blackAndWhite="1" r:id="rId1"/>
  <headerFooter alignWithMargins="0"/>
</worksheet>
</file>

<file path=xl/worksheets/sheet62.xml><?xml version="1.0" encoding="utf-8"?>
<worksheet xmlns="http://schemas.openxmlformats.org/spreadsheetml/2006/main" xmlns:r="http://schemas.openxmlformats.org/officeDocument/2006/relationships">
  <sheetPr codeName="Sheet79" enableFormatConditionsCalculation="0"/>
  <dimension ref="A3:K21"/>
  <sheetViews>
    <sheetView workbookViewId="0">
      <selection activeCell="G11" sqref="G11"/>
    </sheetView>
  </sheetViews>
  <sheetFormatPr defaultRowHeight="12.75"/>
  <cols>
    <col min="1" max="1" width="4" style="765" customWidth="1"/>
    <col min="2" max="2" width="35.7109375" style="765" customWidth="1"/>
    <col min="3" max="3" width="17.140625" style="765" customWidth="1"/>
    <col min="4" max="4" width="17.7109375" style="765" customWidth="1"/>
    <col min="5" max="6" width="17.28515625" style="765" customWidth="1"/>
    <col min="7" max="7" width="18.140625" style="765" customWidth="1"/>
    <col min="8" max="8" width="14.85546875" style="765" customWidth="1"/>
    <col min="9" max="16384" width="9.140625" style="765"/>
  </cols>
  <sheetData>
    <row r="3" spans="1:11" ht="15.75" customHeight="1">
      <c r="A3" s="1261" t="s">
        <v>477</v>
      </c>
      <c r="B3" s="1261"/>
      <c r="C3" s="1261"/>
      <c r="D3" s="1261"/>
      <c r="E3" s="1261"/>
      <c r="F3" s="1261"/>
      <c r="G3" s="1261"/>
    </row>
    <row r="4" spans="1:11" ht="20.25" customHeight="1">
      <c r="A4" s="1269" t="s">
        <v>975</v>
      </c>
      <c r="B4" s="1269"/>
      <c r="C4" s="1269"/>
      <c r="D4" s="1269"/>
      <c r="E4" s="1269"/>
      <c r="F4" s="1269"/>
      <c r="G4" s="1269"/>
      <c r="H4" s="29"/>
      <c r="I4" s="29"/>
      <c r="J4" s="29"/>
      <c r="K4" s="21"/>
    </row>
    <row r="5" spans="1:11" s="6" customFormat="1" ht="15.75" customHeight="1">
      <c r="D5" s="1009"/>
      <c r="E5" s="1009"/>
      <c r="F5" s="1009"/>
      <c r="G5" s="1010" t="s">
        <v>223</v>
      </c>
      <c r="H5" s="16"/>
      <c r="I5" s="21"/>
      <c r="J5" s="21"/>
      <c r="K5" s="21"/>
    </row>
    <row r="6" spans="1:11" s="6" customFormat="1" ht="27" customHeight="1">
      <c r="A6" s="1253" t="s">
        <v>765</v>
      </c>
      <c r="B6" s="1252"/>
      <c r="C6" s="221">
        <f>District!C7</f>
        <v>2010</v>
      </c>
      <c r="D6" s="221">
        <f>District!D7</f>
        <v>2011</v>
      </c>
      <c r="E6" s="221">
        <f>District!E7</f>
        <v>2012</v>
      </c>
      <c r="F6" s="221">
        <f>District!F7</f>
        <v>2013</v>
      </c>
      <c r="G6" s="221">
        <f>District!G7</f>
        <v>2014</v>
      </c>
      <c r="H6" s="45"/>
      <c r="I6" s="45"/>
      <c r="J6" s="45"/>
      <c r="K6" s="24"/>
    </row>
    <row r="7" spans="1:11" s="6" customFormat="1" ht="25.5" customHeight="1">
      <c r="A7" s="1259" t="s">
        <v>163</v>
      </c>
      <c r="B7" s="1260"/>
      <c r="C7" s="225" t="s">
        <v>164</v>
      </c>
      <c r="D7" s="476" t="s">
        <v>165</v>
      </c>
      <c r="E7" s="225" t="s">
        <v>166</v>
      </c>
      <c r="F7" s="299" t="s">
        <v>167</v>
      </c>
      <c r="G7" s="225" t="s">
        <v>168</v>
      </c>
      <c r="H7" s="589"/>
      <c r="I7" s="581"/>
      <c r="J7" s="581"/>
      <c r="K7" s="581"/>
    </row>
    <row r="8" spans="1:11" ht="42.75" customHeight="1">
      <c r="A8" s="1011" t="s">
        <v>555</v>
      </c>
      <c r="B8" s="1012" t="s">
        <v>976</v>
      </c>
      <c r="C8" s="1013"/>
      <c r="D8" s="1014"/>
      <c r="E8" s="1013"/>
      <c r="F8" s="1015"/>
      <c r="G8" s="1013"/>
      <c r="H8" s="1016"/>
      <c r="I8" s="1016"/>
      <c r="J8" s="1016"/>
    </row>
    <row r="9" spans="1:11" ht="35.25" customHeight="1">
      <c r="A9" s="1017"/>
      <c r="B9" s="312" t="s">
        <v>1135</v>
      </c>
      <c r="C9" s="81">
        <v>219</v>
      </c>
      <c r="D9" s="81">
        <v>224</v>
      </c>
      <c r="E9" s="81">
        <v>234</v>
      </c>
      <c r="F9" s="81" t="s">
        <v>1032</v>
      </c>
      <c r="G9" s="1115" t="s">
        <v>1665</v>
      </c>
      <c r="I9" s="1016"/>
      <c r="J9" s="1016"/>
    </row>
    <row r="10" spans="1:11" ht="47.25" customHeight="1">
      <c r="A10" s="1017"/>
      <c r="B10" s="312" t="s">
        <v>1136</v>
      </c>
      <c r="C10" s="81">
        <v>15253</v>
      </c>
      <c r="D10" s="81">
        <v>15372</v>
      </c>
      <c r="E10" s="81">
        <v>15655</v>
      </c>
      <c r="F10" s="81" t="s">
        <v>1033</v>
      </c>
      <c r="G10" s="1115" t="s">
        <v>1666</v>
      </c>
      <c r="I10" s="1016"/>
      <c r="J10" s="1016"/>
    </row>
    <row r="11" spans="1:11" ht="58.5" customHeight="1">
      <c r="A11" s="1018" t="s">
        <v>972</v>
      </c>
      <c r="B11" s="1019" t="s">
        <v>1667</v>
      </c>
      <c r="C11" s="129" t="s">
        <v>1170</v>
      </c>
      <c r="D11" s="129">
        <v>16893</v>
      </c>
      <c r="E11" s="129" t="s">
        <v>1170</v>
      </c>
      <c r="F11" s="129">
        <v>16838</v>
      </c>
      <c r="G11" s="129">
        <v>16058</v>
      </c>
      <c r="I11" s="1016"/>
      <c r="J11" s="1016"/>
    </row>
    <row r="12" spans="1:11" ht="12" customHeight="1">
      <c r="A12" s="561"/>
      <c r="B12" s="431"/>
      <c r="C12" s="30"/>
      <c r="E12" s="430" t="s">
        <v>1247</v>
      </c>
      <c r="F12" s="30" t="s">
        <v>973</v>
      </c>
      <c r="G12" s="30"/>
      <c r="H12" s="1016"/>
      <c r="I12" s="1016"/>
      <c r="J12" s="1016"/>
    </row>
    <row r="13" spans="1:11" ht="12" customHeight="1">
      <c r="A13" s="267"/>
      <c r="B13" s="267"/>
      <c r="C13" s="30"/>
      <c r="D13" s="30"/>
      <c r="E13" s="280" t="s">
        <v>1248</v>
      </c>
      <c r="F13" s="30" t="s">
        <v>974</v>
      </c>
      <c r="G13" s="30"/>
      <c r="H13" s="1016"/>
      <c r="I13" s="1016"/>
      <c r="J13" s="1016"/>
    </row>
    <row r="14" spans="1:11" ht="12.75" customHeight="1">
      <c r="A14" s="297"/>
      <c r="B14" s="297"/>
      <c r="C14" s="297"/>
      <c r="D14" s="30"/>
      <c r="E14" s="30"/>
      <c r="F14" s="18"/>
      <c r="G14" s="30"/>
      <c r="H14" s="1016"/>
      <c r="I14" s="1016"/>
      <c r="J14" s="1016"/>
    </row>
    <row r="15" spans="1:11" ht="12.75" customHeight="1">
      <c r="A15" s="297"/>
      <c r="B15" s="297"/>
      <c r="C15" s="297"/>
      <c r="D15" s="30"/>
      <c r="E15" s="1020"/>
      <c r="F15" s="742"/>
      <c r="G15" s="742"/>
      <c r="H15" s="1016"/>
      <c r="I15" s="1016"/>
      <c r="J15" s="1016"/>
    </row>
    <row r="16" spans="1:11" ht="12" customHeight="1">
      <c r="A16" s="297"/>
      <c r="B16" s="297"/>
      <c r="C16" s="297"/>
      <c r="D16" s="30"/>
      <c r="E16" s="742"/>
      <c r="F16" s="742"/>
      <c r="G16" s="742"/>
      <c r="H16" s="1016"/>
      <c r="I16" s="1016"/>
      <c r="J16" s="1016"/>
    </row>
    <row r="17" spans="2:11" ht="18" customHeight="1">
      <c r="B17" s="1021"/>
      <c r="C17" s="1016"/>
      <c r="D17" s="1016"/>
      <c r="E17" s="1016"/>
      <c r="F17" s="1016"/>
      <c r="G17" s="1016"/>
      <c r="H17" s="1016"/>
      <c r="I17" s="1016"/>
      <c r="J17" s="1016"/>
    </row>
    <row r="18" spans="2:11" ht="18" customHeight="1">
      <c r="B18" s="1021"/>
      <c r="C18" s="1016"/>
      <c r="D18" s="1016"/>
      <c r="E18" s="1016"/>
      <c r="F18" s="1016"/>
      <c r="G18" s="1016"/>
      <c r="H18" s="1016"/>
      <c r="I18" s="1016"/>
      <c r="J18" s="1016"/>
    </row>
    <row r="19" spans="2:11" ht="18" customHeight="1">
      <c r="B19" s="1014"/>
      <c r="C19" s="1016"/>
      <c r="D19" s="1016"/>
      <c r="E19" s="1016"/>
      <c r="F19" s="1016"/>
      <c r="G19" s="1016"/>
      <c r="H19" s="1016"/>
      <c r="I19" s="1016"/>
      <c r="J19" s="1016"/>
      <c r="K19" s="1016"/>
    </row>
    <row r="20" spans="2:11">
      <c r="B20" s="9"/>
      <c r="C20" s="27"/>
      <c r="D20" s="1022"/>
      <c r="E20" s="1022"/>
      <c r="F20" s="1022"/>
      <c r="H20" s="1022"/>
    </row>
    <row r="21" spans="2:11">
      <c r="C21" s="27"/>
      <c r="D21" s="27"/>
      <c r="E21" s="27"/>
      <c r="F21" s="27"/>
      <c r="G21" s="27"/>
      <c r="H21" s="27"/>
    </row>
  </sheetData>
  <mergeCells count="4">
    <mergeCell ref="A3:G3"/>
    <mergeCell ref="A4:G4"/>
    <mergeCell ref="A7:B7"/>
    <mergeCell ref="A6:B6"/>
  </mergeCells>
  <phoneticPr fontId="0" type="noConversion"/>
  <conditionalFormatting sqref="A1:A1048576 B7:B65536 B1:B5 C1:IV1048576">
    <cfRule type="cellIs" dxfId="6" priority="1" stopIfTrue="1" operator="equal">
      <formula>".."</formula>
    </cfRule>
  </conditionalFormatting>
  <printOptions horizontalCentered="1"/>
  <pageMargins left="0.1" right="0.1" top="0.95" bottom="0.1" header="0.5" footer="0.1"/>
  <pageSetup paperSize="9" orientation="landscape" blackAndWhite="1" r:id="rId1"/>
  <headerFooter alignWithMargins="0"/>
</worksheet>
</file>

<file path=xl/worksheets/sheet63.xml><?xml version="1.0" encoding="utf-8"?>
<worksheet xmlns="http://schemas.openxmlformats.org/spreadsheetml/2006/main" xmlns:r="http://schemas.openxmlformats.org/officeDocument/2006/relationships">
  <dimension ref="B1:O31"/>
  <sheetViews>
    <sheetView topLeftCell="B16" workbookViewId="0">
      <selection activeCell="E18" sqref="E18"/>
    </sheetView>
  </sheetViews>
  <sheetFormatPr defaultRowHeight="12.75"/>
  <cols>
    <col min="1" max="1" width="8.5703125" style="405" customWidth="1"/>
    <col min="2" max="2" width="9.5703125" style="405" customWidth="1"/>
    <col min="3" max="3" width="10" style="405" customWidth="1"/>
    <col min="4" max="4" width="10.140625" style="405" customWidth="1"/>
    <col min="5" max="5" width="10.42578125" style="405" customWidth="1"/>
    <col min="6" max="6" width="9.85546875" style="405" customWidth="1"/>
    <col min="7" max="7" width="10.140625" style="405" customWidth="1"/>
    <col min="8" max="8" width="9.5703125" style="405" customWidth="1"/>
    <col min="9" max="10" width="10" style="405" customWidth="1"/>
    <col min="11" max="11" width="10.140625" style="405" customWidth="1"/>
    <col min="12" max="12" width="9.85546875" style="405" customWidth="1"/>
    <col min="13" max="14" width="10.42578125" style="405" customWidth="1"/>
    <col min="15" max="16384" width="9.140625" style="405"/>
  </cols>
  <sheetData>
    <row r="1" spans="2:14" ht="12.75" customHeight="1">
      <c r="B1" s="1250" t="s">
        <v>479</v>
      </c>
      <c r="C1" s="1250"/>
      <c r="D1" s="1250"/>
      <c r="E1" s="1250"/>
      <c r="F1" s="1250"/>
      <c r="G1" s="1250"/>
      <c r="H1" s="1250"/>
      <c r="I1" s="1250"/>
      <c r="J1" s="1250"/>
      <c r="K1" s="1250"/>
      <c r="L1" s="1250"/>
      <c r="M1" s="1250"/>
      <c r="N1" s="1250"/>
    </row>
    <row r="2" spans="2:14" s="412" customFormat="1" ht="14.25" customHeight="1">
      <c r="B2" s="1267" t="str">
        <f>CONCATENATE("Number of Establishments in rural and urban areas in the district of ",District!A1)</f>
        <v>Number of Establishments in rural and urban areas in the district of Nadia</v>
      </c>
      <c r="C2" s="1267"/>
      <c r="D2" s="1267"/>
      <c r="E2" s="1267"/>
      <c r="F2" s="1267"/>
      <c r="G2" s="1267"/>
      <c r="H2" s="1267"/>
      <c r="I2" s="1267"/>
      <c r="J2" s="1267"/>
      <c r="K2" s="1267"/>
      <c r="L2" s="1267"/>
      <c r="M2" s="1267"/>
      <c r="N2" s="1267"/>
    </row>
    <row r="3" spans="2:14" s="5" customFormat="1" ht="13.5" customHeight="1">
      <c r="B3" s="1262" t="s">
        <v>764</v>
      </c>
      <c r="C3" s="1251" t="s">
        <v>1450</v>
      </c>
      <c r="D3" s="1251"/>
      <c r="E3" s="1251"/>
      <c r="F3" s="1252"/>
      <c r="G3" s="1253" t="s">
        <v>1453</v>
      </c>
      <c r="H3" s="1251"/>
      <c r="I3" s="1251"/>
      <c r="J3" s="1252"/>
      <c r="K3" s="1251" t="s">
        <v>752</v>
      </c>
      <c r="L3" s="1251"/>
      <c r="M3" s="1251"/>
      <c r="N3" s="1252"/>
    </row>
    <row r="4" spans="2:14" s="6" customFormat="1" ht="15" customHeight="1">
      <c r="B4" s="1300"/>
      <c r="C4" s="1251">
        <v>2005</v>
      </c>
      <c r="D4" s="1252"/>
      <c r="E4" s="1251">
        <v>2013</v>
      </c>
      <c r="F4" s="1252"/>
      <c r="G4" s="1251">
        <v>2005</v>
      </c>
      <c r="H4" s="1252"/>
      <c r="I4" s="1251">
        <v>2013</v>
      </c>
      <c r="J4" s="1252"/>
      <c r="K4" s="1251">
        <v>2005</v>
      </c>
      <c r="L4" s="1252"/>
      <c r="M4" s="1251">
        <v>2013</v>
      </c>
      <c r="N4" s="1252"/>
    </row>
    <row r="5" spans="2:14" s="6" customFormat="1" ht="27" customHeight="1">
      <c r="B5" s="1300"/>
      <c r="C5" s="747" t="s">
        <v>766</v>
      </c>
      <c r="D5" s="496" t="s">
        <v>767</v>
      </c>
      <c r="E5" s="747" t="s">
        <v>766</v>
      </c>
      <c r="F5" s="496" t="s">
        <v>767</v>
      </c>
      <c r="G5" s="495" t="s">
        <v>766</v>
      </c>
      <c r="H5" s="485" t="s">
        <v>767</v>
      </c>
      <c r="I5" s="747" t="s">
        <v>766</v>
      </c>
      <c r="J5" s="755" t="s">
        <v>767</v>
      </c>
      <c r="K5" s="495" t="s">
        <v>766</v>
      </c>
      <c r="L5" s="485" t="s">
        <v>767</v>
      </c>
      <c r="M5" s="747" t="s">
        <v>766</v>
      </c>
      <c r="N5" s="485" t="s">
        <v>767</v>
      </c>
    </row>
    <row r="6" spans="2:14" s="6" customFormat="1" ht="13.5" customHeight="1">
      <c r="B6" s="225" t="s">
        <v>163</v>
      </c>
      <c r="C6" s="226" t="s">
        <v>164</v>
      </c>
      <c r="D6" s="224" t="s">
        <v>165</v>
      </c>
      <c r="E6" s="226" t="s">
        <v>166</v>
      </c>
      <c r="F6" s="224" t="s">
        <v>167</v>
      </c>
      <c r="G6" s="299" t="s">
        <v>168</v>
      </c>
      <c r="H6" s="224" t="s">
        <v>169</v>
      </c>
      <c r="I6" s="226" t="s">
        <v>211</v>
      </c>
      <c r="J6" s="224" t="s">
        <v>212</v>
      </c>
      <c r="K6" s="476" t="s">
        <v>213</v>
      </c>
      <c r="L6" s="481" t="s">
        <v>214</v>
      </c>
      <c r="M6" s="476" t="s">
        <v>253</v>
      </c>
      <c r="N6" s="481" t="s">
        <v>254</v>
      </c>
    </row>
    <row r="7" spans="2:14" ht="18" customHeight="1">
      <c r="B7" s="81" t="s">
        <v>251</v>
      </c>
      <c r="C7" s="461">
        <v>793</v>
      </c>
      <c r="D7" s="628">
        <v>35123</v>
      </c>
      <c r="E7" s="461">
        <v>1482</v>
      </c>
      <c r="F7" s="628">
        <v>21073</v>
      </c>
      <c r="G7" s="653">
        <v>4395</v>
      </c>
      <c r="H7" s="628">
        <v>128879</v>
      </c>
      <c r="I7" s="461">
        <v>33843</v>
      </c>
      <c r="J7" s="628">
        <v>139733</v>
      </c>
      <c r="K7" s="464">
        <f t="shared" ref="K7:N8" si="0">C7+G7</f>
        <v>5188</v>
      </c>
      <c r="L7" s="421">
        <f t="shared" si="0"/>
        <v>164002</v>
      </c>
      <c r="M7" s="464">
        <f t="shared" si="0"/>
        <v>35325</v>
      </c>
      <c r="N7" s="421">
        <f t="shared" si="0"/>
        <v>160806</v>
      </c>
    </row>
    <row r="8" spans="2:14" ht="18" customHeight="1">
      <c r="B8" s="81" t="s">
        <v>250</v>
      </c>
      <c r="C8" s="461">
        <v>185</v>
      </c>
      <c r="D8" s="628">
        <v>25143</v>
      </c>
      <c r="E8" s="461">
        <v>475</v>
      </c>
      <c r="F8" s="628">
        <v>32108</v>
      </c>
      <c r="G8" s="653">
        <v>538</v>
      </c>
      <c r="H8" s="628">
        <v>49671</v>
      </c>
      <c r="I8" s="461">
        <v>3626</v>
      </c>
      <c r="J8" s="628">
        <v>107963</v>
      </c>
      <c r="K8" s="464">
        <f t="shared" si="0"/>
        <v>723</v>
      </c>
      <c r="L8" s="421">
        <f t="shared" si="0"/>
        <v>74814</v>
      </c>
      <c r="M8" s="464">
        <f t="shared" si="0"/>
        <v>4101</v>
      </c>
      <c r="N8" s="421">
        <f t="shared" si="0"/>
        <v>140071</v>
      </c>
    </row>
    <row r="9" spans="2:14" ht="18" customHeight="1">
      <c r="B9" s="129" t="s">
        <v>210</v>
      </c>
      <c r="C9" s="1177">
        <f t="shared" ref="C9:N9" si="1">C8+C7</f>
        <v>978</v>
      </c>
      <c r="D9" s="1173">
        <f t="shared" si="1"/>
        <v>60266</v>
      </c>
      <c r="E9" s="488">
        <f t="shared" si="1"/>
        <v>1957</v>
      </c>
      <c r="F9" s="489">
        <f t="shared" si="1"/>
        <v>53181</v>
      </c>
      <c r="G9" s="488">
        <f t="shared" si="1"/>
        <v>4933</v>
      </c>
      <c r="H9" s="489">
        <f t="shared" si="1"/>
        <v>178550</v>
      </c>
      <c r="I9" s="488">
        <f t="shared" si="1"/>
        <v>37469</v>
      </c>
      <c r="J9" s="489">
        <f t="shared" si="1"/>
        <v>247696</v>
      </c>
      <c r="K9" s="488">
        <f t="shared" si="1"/>
        <v>5911</v>
      </c>
      <c r="L9" s="489">
        <f t="shared" si="1"/>
        <v>238816</v>
      </c>
      <c r="M9" s="488">
        <f t="shared" si="1"/>
        <v>39426</v>
      </c>
      <c r="N9" s="489">
        <f t="shared" si="1"/>
        <v>300877</v>
      </c>
    </row>
    <row r="10" spans="2:14">
      <c r="K10" s="6"/>
      <c r="L10" s="6"/>
      <c r="M10" s="6"/>
      <c r="N10" s="1216" t="s">
        <v>1711</v>
      </c>
    </row>
    <row r="11" spans="2:14">
      <c r="K11" s="6"/>
      <c r="L11" s="6"/>
      <c r="M11" s="6"/>
      <c r="N11" s="27"/>
    </row>
    <row r="12" spans="2:14">
      <c r="B12" s="1250" t="s">
        <v>1425</v>
      </c>
      <c r="C12" s="1250"/>
      <c r="D12" s="1250"/>
      <c r="E12" s="1250"/>
      <c r="F12" s="1250"/>
      <c r="G12" s="1250"/>
      <c r="H12" s="1250"/>
      <c r="I12" s="1250"/>
      <c r="J12" s="1250"/>
      <c r="K12" s="1250"/>
      <c r="L12" s="1250"/>
      <c r="M12" s="1250"/>
      <c r="N12" s="1250"/>
    </row>
    <row r="13" spans="2:14" s="412" customFormat="1" ht="14.25" customHeight="1">
      <c r="B13" s="1267" t="str">
        <f>CONCATENATE("Number of Persons usually working  in rural and urban Establishments in the district of ",District!A1)</f>
        <v>Number of Persons usually working  in rural and urban Establishments in the district of Nadia</v>
      </c>
      <c r="C13" s="1267"/>
      <c r="D13" s="1267"/>
      <c r="E13" s="1267"/>
      <c r="F13" s="1267"/>
      <c r="G13" s="1267"/>
      <c r="H13" s="1267"/>
      <c r="I13" s="1267"/>
      <c r="J13" s="1267"/>
      <c r="K13" s="1267"/>
      <c r="L13" s="1267"/>
      <c r="M13" s="1267"/>
      <c r="N13" s="1267"/>
    </row>
    <row r="14" spans="2:14" s="6" customFormat="1" ht="16.5" customHeight="1">
      <c r="B14" s="1262" t="s">
        <v>764</v>
      </c>
      <c r="C14" s="1251" t="s">
        <v>1450</v>
      </c>
      <c r="D14" s="1251"/>
      <c r="E14" s="1251"/>
      <c r="F14" s="1252"/>
      <c r="G14" s="1253" t="s">
        <v>1453</v>
      </c>
      <c r="H14" s="1251"/>
      <c r="I14" s="1251"/>
      <c r="J14" s="1252"/>
      <c r="K14" s="1251" t="s">
        <v>752</v>
      </c>
      <c r="L14" s="1251"/>
      <c r="M14" s="1251"/>
      <c r="N14" s="1252"/>
    </row>
    <row r="15" spans="2:14" s="6" customFormat="1" ht="15" customHeight="1">
      <c r="B15" s="1300"/>
      <c r="C15" s="1251">
        <v>2005</v>
      </c>
      <c r="D15" s="1252"/>
      <c r="E15" s="1251">
        <v>2013</v>
      </c>
      <c r="F15" s="1252"/>
      <c r="G15" s="1251">
        <v>2005</v>
      </c>
      <c r="H15" s="1252"/>
      <c r="I15" s="1251">
        <v>2013</v>
      </c>
      <c r="J15" s="1252"/>
      <c r="K15" s="1251">
        <v>2005</v>
      </c>
      <c r="L15" s="1252"/>
      <c r="M15" s="1251">
        <v>2013</v>
      </c>
      <c r="N15" s="1252"/>
    </row>
    <row r="16" spans="2:14" s="6" customFormat="1" ht="29.25" customHeight="1">
      <c r="B16" s="1300"/>
      <c r="C16" s="747" t="s">
        <v>766</v>
      </c>
      <c r="D16" s="485" t="s">
        <v>767</v>
      </c>
      <c r="E16" s="747" t="s">
        <v>766</v>
      </c>
      <c r="F16" s="485" t="s">
        <v>767</v>
      </c>
      <c r="G16" s="495" t="s">
        <v>766</v>
      </c>
      <c r="H16" s="485" t="s">
        <v>767</v>
      </c>
      <c r="I16" s="747" t="s">
        <v>766</v>
      </c>
      <c r="J16" s="755" t="s">
        <v>767</v>
      </c>
      <c r="K16" s="495" t="s">
        <v>766</v>
      </c>
      <c r="L16" s="485" t="s">
        <v>767</v>
      </c>
      <c r="M16" s="747" t="s">
        <v>766</v>
      </c>
      <c r="N16" s="485" t="s">
        <v>767</v>
      </c>
    </row>
    <row r="17" spans="2:15" s="6" customFormat="1" ht="16.5" customHeight="1">
      <c r="B17" s="225" t="s">
        <v>163</v>
      </c>
      <c r="C17" s="226" t="s">
        <v>164</v>
      </c>
      <c r="D17" s="224" t="s">
        <v>165</v>
      </c>
      <c r="E17" s="226" t="s">
        <v>166</v>
      </c>
      <c r="F17" s="224" t="s">
        <v>167</v>
      </c>
      <c r="G17" s="299" t="s">
        <v>168</v>
      </c>
      <c r="H17" s="224" t="s">
        <v>169</v>
      </c>
      <c r="I17" s="226" t="s">
        <v>211</v>
      </c>
      <c r="J17" s="224" t="s">
        <v>212</v>
      </c>
      <c r="K17" s="476" t="s">
        <v>213</v>
      </c>
      <c r="L17" s="481" t="s">
        <v>214</v>
      </c>
      <c r="M17" s="476" t="s">
        <v>253</v>
      </c>
      <c r="N17" s="481" t="s">
        <v>254</v>
      </c>
    </row>
    <row r="18" spans="2:15" ht="18" customHeight="1">
      <c r="B18" s="81" t="s">
        <v>251</v>
      </c>
      <c r="C18" s="461">
        <v>3216</v>
      </c>
      <c r="D18" s="628">
        <v>128600</v>
      </c>
      <c r="E18" s="461">
        <v>5525</v>
      </c>
      <c r="F18" s="628">
        <v>90707</v>
      </c>
      <c r="G18" s="653">
        <v>5596</v>
      </c>
      <c r="H18" s="628">
        <v>150173</v>
      </c>
      <c r="I18" s="461">
        <v>42675</v>
      </c>
      <c r="J18" s="628">
        <v>162660</v>
      </c>
      <c r="K18" s="464">
        <f t="shared" ref="K18:N19" si="2">C18+G18</f>
        <v>8812</v>
      </c>
      <c r="L18" s="421">
        <f t="shared" si="2"/>
        <v>278773</v>
      </c>
      <c r="M18" s="464">
        <f t="shared" si="2"/>
        <v>48200</v>
      </c>
      <c r="N18" s="421">
        <f t="shared" si="2"/>
        <v>253367</v>
      </c>
    </row>
    <row r="19" spans="2:15" ht="18" customHeight="1">
      <c r="B19" s="81" t="s">
        <v>250</v>
      </c>
      <c r="C19" s="461">
        <v>693</v>
      </c>
      <c r="D19" s="628">
        <v>109957</v>
      </c>
      <c r="E19" s="461">
        <v>1695</v>
      </c>
      <c r="F19" s="628">
        <v>125338</v>
      </c>
      <c r="G19" s="653">
        <v>706</v>
      </c>
      <c r="H19" s="628">
        <v>59194</v>
      </c>
      <c r="I19" s="461">
        <v>4330</v>
      </c>
      <c r="J19" s="628">
        <v>124615</v>
      </c>
      <c r="K19" s="464">
        <f t="shared" si="2"/>
        <v>1399</v>
      </c>
      <c r="L19" s="421">
        <f t="shared" si="2"/>
        <v>169151</v>
      </c>
      <c r="M19" s="464">
        <f t="shared" si="2"/>
        <v>6025</v>
      </c>
      <c r="N19" s="421">
        <f t="shared" si="2"/>
        <v>249953</v>
      </c>
    </row>
    <row r="20" spans="2:15" ht="18" customHeight="1">
      <c r="B20" s="129" t="s">
        <v>210</v>
      </c>
      <c r="C20" s="488">
        <f t="shared" ref="C20:N20" si="3">C19+C18</f>
        <v>3909</v>
      </c>
      <c r="D20" s="489">
        <f t="shared" si="3"/>
        <v>238557</v>
      </c>
      <c r="E20" s="488">
        <f t="shared" si="3"/>
        <v>7220</v>
      </c>
      <c r="F20" s="489">
        <f t="shared" si="3"/>
        <v>216045</v>
      </c>
      <c r="G20" s="488">
        <f t="shared" si="3"/>
        <v>6302</v>
      </c>
      <c r="H20" s="489">
        <f t="shared" si="3"/>
        <v>209367</v>
      </c>
      <c r="I20" s="488">
        <f t="shared" si="3"/>
        <v>47005</v>
      </c>
      <c r="J20" s="489">
        <f t="shared" si="3"/>
        <v>287275</v>
      </c>
      <c r="K20" s="488">
        <f t="shared" si="3"/>
        <v>10211</v>
      </c>
      <c r="L20" s="489">
        <f t="shared" si="3"/>
        <v>447924</v>
      </c>
      <c r="M20" s="488">
        <f t="shared" si="3"/>
        <v>54225</v>
      </c>
      <c r="N20" s="489">
        <f t="shared" si="3"/>
        <v>503320</v>
      </c>
    </row>
    <row r="21" spans="2:15">
      <c r="K21" s="6"/>
      <c r="L21" s="6"/>
      <c r="M21" s="6"/>
      <c r="N21" s="1216" t="s">
        <v>1711</v>
      </c>
      <c r="O21" s="6"/>
    </row>
    <row r="22" spans="2:15">
      <c r="K22" s="6"/>
      <c r="L22" s="6"/>
      <c r="M22" s="6"/>
      <c r="N22" s="27"/>
      <c r="O22" s="6"/>
    </row>
    <row r="23" spans="2:15">
      <c r="C23" s="1250" t="s">
        <v>478</v>
      </c>
      <c r="D23" s="1250"/>
      <c r="E23" s="1250"/>
      <c r="F23" s="1250"/>
      <c r="G23" s="1250"/>
      <c r="H23" s="1250"/>
      <c r="I23" s="1250"/>
      <c r="J23" s="1250"/>
      <c r="K23" s="1250"/>
      <c r="L23" s="1250"/>
      <c r="M23" s="1250"/>
      <c r="N23" s="27"/>
      <c r="O23" s="6"/>
    </row>
    <row r="24" spans="2:15" s="412" customFormat="1" ht="30.75" customHeight="1">
      <c r="B24" s="405"/>
      <c r="C24" s="1534" t="str">
        <f>CONCATENATE("Percentage of Hired Workers and Females employed in Non-Agricultural Establishments
 in the district of ",District!A1)</f>
        <v>Percentage of Hired Workers and Females employed in Non-Agricultural Establishments
 in the district of Nadia</v>
      </c>
      <c r="D24" s="1534"/>
      <c r="E24" s="1534"/>
      <c r="F24" s="1534"/>
      <c r="G24" s="1534"/>
      <c r="H24" s="1534"/>
      <c r="I24" s="1534"/>
      <c r="J24" s="1534"/>
      <c r="K24" s="1534"/>
      <c r="L24" s="1534"/>
      <c r="M24" s="1534"/>
    </row>
    <row r="25" spans="2:15" ht="15" customHeight="1">
      <c r="B25" s="412"/>
      <c r="C25" s="1333" t="s">
        <v>764</v>
      </c>
      <c r="D25" s="1306"/>
      <c r="E25" s="1278"/>
      <c r="F25" s="1253" t="s">
        <v>248</v>
      </c>
      <c r="G25" s="1251"/>
      <c r="H25" s="1251"/>
      <c r="I25" s="1252"/>
      <c r="J25" s="1253" t="s">
        <v>776</v>
      </c>
      <c r="K25" s="1251"/>
      <c r="L25" s="1251"/>
      <c r="M25" s="1252"/>
    </row>
    <row r="26" spans="2:15" ht="15" customHeight="1">
      <c r="C26" s="1334"/>
      <c r="D26" s="1308"/>
      <c r="E26" s="1280"/>
      <c r="F26" s="1251">
        <v>2005</v>
      </c>
      <c r="G26" s="1252"/>
      <c r="H26" s="1251">
        <v>2013</v>
      </c>
      <c r="I26" s="1252"/>
      <c r="J26" s="1251">
        <v>2005</v>
      </c>
      <c r="K26" s="1252"/>
      <c r="L26" s="1251">
        <v>2013</v>
      </c>
      <c r="M26" s="1252"/>
    </row>
    <row r="27" spans="2:15" ht="15" customHeight="1">
      <c r="C27" s="1414" t="s">
        <v>163</v>
      </c>
      <c r="D27" s="1416"/>
      <c r="E27" s="1415"/>
      <c r="F27" s="1414" t="s">
        <v>164</v>
      </c>
      <c r="G27" s="1416"/>
      <c r="H27" s="1414" t="s">
        <v>165</v>
      </c>
      <c r="I27" s="1415"/>
      <c r="J27" s="1414" t="s">
        <v>166</v>
      </c>
      <c r="K27" s="1416"/>
      <c r="L27" s="1414" t="s">
        <v>167</v>
      </c>
      <c r="M27" s="1415"/>
    </row>
    <row r="28" spans="2:15" ht="18" customHeight="1">
      <c r="C28" s="1351" t="s">
        <v>251</v>
      </c>
      <c r="D28" s="1404"/>
      <c r="E28" s="1398"/>
      <c r="F28" s="1244">
        <v>35.17</v>
      </c>
      <c r="G28" s="1331"/>
      <c r="H28" s="1526">
        <v>28.5</v>
      </c>
      <c r="I28" s="1528"/>
      <c r="J28" s="1571">
        <v>14.85</v>
      </c>
      <c r="K28" s="1572"/>
      <c r="L28" s="1571">
        <v>22.28</v>
      </c>
      <c r="M28" s="1573"/>
    </row>
    <row r="29" spans="2:15" ht="18" customHeight="1">
      <c r="C29" s="1351" t="s">
        <v>250</v>
      </c>
      <c r="D29" s="1404"/>
      <c r="E29" s="1398"/>
      <c r="F29" s="1244">
        <v>50.22</v>
      </c>
      <c r="G29" s="1331"/>
      <c r="H29" s="1244">
        <v>36.76</v>
      </c>
      <c r="I29" s="1245"/>
      <c r="J29" s="1571">
        <v>12.65</v>
      </c>
      <c r="K29" s="1572"/>
      <c r="L29" s="1571">
        <v>17.72</v>
      </c>
      <c r="M29" s="1573"/>
    </row>
    <row r="30" spans="2:15" ht="18" customHeight="1">
      <c r="C30" s="1399" t="s">
        <v>210</v>
      </c>
      <c r="D30" s="1290"/>
      <c r="E30" s="1325"/>
      <c r="F30" s="1246">
        <v>40.85</v>
      </c>
      <c r="G30" s="1569"/>
      <c r="H30" s="1570">
        <v>32.6</v>
      </c>
      <c r="I30" s="1525"/>
      <c r="J30" s="1246">
        <v>14.02</v>
      </c>
      <c r="K30" s="1569"/>
      <c r="L30" s="1246">
        <v>20.010000000000002</v>
      </c>
      <c r="M30" s="1247"/>
    </row>
    <row r="31" spans="2:15">
      <c r="D31" s="6"/>
      <c r="E31" s="6"/>
      <c r="J31" s="6"/>
      <c r="K31" s="6"/>
      <c r="L31" s="6"/>
      <c r="M31" s="1216" t="s">
        <v>1711</v>
      </c>
    </row>
  </sheetData>
  <mergeCells count="53">
    <mergeCell ref="B2:N2"/>
    <mergeCell ref="I4:J4"/>
    <mergeCell ref="G3:J3"/>
    <mergeCell ref="B3:B5"/>
    <mergeCell ref="K3:N3"/>
    <mergeCell ref="K4:L4"/>
    <mergeCell ref="M4:N4"/>
    <mergeCell ref="C3:F3"/>
    <mergeCell ref="C4:D4"/>
    <mergeCell ref="E4:F4"/>
    <mergeCell ref="G4:H4"/>
    <mergeCell ref="M15:N15"/>
    <mergeCell ref="J25:M25"/>
    <mergeCell ref="F25:I25"/>
    <mergeCell ref="C24:M24"/>
    <mergeCell ref="B13:N13"/>
    <mergeCell ref="B14:B16"/>
    <mergeCell ref="C14:F14"/>
    <mergeCell ref="G14:J14"/>
    <mergeCell ref="K14:N14"/>
    <mergeCell ref="K15:L15"/>
    <mergeCell ref="H30:I30"/>
    <mergeCell ref="L30:M30"/>
    <mergeCell ref="J27:K27"/>
    <mergeCell ref="J29:K29"/>
    <mergeCell ref="J28:K28"/>
    <mergeCell ref="L29:M29"/>
    <mergeCell ref="L28:M28"/>
    <mergeCell ref="H29:I29"/>
    <mergeCell ref="H28:I28"/>
    <mergeCell ref="H26:I26"/>
    <mergeCell ref="J26:K26"/>
    <mergeCell ref="C28:E28"/>
    <mergeCell ref="C15:D15"/>
    <mergeCell ref="E15:F15"/>
    <mergeCell ref="G15:H15"/>
    <mergeCell ref="I15:J15"/>
    <mergeCell ref="B1:N1"/>
    <mergeCell ref="B12:N12"/>
    <mergeCell ref="C23:M23"/>
    <mergeCell ref="J30:K30"/>
    <mergeCell ref="L26:M26"/>
    <mergeCell ref="L27:M27"/>
    <mergeCell ref="C27:E27"/>
    <mergeCell ref="F27:G27"/>
    <mergeCell ref="H27:I27"/>
    <mergeCell ref="C29:E29"/>
    <mergeCell ref="C30:E30"/>
    <mergeCell ref="C25:E26"/>
    <mergeCell ref="F26:G26"/>
    <mergeCell ref="F29:G29"/>
    <mergeCell ref="F28:G28"/>
    <mergeCell ref="F30:G30"/>
  </mergeCells>
  <phoneticPr fontId="0" type="noConversion"/>
  <pageMargins left="0.1" right="0.1" top="0.82" bottom="0.1" header="0.5" footer="0.1"/>
  <pageSetup paperSize="9" orientation="landscape" blackAndWhite="1" r:id="rId1"/>
  <headerFooter alignWithMargins="0"/>
</worksheet>
</file>

<file path=xl/worksheets/sheet64.xml><?xml version="1.0" encoding="utf-8"?>
<worksheet xmlns="http://schemas.openxmlformats.org/spreadsheetml/2006/main" xmlns:r="http://schemas.openxmlformats.org/officeDocument/2006/relationships">
  <dimension ref="A1:H26"/>
  <sheetViews>
    <sheetView workbookViewId="0">
      <selection activeCell="F21" sqref="F21"/>
    </sheetView>
  </sheetViews>
  <sheetFormatPr defaultRowHeight="12.75"/>
  <cols>
    <col min="1" max="1" width="32.5703125" style="405" customWidth="1"/>
    <col min="2" max="6" width="15.7109375" style="405" customWidth="1"/>
    <col min="7" max="16384" width="9.140625" style="405"/>
  </cols>
  <sheetData>
    <row r="1" spans="1:8" ht="18.75" customHeight="1">
      <c r="A1" s="1261" t="s">
        <v>480</v>
      </c>
      <c r="B1" s="1261"/>
      <c r="C1" s="1261"/>
      <c r="D1" s="1261"/>
      <c r="E1" s="1261"/>
      <c r="F1" s="1261"/>
    </row>
    <row r="2" spans="1:8" ht="33.75" customHeight="1">
      <c r="A2" s="1269" t="str">
        <f>CONCATENATE("Applicants on the Live-register of Employment Exchanges 
in the district of ",District!A1," by main occupational group")</f>
        <v>Applicants on the Live-register of Employment Exchanges 
in the district of Nadia by main occupational group</v>
      </c>
      <c r="B2" s="1269"/>
      <c r="C2" s="1269"/>
      <c r="D2" s="1269"/>
      <c r="E2" s="1269"/>
      <c r="F2" s="1269"/>
      <c r="G2" s="29"/>
      <c r="H2" s="21"/>
    </row>
    <row r="3" spans="1:8" ht="13.5" customHeight="1">
      <c r="B3" s="16"/>
      <c r="C3" s="16"/>
      <c r="E3" s="757"/>
      <c r="F3" s="757" t="s">
        <v>223</v>
      </c>
      <c r="G3" s="21"/>
      <c r="H3" s="21"/>
    </row>
    <row r="4" spans="1:8" s="5" customFormat="1" ht="18.95" customHeight="1">
      <c r="A4" s="221" t="s">
        <v>934</v>
      </c>
      <c r="B4" s="416">
        <f>District!C7</f>
        <v>2010</v>
      </c>
      <c r="C4" s="416">
        <f>District!D7</f>
        <v>2011</v>
      </c>
      <c r="D4" s="416">
        <f>District!E7</f>
        <v>2012</v>
      </c>
      <c r="E4" s="416">
        <f>District!F7</f>
        <v>2013</v>
      </c>
      <c r="F4" s="416">
        <f>District!G7</f>
        <v>2014</v>
      </c>
      <c r="G4" s="20"/>
      <c r="H4" s="229"/>
    </row>
    <row r="5" spans="1:8" ht="18.95" customHeight="1">
      <c r="A5" s="225" t="s">
        <v>163</v>
      </c>
      <c r="B5" s="224" t="s">
        <v>164</v>
      </c>
      <c r="C5" s="476" t="s">
        <v>165</v>
      </c>
      <c r="D5" s="304" t="s">
        <v>166</v>
      </c>
      <c r="E5" s="224" t="s">
        <v>167</v>
      </c>
      <c r="F5" s="224" t="s">
        <v>168</v>
      </c>
      <c r="H5" s="699"/>
    </row>
    <row r="6" spans="1:8" ht="24" customHeight="1">
      <c r="A6" s="698" t="s">
        <v>777</v>
      </c>
      <c r="B6" s="421">
        <v>978</v>
      </c>
      <c r="C6" s="421">
        <v>995</v>
      </c>
      <c r="D6" s="421">
        <v>1097</v>
      </c>
      <c r="E6" s="421">
        <v>7811</v>
      </c>
      <c r="F6" s="421">
        <v>1374</v>
      </c>
      <c r="G6" s="450"/>
    </row>
    <row r="7" spans="1:8" ht="24" customHeight="1">
      <c r="A7" s="516" t="s">
        <v>1055</v>
      </c>
      <c r="B7" s="421">
        <v>16962</v>
      </c>
      <c r="C7" s="421">
        <v>17701</v>
      </c>
      <c r="D7" s="421">
        <v>17372</v>
      </c>
      <c r="E7" s="421">
        <v>51594</v>
      </c>
      <c r="F7" s="421">
        <v>18598</v>
      </c>
      <c r="G7" s="450"/>
    </row>
    <row r="8" spans="1:8" ht="24" customHeight="1">
      <c r="A8" s="516" t="s">
        <v>778</v>
      </c>
      <c r="B8" s="421">
        <v>247734</v>
      </c>
      <c r="C8" s="421">
        <v>271210</v>
      </c>
      <c r="D8" s="421">
        <v>283425</v>
      </c>
      <c r="E8" s="421">
        <v>217985</v>
      </c>
      <c r="F8" s="421">
        <v>311957</v>
      </c>
      <c r="G8" s="450"/>
    </row>
    <row r="9" spans="1:8" ht="24" customHeight="1">
      <c r="A9" s="758" t="s">
        <v>779</v>
      </c>
      <c r="B9" s="421">
        <v>1552</v>
      </c>
      <c r="C9" s="421">
        <v>7564</v>
      </c>
      <c r="D9" s="421">
        <v>8115</v>
      </c>
      <c r="E9" s="421">
        <v>27556</v>
      </c>
      <c r="F9" s="421">
        <v>8881</v>
      </c>
      <c r="G9" s="450"/>
    </row>
    <row r="10" spans="1:8" ht="24" customHeight="1">
      <c r="A10" s="516" t="s">
        <v>737</v>
      </c>
      <c r="B10" s="421">
        <v>1531</v>
      </c>
      <c r="C10" s="421">
        <v>1587</v>
      </c>
      <c r="D10" s="421">
        <v>1598</v>
      </c>
      <c r="E10" s="421">
        <v>5750</v>
      </c>
      <c r="F10" s="421">
        <v>1524</v>
      </c>
      <c r="G10" s="450"/>
    </row>
    <row r="11" spans="1:8" ht="24" customHeight="1">
      <c r="A11" s="516" t="s">
        <v>780</v>
      </c>
      <c r="B11" s="421">
        <v>109105</v>
      </c>
      <c r="C11" s="421">
        <v>112948</v>
      </c>
      <c r="D11" s="421">
        <v>89242</v>
      </c>
      <c r="E11" s="421">
        <v>114366</v>
      </c>
      <c r="F11" s="421">
        <v>67920</v>
      </c>
      <c r="G11" s="450"/>
    </row>
    <row r="12" spans="1:8" ht="24" customHeight="1">
      <c r="A12" s="516" t="s">
        <v>320</v>
      </c>
      <c r="B12" s="421">
        <v>24327</v>
      </c>
      <c r="C12" s="421">
        <v>10108</v>
      </c>
      <c r="D12" s="421">
        <v>12360</v>
      </c>
      <c r="E12" s="421">
        <v>21430</v>
      </c>
      <c r="F12" s="421">
        <v>21926</v>
      </c>
      <c r="G12" s="450"/>
    </row>
    <row r="13" spans="1:8" ht="24" customHeight="1">
      <c r="A13" s="422" t="s">
        <v>781</v>
      </c>
      <c r="B13" s="305">
        <f>SUM(B6:B12)</f>
        <v>402189</v>
      </c>
      <c r="C13" s="306">
        <f>SUM(C6:C12)</f>
        <v>422113</v>
      </c>
      <c r="D13" s="306">
        <f>SUM(D6:D12)</f>
        <v>413209</v>
      </c>
      <c r="E13" s="306">
        <f>SUM(E6:E12)</f>
        <v>446492</v>
      </c>
      <c r="F13" s="306">
        <f>SUM(F6:F12)</f>
        <v>432180</v>
      </c>
      <c r="G13" s="450"/>
    </row>
    <row r="14" spans="1:8" ht="13.5" customHeight="1">
      <c r="A14" s="478"/>
      <c r="B14" s="1349" t="s">
        <v>1054</v>
      </c>
      <c r="C14" s="1349"/>
      <c r="D14" s="1349"/>
      <c r="E14" s="1349"/>
      <c r="F14" s="1349"/>
      <c r="G14" s="450"/>
    </row>
    <row r="15" spans="1:8" ht="18" customHeight="1">
      <c r="A15" s="478"/>
      <c r="B15" s="24"/>
      <c r="C15" s="6"/>
      <c r="D15" s="429"/>
      <c r="E15" s="450"/>
      <c r="F15" s="450"/>
      <c r="G15" s="450"/>
    </row>
    <row r="16" spans="1:8" ht="19.5" customHeight="1">
      <c r="A16" s="1261" t="s">
        <v>481</v>
      </c>
      <c r="B16" s="1261"/>
      <c r="C16" s="1261"/>
      <c r="D16" s="1261"/>
      <c r="E16" s="1261"/>
      <c r="F16" s="1261"/>
      <c r="G16" s="450"/>
    </row>
    <row r="17" spans="1:8" s="412" customFormat="1" ht="19.5" customHeight="1">
      <c r="A17" s="1574" t="str">
        <f>CONCATENATE("Registration and Placement effected by Employment Exchanges in the district of ",District!A1)</f>
        <v>Registration and Placement effected by Employment Exchanges in the district of Nadia</v>
      </c>
      <c r="B17" s="1574"/>
      <c r="C17" s="1574"/>
      <c r="D17" s="1574"/>
      <c r="E17" s="1574"/>
      <c r="F17" s="1574"/>
      <c r="G17" s="428"/>
    </row>
    <row r="18" spans="1:8">
      <c r="A18" s="412"/>
      <c r="B18" s="412"/>
      <c r="C18" s="412"/>
      <c r="D18" s="412"/>
      <c r="E18" s="412"/>
      <c r="F18" s="491" t="s">
        <v>223</v>
      </c>
    </row>
    <row r="19" spans="1:8" s="5" customFormat="1" ht="18" customHeight="1">
      <c r="A19" s="204" t="s">
        <v>656</v>
      </c>
      <c r="B19" s="416">
        <f>District!C7</f>
        <v>2010</v>
      </c>
      <c r="C19" s="416">
        <f>District!D7</f>
        <v>2011</v>
      </c>
      <c r="D19" s="416">
        <f>District!E7</f>
        <v>2012</v>
      </c>
      <c r="E19" s="416">
        <f>District!F7</f>
        <v>2013</v>
      </c>
      <c r="F19" s="416">
        <f>District!G7</f>
        <v>2014</v>
      </c>
      <c r="G19" s="229"/>
    </row>
    <row r="20" spans="1:8" ht="18" customHeight="1">
      <c r="A20" s="225" t="s">
        <v>163</v>
      </c>
      <c r="B20" s="224" t="s">
        <v>164</v>
      </c>
      <c r="C20" s="476" t="s">
        <v>165</v>
      </c>
      <c r="D20" s="304" t="s">
        <v>166</v>
      </c>
      <c r="E20" s="224" t="s">
        <v>167</v>
      </c>
      <c r="F20" s="224" t="s">
        <v>168</v>
      </c>
      <c r="G20" s="450"/>
    </row>
    <row r="21" spans="1:8" ht="24" customHeight="1">
      <c r="A21" s="81" t="s">
        <v>782</v>
      </c>
      <c r="B21" s="465">
        <v>21160</v>
      </c>
      <c r="C21" s="465">
        <v>19972</v>
      </c>
      <c r="D21" s="465">
        <v>23370</v>
      </c>
      <c r="E21" s="465">
        <v>42809</v>
      </c>
      <c r="F21" s="702">
        <v>22051</v>
      </c>
      <c r="G21" s="450"/>
      <c r="H21" s="450"/>
    </row>
    <row r="22" spans="1:8" ht="24" customHeight="1">
      <c r="A22" s="81" t="s">
        <v>783</v>
      </c>
      <c r="B22" s="463">
        <v>205</v>
      </c>
      <c r="C22" s="463">
        <v>108</v>
      </c>
      <c r="D22" s="463">
        <v>32</v>
      </c>
      <c r="E22" s="463">
        <v>357</v>
      </c>
      <c r="F22" s="463">
        <v>120</v>
      </c>
    </row>
    <row r="23" spans="1:8" ht="24" customHeight="1">
      <c r="A23" s="81" t="s">
        <v>784</v>
      </c>
      <c r="B23" s="463">
        <v>58</v>
      </c>
      <c r="C23" s="463">
        <v>79</v>
      </c>
      <c r="D23" s="463">
        <v>70</v>
      </c>
      <c r="E23" s="463">
        <v>18</v>
      </c>
      <c r="F23" s="463">
        <v>56</v>
      </c>
    </row>
    <row r="24" spans="1:8" ht="24" customHeight="1">
      <c r="A24" s="403" t="s">
        <v>785</v>
      </c>
      <c r="B24" s="468">
        <f>B13</f>
        <v>402189</v>
      </c>
      <c r="C24" s="468">
        <f>C13</f>
        <v>422113</v>
      </c>
      <c r="D24" s="468">
        <f>D13</f>
        <v>413209</v>
      </c>
      <c r="E24" s="468">
        <f>E13</f>
        <v>446492</v>
      </c>
      <c r="F24" s="468">
        <f>F13</f>
        <v>432180</v>
      </c>
    </row>
    <row r="25" spans="1:8">
      <c r="A25" s="759"/>
      <c r="B25" s="1349" t="s">
        <v>1054</v>
      </c>
      <c r="C25" s="1349"/>
      <c r="D25" s="1349"/>
      <c r="E25" s="1349"/>
      <c r="F25" s="1349"/>
    </row>
    <row r="26" spans="1:8" ht="3.75" customHeight="1">
      <c r="B26" s="24" t="s">
        <v>34</v>
      </c>
      <c r="C26" s="6"/>
      <c r="D26" s="24"/>
      <c r="E26" s="30"/>
    </row>
  </sheetData>
  <mergeCells count="6">
    <mergeCell ref="B14:F14"/>
    <mergeCell ref="B25:F25"/>
    <mergeCell ref="A17:F17"/>
    <mergeCell ref="A1:F1"/>
    <mergeCell ref="A16:F16"/>
    <mergeCell ref="A2:F2"/>
  </mergeCells>
  <phoneticPr fontId="0" type="noConversion"/>
  <printOptions horizontalCentered="1"/>
  <pageMargins left="0.17" right="0.1" top="0.42" bottom="0.16" header="0.22" footer="0.16"/>
  <pageSetup paperSize="9" orientation="landscape" blackAndWhite="1" r:id="rId1"/>
  <headerFooter alignWithMargins="0"/>
</worksheet>
</file>

<file path=xl/worksheets/sheet65.xml><?xml version="1.0" encoding="utf-8"?>
<worksheet xmlns="http://schemas.openxmlformats.org/spreadsheetml/2006/main" xmlns:r="http://schemas.openxmlformats.org/officeDocument/2006/relationships">
  <sheetPr codeName="Sheet40"/>
  <dimension ref="A1:P54"/>
  <sheetViews>
    <sheetView topLeftCell="A10" workbookViewId="0">
      <selection activeCell="I31" sqref="I31"/>
    </sheetView>
  </sheetViews>
  <sheetFormatPr defaultRowHeight="12.4" customHeight="1"/>
  <cols>
    <col min="1" max="1" width="18.42578125" style="405" customWidth="1"/>
    <col min="2" max="2" width="9.42578125" style="405" customWidth="1"/>
    <col min="3" max="3" width="15.7109375" style="405" customWidth="1"/>
    <col min="4" max="4" width="9.5703125" style="405" customWidth="1"/>
    <col min="5" max="5" width="16" style="405" customWidth="1"/>
    <col min="6" max="6" width="9.5703125" style="405" customWidth="1"/>
    <col min="7" max="7" width="15.7109375" style="405" customWidth="1"/>
    <col min="8" max="8" width="9.140625" style="405"/>
    <col min="9" max="9" width="10" style="405" bestFit="1" customWidth="1"/>
    <col min="10" max="11" width="9.140625" style="405"/>
    <col min="12" max="12" width="10.85546875" style="405" customWidth="1"/>
    <col min="13" max="16384" width="9.140625" style="405"/>
  </cols>
  <sheetData>
    <row r="1" spans="1:8" ht="12.4" customHeight="1">
      <c r="A1" s="1250" t="s">
        <v>482</v>
      </c>
      <c r="B1" s="1250"/>
      <c r="C1" s="1250"/>
      <c r="D1" s="1250"/>
      <c r="E1" s="1250"/>
      <c r="F1" s="1250"/>
      <c r="G1" s="1250"/>
    </row>
    <row r="2" spans="1:8" s="412" customFormat="1" ht="19.5" customHeight="1">
      <c r="A2" s="1350" t="str">
        <f>CONCATENATE("Assistance to Old-aged Persons, Widows and Handicapped in the district of ",District!A1)</f>
        <v>Assistance to Old-aged Persons, Widows and Handicapped in the district of Nadia</v>
      </c>
      <c r="B2" s="1350"/>
      <c r="C2" s="1350"/>
      <c r="D2" s="1350"/>
      <c r="E2" s="1350"/>
      <c r="F2" s="1350"/>
      <c r="G2" s="1350"/>
    </row>
    <row r="3" spans="1:8" ht="15" customHeight="1">
      <c r="A3" s="1575" t="s">
        <v>107</v>
      </c>
      <c r="B3" s="1253" t="s">
        <v>786</v>
      </c>
      <c r="C3" s="1252"/>
      <c r="D3" s="1253" t="s">
        <v>788</v>
      </c>
      <c r="E3" s="1252"/>
      <c r="F3" s="1253" t="s">
        <v>789</v>
      </c>
      <c r="G3" s="1252"/>
    </row>
    <row r="4" spans="1:8" ht="31.5" customHeight="1">
      <c r="A4" s="1576"/>
      <c r="B4" s="760" t="s">
        <v>787</v>
      </c>
      <c r="C4" s="496" t="s">
        <v>1232</v>
      </c>
      <c r="D4" s="499" t="s">
        <v>787</v>
      </c>
      <c r="E4" s="496" t="s">
        <v>1232</v>
      </c>
      <c r="F4" s="499" t="s">
        <v>787</v>
      </c>
      <c r="G4" s="219" t="s">
        <v>1232</v>
      </c>
    </row>
    <row r="5" spans="1:8" ht="15.75" customHeight="1">
      <c r="A5" s="225" t="s">
        <v>163</v>
      </c>
      <c r="B5" s="225" t="s">
        <v>164</v>
      </c>
      <c r="C5" s="224" t="s">
        <v>165</v>
      </c>
      <c r="D5" s="225" t="s">
        <v>166</v>
      </c>
      <c r="E5" s="224" t="s">
        <v>167</v>
      </c>
      <c r="F5" s="304" t="s">
        <v>168</v>
      </c>
      <c r="G5" s="304" t="s">
        <v>169</v>
      </c>
    </row>
    <row r="6" spans="1:8" ht="15.75" customHeight="1">
      <c r="A6" s="204" t="str">
        <f>District!D13</f>
        <v>2009-10</v>
      </c>
      <c r="B6" s="108">
        <v>79265</v>
      </c>
      <c r="C6" s="159">
        <v>463798.36</v>
      </c>
      <c r="D6" s="45">
        <v>19698</v>
      </c>
      <c r="E6" s="159">
        <v>41167.699999999997</v>
      </c>
      <c r="F6" s="45">
        <v>2783</v>
      </c>
      <c r="G6" s="159">
        <v>13169.5</v>
      </c>
    </row>
    <row r="7" spans="1:8" ht="15.75" customHeight="1">
      <c r="A7" s="81" t="str">
        <f>District!D14</f>
        <v>2010-11</v>
      </c>
      <c r="B7" s="494">
        <v>109264</v>
      </c>
      <c r="C7" s="463">
        <v>335783.72</v>
      </c>
      <c r="D7" s="464">
        <v>18709</v>
      </c>
      <c r="E7" s="585">
        <v>96136.88</v>
      </c>
      <c r="F7" s="464">
        <v>2801</v>
      </c>
      <c r="G7" s="585">
        <v>20285.939999999999</v>
      </c>
    </row>
    <row r="8" spans="1:8" ht="15.75" customHeight="1">
      <c r="A8" s="81" t="str">
        <f>District!D15</f>
        <v>2011-12</v>
      </c>
      <c r="B8" s="47">
        <v>104033</v>
      </c>
      <c r="C8" s="81">
        <v>448890</v>
      </c>
      <c r="D8" s="47">
        <v>14954</v>
      </c>
      <c r="E8" s="328">
        <v>103224</v>
      </c>
      <c r="F8" s="183">
        <v>3681</v>
      </c>
      <c r="G8" s="328">
        <v>22452</v>
      </c>
    </row>
    <row r="9" spans="1:8" s="6" customFormat="1" ht="15.75" customHeight="1">
      <c r="A9" s="81" t="str">
        <f>District!D16</f>
        <v>2012-13</v>
      </c>
      <c r="B9" s="47">
        <v>75987</v>
      </c>
      <c r="C9" s="151">
        <v>414119</v>
      </c>
      <c r="D9" s="47">
        <v>23581</v>
      </c>
      <c r="E9" s="328">
        <v>90288</v>
      </c>
      <c r="F9" s="183">
        <v>3367</v>
      </c>
      <c r="G9" s="328">
        <v>20696</v>
      </c>
    </row>
    <row r="10" spans="1:8" ht="15.75" customHeight="1">
      <c r="A10" s="129" t="str">
        <f>District!D17</f>
        <v>2013-14</v>
      </c>
      <c r="B10" s="127">
        <f t="shared" ref="B10:G10" si="0">SUM(B12,B17,B27,B37)</f>
        <v>70056</v>
      </c>
      <c r="C10" s="239">
        <f t="shared" si="0"/>
        <v>599185</v>
      </c>
      <c r="D10" s="127">
        <f t="shared" si="0"/>
        <v>23907</v>
      </c>
      <c r="E10" s="239">
        <f t="shared" si="0"/>
        <v>243622</v>
      </c>
      <c r="F10" s="127">
        <f t="shared" si="0"/>
        <v>1828</v>
      </c>
      <c r="G10" s="160">
        <f t="shared" si="0"/>
        <v>18350</v>
      </c>
    </row>
    <row r="11" spans="1:8" ht="31.5" customHeight="1">
      <c r="A11" s="233" t="s">
        <v>1650</v>
      </c>
      <c r="B11" s="1385" t="str">
        <f>"Year : " &amp;A10</f>
        <v>Year : 2013-14</v>
      </c>
      <c r="C11" s="1385"/>
      <c r="D11" s="1385"/>
      <c r="E11" s="1385"/>
      <c r="F11" s="1385"/>
      <c r="G11" s="1386"/>
    </row>
    <row r="12" spans="1:8" ht="15.75" customHeight="1">
      <c r="A12" s="684" t="s">
        <v>1194</v>
      </c>
      <c r="B12" s="761">
        <f t="shared" ref="B12:G12" si="1">SUM(B13:B16)</f>
        <v>16209</v>
      </c>
      <c r="C12" s="389">
        <f t="shared" si="1"/>
        <v>135974</v>
      </c>
      <c r="D12" s="389">
        <f t="shared" si="1"/>
        <v>4228</v>
      </c>
      <c r="E12" s="762">
        <f t="shared" si="1"/>
        <v>41086</v>
      </c>
      <c r="F12" s="389">
        <f t="shared" si="1"/>
        <v>319</v>
      </c>
      <c r="G12" s="762">
        <f t="shared" si="1"/>
        <v>3174</v>
      </c>
    </row>
    <row r="13" spans="1:8" ht="15.75" customHeight="1">
      <c r="A13" s="524" t="s">
        <v>804</v>
      </c>
      <c r="B13" s="442">
        <v>5102</v>
      </c>
      <c r="C13" s="505">
        <v>43128</v>
      </c>
      <c r="D13" s="505">
        <v>1558</v>
      </c>
      <c r="E13" s="443">
        <v>15166</v>
      </c>
      <c r="F13" s="197">
        <v>167</v>
      </c>
      <c r="G13" s="191">
        <v>1662</v>
      </c>
    </row>
    <row r="14" spans="1:8" ht="15.75" customHeight="1">
      <c r="A14" s="524" t="s">
        <v>1119</v>
      </c>
      <c r="B14" s="442">
        <v>5293</v>
      </c>
      <c r="C14" s="505">
        <v>41304</v>
      </c>
      <c r="D14" s="505">
        <v>1022</v>
      </c>
      <c r="E14" s="443">
        <v>9510</v>
      </c>
      <c r="F14" s="197">
        <v>43</v>
      </c>
      <c r="G14" s="191">
        <v>419</v>
      </c>
    </row>
    <row r="15" spans="1:8" ht="15.75" customHeight="1">
      <c r="A15" s="524" t="s">
        <v>1121</v>
      </c>
      <c r="B15" s="442">
        <v>3926</v>
      </c>
      <c r="C15" s="505">
        <v>35723</v>
      </c>
      <c r="D15" s="505">
        <v>1317</v>
      </c>
      <c r="E15" s="443">
        <v>13429</v>
      </c>
      <c r="F15" s="505">
        <v>93</v>
      </c>
      <c r="G15" s="443">
        <v>949</v>
      </c>
    </row>
    <row r="16" spans="1:8" ht="15.75" customHeight="1">
      <c r="A16" s="524" t="s">
        <v>1120</v>
      </c>
      <c r="B16" s="442">
        <v>1888</v>
      </c>
      <c r="C16" s="505">
        <v>15819</v>
      </c>
      <c r="D16" s="505">
        <v>331</v>
      </c>
      <c r="E16" s="443">
        <v>2981</v>
      </c>
      <c r="F16" s="197">
        <v>16</v>
      </c>
      <c r="G16" s="443">
        <v>144</v>
      </c>
      <c r="H16" s="426"/>
    </row>
    <row r="17" spans="1:13" ht="15.75" customHeight="1">
      <c r="A17" s="523" t="s">
        <v>935</v>
      </c>
      <c r="B17" s="372">
        <f t="shared" ref="B17:G17" si="2">SUM(B18:B26)</f>
        <v>30907</v>
      </c>
      <c r="C17" s="373">
        <f t="shared" si="2"/>
        <v>276278</v>
      </c>
      <c r="D17" s="373">
        <f t="shared" si="2"/>
        <v>11348</v>
      </c>
      <c r="E17" s="373">
        <f t="shared" si="2"/>
        <v>121447</v>
      </c>
      <c r="F17" s="373">
        <f t="shared" si="2"/>
        <v>859</v>
      </c>
      <c r="G17" s="373">
        <f t="shared" si="2"/>
        <v>9244</v>
      </c>
      <c r="H17" s="426"/>
    </row>
    <row r="18" spans="1:13" ht="15.75" customHeight="1">
      <c r="A18" s="524" t="s">
        <v>1122</v>
      </c>
      <c r="B18" s="442">
        <v>6305</v>
      </c>
      <c r="C18" s="505">
        <v>60256</v>
      </c>
      <c r="D18" s="505">
        <v>3042</v>
      </c>
      <c r="E18" s="443">
        <v>33357</v>
      </c>
      <c r="F18" s="197">
        <v>230</v>
      </c>
      <c r="G18" s="191">
        <v>2518</v>
      </c>
      <c r="H18" s="426"/>
    </row>
    <row r="19" spans="1:13" ht="15.75" customHeight="1">
      <c r="A19" s="524" t="s">
        <v>1123</v>
      </c>
      <c r="B19" s="442">
        <v>8520</v>
      </c>
      <c r="C19" s="505">
        <v>75717</v>
      </c>
      <c r="D19" s="505">
        <v>1906</v>
      </c>
      <c r="E19" s="443">
        <v>20286</v>
      </c>
      <c r="F19" s="505">
        <v>153</v>
      </c>
      <c r="G19" s="443">
        <v>1633</v>
      </c>
      <c r="H19" s="426"/>
    </row>
    <row r="20" spans="1:13" ht="15.75" customHeight="1">
      <c r="A20" s="524" t="s">
        <v>1124</v>
      </c>
      <c r="B20" s="442">
        <v>4895</v>
      </c>
      <c r="C20" s="505">
        <v>42981</v>
      </c>
      <c r="D20" s="505">
        <v>1308</v>
      </c>
      <c r="E20" s="443">
        <v>14139</v>
      </c>
      <c r="F20" s="505">
        <v>104</v>
      </c>
      <c r="G20" s="443">
        <v>1124</v>
      </c>
      <c r="H20" s="426"/>
    </row>
    <row r="21" spans="1:13" ht="15.75" customHeight="1">
      <c r="A21" s="524" t="s">
        <v>1125</v>
      </c>
      <c r="B21" s="442">
        <v>1652</v>
      </c>
      <c r="C21" s="505">
        <v>13716</v>
      </c>
      <c r="D21" s="505">
        <v>1316</v>
      </c>
      <c r="E21" s="443">
        <v>11884</v>
      </c>
      <c r="F21" s="505">
        <v>63</v>
      </c>
      <c r="G21" s="443">
        <v>568</v>
      </c>
      <c r="H21" s="426"/>
    </row>
    <row r="22" spans="1:13" ht="15.75" customHeight="1">
      <c r="A22" s="524" t="s">
        <v>1126</v>
      </c>
      <c r="B22" s="442">
        <v>4755</v>
      </c>
      <c r="C22" s="505">
        <v>48323</v>
      </c>
      <c r="D22" s="505">
        <v>2349</v>
      </c>
      <c r="E22" s="443">
        <v>28838</v>
      </c>
      <c r="F22" s="505">
        <v>191</v>
      </c>
      <c r="G22" s="443">
        <v>2354</v>
      </c>
      <c r="H22" s="426"/>
    </row>
    <row r="23" spans="1:13" ht="15.75" customHeight="1">
      <c r="A23" s="524" t="s">
        <v>1127</v>
      </c>
      <c r="B23" s="372" t="s">
        <v>1170</v>
      </c>
      <c r="C23" s="373" t="s">
        <v>1170</v>
      </c>
      <c r="D23" s="373" t="s">
        <v>1170</v>
      </c>
      <c r="E23" s="373" t="s">
        <v>1170</v>
      </c>
      <c r="F23" s="373" t="s">
        <v>1170</v>
      </c>
      <c r="G23" s="373" t="s">
        <v>1170</v>
      </c>
      <c r="H23" s="426"/>
    </row>
    <row r="24" spans="1:13" ht="15.75" customHeight="1">
      <c r="A24" s="524" t="s">
        <v>1128</v>
      </c>
      <c r="B24" s="442">
        <v>2021</v>
      </c>
      <c r="C24" s="505">
        <v>15307</v>
      </c>
      <c r="D24" s="505">
        <v>476</v>
      </c>
      <c r="E24" s="443">
        <v>4140</v>
      </c>
      <c r="F24" s="505">
        <v>72</v>
      </c>
      <c r="G24" s="443">
        <v>619</v>
      </c>
      <c r="H24" s="426"/>
    </row>
    <row r="25" spans="1:13" ht="15.75" customHeight="1">
      <c r="A25" s="524" t="s">
        <v>90</v>
      </c>
      <c r="B25" s="442">
        <v>2759</v>
      </c>
      <c r="C25" s="505">
        <v>19978</v>
      </c>
      <c r="D25" s="505">
        <v>951</v>
      </c>
      <c r="E25" s="443">
        <v>8803</v>
      </c>
      <c r="F25" s="505">
        <v>46</v>
      </c>
      <c r="G25" s="443">
        <v>428</v>
      </c>
      <c r="H25" s="426"/>
    </row>
    <row r="26" spans="1:13" ht="15.75" customHeight="1">
      <c r="A26" s="524" t="s">
        <v>1130</v>
      </c>
      <c r="B26" s="372" t="s">
        <v>1170</v>
      </c>
      <c r="C26" s="373" t="s">
        <v>1170</v>
      </c>
      <c r="D26" s="373" t="s">
        <v>1170</v>
      </c>
      <c r="E26" s="373" t="s">
        <v>1170</v>
      </c>
      <c r="F26" s="373" t="s">
        <v>1170</v>
      </c>
      <c r="G26" s="373" t="s">
        <v>1170</v>
      </c>
      <c r="H26" s="426"/>
    </row>
    <row r="27" spans="1:13" ht="15.75" customHeight="1">
      <c r="A27" s="523" t="s">
        <v>805</v>
      </c>
      <c r="B27" s="372">
        <f t="shared" ref="B27:G27" si="3">SUM(B28:B36)</f>
        <v>16509</v>
      </c>
      <c r="C27" s="372">
        <f t="shared" si="3"/>
        <v>132396</v>
      </c>
      <c r="D27" s="372">
        <f t="shared" si="3"/>
        <v>6397</v>
      </c>
      <c r="E27" s="372">
        <f t="shared" si="3"/>
        <v>61988</v>
      </c>
      <c r="F27" s="372">
        <f t="shared" si="3"/>
        <v>554</v>
      </c>
      <c r="G27" s="373">
        <f t="shared" si="3"/>
        <v>5065</v>
      </c>
      <c r="H27" s="426"/>
      <c r="I27" s="426"/>
      <c r="J27" s="426"/>
      <c r="K27" s="426"/>
      <c r="L27" s="426"/>
      <c r="M27" s="426"/>
    </row>
    <row r="28" spans="1:13" ht="15.75" customHeight="1">
      <c r="A28" s="524" t="s">
        <v>1131</v>
      </c>
      <c r="B28" s="442">
        <v>2096</v>
      </c>
      <c r="C28" s="505">
        <v>23918</v>
      </c>
      <c r="D28" s="505">
        <v>1892</v>
      </c>
      <c r="E28" s="443">
        <v>21197</v>
      </c>
      <c r="F28" s="505">
        <v>71</v>
      </c>
      <c r="G28" s="443">
        <v>774</v>
      </c>
      <c r="H28" s="426"/>
    </row>
    <row r="29" spans="1:13" ht="15.75" customHeight="1">
      <c r="A29" s="524" t="s">
        <v>1133</v>
      </c>
      <c r="B29" s="372" t="s">
        <v>1170</v>
      </c>
      <c r="C29" s="373" t="s">
        <v>1170</v>
      </c>
      <c r="D29" s="373" t="s">
        <v>1170</v>
      </c>
      <c r="E29" s="373" t="s">
        <v>1170</v>
      </c>
      <c r="F29" s="373" t="s">
        <v>1170</v>
      </c>
      <c r="G29" s="373" t="s">
        <v>1170</v>
      </c>
      <c r="H29" s="426"/>
    </row>
    <row r="30" spans="1:13" ht="15.75" customHeight="1">
      <c r="A30" s="524" t="s">
        <v>1134</v>
      </c>
      <c r="B30" s="442">
        <v>5279</v>
      </c>
      <c r="C30" s="505">
        <v>33176</v>
      </c>
      <c r="D30" s="505">
        <v>1659</v>
      </c>
      <c r="E30" s="443">
        <v>14729</v>
      </c>
      <c r="F30" s="505">
        <v>190</v>
      </c>
      <c r="G30" s="443">
        <v>1710</v>
      </c>
      <c r="H30" s="426"/>
    </row>
    <row r="31" spans="1:13" ht="15.75" customHeight="1">
      <c r="A31" s="524" t="s">
        <v>1623</v>
      </c>
      <c r="B31" s="505">
        <v>4772</v>
      </c>
      <c r="C31" s="505">
        <v>38323</v>
      </c>
      <c r="D31" s="1067">
        <v>1384</v>
      </c>
      <c r="E31" s="443">
        <v>12496</v>
      </c>
      <c r="F31" s="505">
        <v>119</v>
      </c>
      <c r="G31" s="443">
        <v>977</v>
      </c>
      <c r="H31" s="426"/>
    </row>
    <row r="32" spans="1:13" ht="15.75" customHeight="1">
      <c r="A32" s="524" t="s">
        <v>768</v>
      </c>
      <c r="B32" s="372" t="s">
        <v>1170</v>
      </c>
      <c r="C32" s="373" t="s">
        <v>1170</v>
      </c>
      <c r="D32" s="373" t="s">
        <v>1170</v>
      </c>
      <c r="E32" s="373" t="s">
        <v>1170</v>
      </c>
      <c r="F32" s="373" t="s">
        <v>1170</v>
      </c>
      <c r="G32" s="373" t="s">
        <v>1170</v>
      </c>
      <c r="H32" s="426"/>
    </row>
    <row r="33" spans="1:8" ht="15.75" customHeight="1">
      <c r="A33" s="524" t="s">
        <v>1625</v>
      </c>
      <c r="B33" s="372" t="s">
        <v>1170</v>
      </c>
      <c r="C33" s="373" t="s">
        <v>1170</v>
      </c>
      <c r="D33" s="373" t="s">
        <v>1170</v>
      </c>
      <c r="E33" s="373" t="s">
        <v>1170</v>
      </c>
      <c r="F33" s="373" t="s">
        <v>1170</v>
      </c>
      <c r="G33" s="373" t="s">
        <v>1170</v>
      </c>
      <c r="H33" s="426"/>
    </row>
    <row r="34" spans="1:8" ht="15.75" customHeight="1">
      <c r="A34" s="524" t="s">
        <v>1626</v>
      </c>
      <c r="B34" s="372" t="s">
        <v>1170</v>
      </c>
      <c r="C34" s="373" t="s">
        <v>1170</v>
      </c>
      <c r="D34" s="373" t="s">
        <v>1170</v>
      </c>
      <c r="E34" s="373" t="s">
        <v>1170</v>
      </c>
      <c r="F34" s="373" t="s">
        <v>1170</v>
      </c>
      <c r="G34" s="373" t="s">
        <v>1170</v>
      </c>
      <c r="H34" s="426"/>
    </row>
    <row r="35" spans="1:8" ht="15.75" customHeight="1">
      <c r="A35" s="524" t="s">
        <v>1238</v>
      </c>
      <c r="B35" s="372" t="s">
        <v>1170</v>
      </c>
      <c r="C35" s="373" t="s">
        <v>1170</v>
      </c>
      <c r="D35" s="373" t="s">
        <v>1170</v>
      </c>
      <c r="E35" s="373" t="s">
        <v>1170</v>
      </c>
      <c r="F35" s="373" t="s">
        <v>1170</v>
      </c>
      <c r="G35" s="373" t="s">
        <v>1170</v>
      </c>
      <c r="H35" s="426"/>
    </row>
    <row r="36" spans="1:8" ht="15.75" customHeight="1">
      <c r="A36" s="524" t="s">
        <v>714</v>
      </c>
      <c r="B36" s="505">
        <v>4362</v>
      </c>
      <c r="C36" s="505">
        <v>36979</v>
      </c>
      <c r="D36" s="505">
        <v>1462</v>
      </c>
      <c r="E36" s="505">
        <v>13566</v>
      </c>
      <c r="F36" s="197">
        <v>174</v>
      </c>
      <c r="G36" s="197">
        <v>1604</v>
      </c>
      <c r="H36" s="426"/>
    </row>
    <row r="37" spans="1:8" ht="15.75" customHeight="1">
      <c r="A37" s="140" t="s">
        <v>1265</v>
      </c>
      <c r="B37" s="372">
        <f t="shared" ref="B37:G37" si="4">SUM(B38:B42)</f>
        <v>6431</v>
      </c>
      <c r="C37" s="373">
        <f t="shared" si="4"/>
        <v>54537</v>
      </c>
      <c r="D37" s="373">
        <f t="shared" si="4"/>
        <v>1934</v>
      </c>
      <c r="E37" s="374">
        <f t="shared" si="4"/>
        <v>19101</v>
      </c>
      <c r="F37" s="373">
        <f t="shared" si="4"/>
        <v>96</v>
      </c>
      <c r="G37" s="374">
        <f t="shared" si="4"/>
        <v>867</v>
      </c>
      <c r="H37" s="426"/>
    </row>
    <row r="38" spans="1:8" ht="15.75" customHeight="1">
      <c r="A38" s="524" t="s">
        <v>769</v>
      </c>
      <c r="B38" s="442">
        <v>2569</v>
      </c>
      <c r="C38" s="505">
        <v>24469</v>
      </c>
      <c r="D38" s="505">
        <v>961</v>
      </c>
      <c r="E38" s="443">
        <v>10067</v>
      </c>
      <c r="F38" s="505">
        <v>35</v>
      </c>
      <c r="G38" s="443">
        <v>371</v>
      </c>
      <c r="H38" s="426"/>
    </row>
    <row r="39" spans="1:8" ht="15.75" customHeight="1">
      <c r="A39" s="524" t="s">
        <v>770</v>
      </c>
      <c r="B39" s="372" t="s">
        <v>1170</v>
      </c>
      <c r="C39" s="373" t="s">
        <v>1170</v>
      </c>
      <c r="D39" s="373" t="s">
        <v>1170</v>
      </c>
      <c r="E39" s="373" t="s">
        <v>1170</v>
      </c>
      <c r="F39" s="373" t="s">
        <v>1170</v>
      </c>
      <c r="G39" s="373" t="s">
        <v>1170</v>
      </c>
      <c r="H39" s="426"/>
    </row>
    <row r="40" spans="1:8" ht="15.75" customHeight="1">
      <c r="A40" s="524" t="s">
        <v>771</v>
      </c>
      <c r="B40" s="372" t="s">
        <v>1170</v>
      </c>
      <c r="C40" s="373" t="s">
        <v>1170</v>
      </c>
      <c r="D40" s="373" t="s">
        <v>1170</v>
      </c>
      <c r="E40" s="373" t="s">
        <v>1170</v>
      </c>
      <c r="F40" s="373" t="s">
        <v>1170</v>
      </c>
      <c r="G40" s="373" t="s">
        <v>1170</v>
      </c>
      <c r="H40" s="426"/>
    </row>
    <row r="41" spans="1:8" ht="15.75" customHeight="1">
      <c r="A41" s="524" t="s">
        <v>1629</v>
      </c>
      <c r="B41" s="372" t="s">
        <v>1170</v>
      </c>
      <c r="C41" s="373" t="s">
        <v>1170</v>
      </c>
      <c r="D41" s="373" t="s">
        <v>1170</v>
      </c>
      <c r="E41" s="373" t="s">
        <v>1170</v>
      </c>
      <c r="F41" s="373" t="s">
        <v>1170</v>
      </c>
      <c r="G41" s="373" t="s">
        <v>1170</v>
      </c>
      <c r="H41" s="426"/>
    </row>
    <row r="42" spans="1:8" ht="17.25" customHeight="1">
      <c r="A42" s="526" t="s">
        <v>772</v>
      </c>
      <c r="B42" s="735">
        <v>3862</v>
      </c>
      <c r="C42" s="586">
        <v>30068</v>
      </c>
      <c r="D42" s="586">
        <v>973</v>
      </c>
      <c r="E42" s="446">
        <v>9034</v>
      </c>
      <c r="F42" s="586">
        <v>61</v>
      </c>
      <c r="G42" s="446">
        <v>496</v>
      </c>
    </row>
    <row r="43" spans="1:8" ht="12.4" customHeight="1">
      <c r="D43" s="527" t="s">
        <v>1247</v>
      </c>
      <c r="E43" s="431" t="s">
        <v>138</v>
      </c>
    </row>
    <row r="44" spans="1:8" ht="12.4" customHeight="1">
      <c r="A44" s="1532" t="s">
        <v>967</v>
      </c>
      <c r="B44" s="1532"/>
      <c r="C44" s="1532"/>
      <c r="D44" s="729" t="s">
        <v>1248</v>
      </c>
      <c r="E44" s="561" t="s">
        <v>139</v>
      </c>
      <c r="G44" s="426"/>
    </row>
    <row r="45" spans="1:8" ht="12.75" customHeight="1">
      <c r="A45" s="1532"/>
      <c r="B45" s="1532"/>
      <c r="C45" s="1532"/>
      <c r="D45" s="729" t="s">
        <v>137</v>
      </c>
      <c r="E45" s="561" t="s">
        <v>140</v>
      </c>
      <c r="F45" s="763"/>
      <c r="G45" s="763"/>
      <c r="H45" s="763"/>
    </row>
    <row r="46" spans="1:8" ht="12.4" customHeight="1">
      <c r="A46" s="1532"/>
      <c r="B46" s="1532"/>
      <c r="C46" s="1532"/>
      <c r="D46" s="289"/>
      <c r="E46" s="574" t="s">
        <v>1117</v>
      </c>
      <c r="F46" s="764"/>
      <c r="G46" s="764"/>
    </row>
    <row r="47" spans="1:8" ht="12.4" customHeight="1">
      <c r="A47" s="1532" t="s">
        <v>968</v>
      </c>
      <c r="B47" s="1532"/>
      <c r="C47" s="1532"/>
      <c r="D47" s="289"/>
      <c r="F47" s="18"/>
      <c r="G47" s="18"/>
    </row>
    <row r="48" spans="1:8" ht="12.4" customHeight="1">
      <c r="A48" s="1532"/>
      <c r="B48" s="1532"/>
      <c r="C48" s="1532"/>
      <c r="D48" s="289"/>
    </row>
    <row r="49" spans="1:16" ht="12.4" customHeight="1">
      <c r="A49" s="1532"/>
      <c r="B49" s="1532"/>
      <c r="C49" s="1532"/>
      <c r="D49" s="289"/>
    </row>
    <row r="50" spans="1:16" ht="12.4" customHeight="1">
      <c r="A50" s="1532"/>
      <c r="B50" s="1532"/>
      <c r="C50" s="1532"/>
      <c r="D50" s="289"/>
    </row>
    <row r="51" spans="1:16" ht="12.4" customHeight="1">
      <c r="A51" s="1532"/>
      <c r="B51" s="1532"/>
      <c r="C51" s="1532"/>
      <c r="D51" s="289"/>
      <c r="E51" s="289"/>
    </row>
    <row r="52" spans="1:16" ht="12.4" customHeight="1">
      <c r="L52" s="289"/>
      <c r="M52" s="289"/>
      <c r="N52" s="289"/>
      <c r="O52" s="289"/>
      <c r="P52" s="289"/>
    </row>
    <row r="53" spans="1:16" ht="12.4" customHeight="1">
      <c r="L53" s="289"/>
      <c r="M53" s="289"/>
      <c r="N53" s="289"/>
      <c r="O53" s="289"/>
      <c r="P53" s="289"/>
    </row>
    <row r="54" spans="1:16" ht="12.4" customHeight="1">
      <c r="L54" s="289"/>
      <c r="M54" s="289"/>
      <c r="N54" s="289"/>
      <c r="O54" s="289"/>
      <c r="P54" s="289"/>
    </row>
  </sheetData>
  <mergeCells count="9">
    <mergeCell ref="A47:C51"/>
    <mergeCell ref="A44:C46"/>
    <mergeCell ref="B11:G11"/>
    <mergeCell ref="A1:G1"/>
    <mergeCell ref="A2:G2"/>
    <mergeCell ref="B3:C3"/>
    <mergeCell ref="D3:E3"/>
    <mergeCell ref="F3:G3"/>
    <mergeCell ref="A3:A4"/>
  </mergeCells>
  <phoneticPr fontId="0" type="noConversion"/>
  <pageMargins left="0.74" right="0.1" top="0.46" bottom="0.1" header="0.57999999999999996" footer="0.1"/>
  <pageSetup paperSize="9" orientation="portrait" blackAndWhite="1" r:id="rId1"/>
  <headerFooter alignWithMargins="0"/>
</worksheet>
</file>

<file path=xl/worksheets/sheet66.xml><?xml version="1.0" encoding="utf-8"?>
<worksheet xmlns="http://schemas.openxmlformats.org/spreadsheetml/2006/main" xmlns:r="http://schemas.openxmlformats.org/officeDocument/2006/relationships">
  <dimension ref="A1:F55"/>
  <sheetViews>
    <sheetView workbookViewId="0">
      <selection activeCell="J37" sqref="J37"/>
    </sheetView>
  </sheetViews>
  <sheetFormatPr defaultRowHeight="12.75"/>
  <cols>
    <col min="1" max="1" width="18.42578125" style="405" customWidth="1"/>
    <col min="2" max="2" width="17" style="405" customWidth="1"/>
    <col min="3" max="3" width="11.5703125" style="405" customWidth="1"/>
    <col min="4" max="4" width="12.5703125" style="405" customWidth="1"/>
    <col min="5" max="5" width="11.85546875" style="405" customWidth="1"/>
    <col min="6" max="6" width="12.7109375" style="405" customWidth="1"/>
    <col min="7" max="16384" width="9.140625" style="405"/>
  </cols>
  <sheetData>
    <row r="1" spans="1:6" s="765" customFormat="1" ht="12" customHeight="1"/>
    <row r="2" spans="1:6">
      <c r="A2" s="1250" t="s">
        <v>1418</v>
      </c>
      <c r="B2" s="1250"/>
      <c r="C2" s="1250"/>
      <c r="D2" s="1250"/>
      <c r="E2" s="1250"/>
      <c r="F2" s="1250"/>
    </row>
    <row r="3" spans="1:6" s="412" customFormat="1" ht="35.25" customHeight="1">
      <c r="A3" s="1588" t="str">
        <f>CONCATENATE("Wholesale Prices of Agricultural Commodities, Live-stock and Live-stock Products (average quality) in different markets in the district of ",District!$A$1)</f>
        <v>Wholesale Prices of Agricultural Commodities, Live-stock and Live-stock Products (average quality) in different markets in the district of Nadia</v>
      </c>
      <c r="B3" s="1588"/>
      <c r="C3" s="1588"/>
      <c r="D3" s="1588"/>
      <c r="E3" s="1588"/>
      <c r="F3" s="1588"/>
    </row>
    <row r="4" spans="1:6" ht="15.95" customHeight="1">
      <c r="A4" s="1567" t="s">
        <v>842</v>
      </c>
      <c r="B4" s="1257" t="s">
        <v>843</v>
      </c>
      <c r="C4" s="1257" t="s">
        <v>108</v>
      </c>
      <c r="D4" s="1253" t="s">
        <v>1107</v>
      </c>
      <c r="E4" s="1251"/>
      <c r="F4" s="1252"/>
    </row>
    <row r="5" spans="1:6" ht="15.95" customHeight="1">
      <c r="A5" s="1568"/>
      <c r="B5" s="1258"/>
      <c r="C5" s="1258"/>
      <c r="D5" s="94">
        <f>District!E7</f>
        <v>2012</v>
      </c>
      <c r="E5" s="94">
        <f>District!F7</f>
        <v>2013</v>
      </c>
      <c r="F5" s="94">
        <f>District!G7</f>
        <v>2014</v>
      </c>
    </row>
    <row r="6" spans="1:6" ht="15.95" customHeight="1">
      <c r="A6" s="225" t="s">
        <v>163</v>
      </c>
      <c r="B6" s="225" t="s">
        <v>164</v>
      </c>
      <c r="C6" s="225" t="s">
        <v>165</v>
      </c>
      <c r="D6" s="365" t="s">
        <v>166</v>
      </c>
      <c r="E6" s="208" t="s">
        <v>167</v>
      </c>
      <c r="F6" s="208" t="s">
        <v>168</v>
      </c>
    </row>
    <row r="7" spans="1:6" ht="20.25" customHeight="1">
      <c r="A7" s="524" t="s">
        <v>51</v>
      </c>
      <c r="B7" s="81" t="s">
        <v>78</v>
      </c>
      <c r="C7" s="463" t="s">
        <v>359</v>
      </c>
      <c r="D7" s="504">
        <v>1416</v>
      </c>
      <c r="E7" s="504">
        <v>1500</v>
      </c>
      <c r="F7" s="504">
        <v>1650</v>
      </c>
    </row>
    <row r="8" spans="1:6" ht="20.25" customHeight="1">
      <c r="A8" s="524" t="s">
        <v>54</v>
      </c>
      <c r="B8" s="81" t="s">
        <v>78</v>
      </c>
      <c r="C8" s="463" t="s">
        <v>121</v>
      </c>
      <c r="D8" s="505">
        <v>1240</v>
      </c>
      <c r="E8" s="505">
        <v>1335</v>
      </c>
      <c r="F8" s="505">
        <v>1330</v>
      </c>
    </row>
    <row r="9" spans="1:6" ht="20.25" customHeight="1">
      <c r="A9" s="524" t="s">
        <v>55</v>
      </c>
      <c r="B9" s="81" t="s">
        <v>773</v>
      </c>
      <c r="C9" s="463" t="s">
        <v>121</v>
      </c>
      <c r="D9" s="505">
        <v>1420</v>
      </c>
      <c r="E9" s="505">
        <v>2700</v>
      </c>
      <c r="F9" s="505">
        <v>3100</v>
      </c>
    </row>
    <row r="10" spans="1:6" ht="20.25" customHeight="1">
      <c r="A10" s="524" t="s">
        <v>1011</v>
      </c>
      <c r="B10" s="81" t="s">
        <v>769</v>
      </c>
      <c r="C10" s="463" t="s">
        <v>121</v>
      </c>
      <c r="D10" s="505" t="s">
        <v>1170</v>
      </c>
      <c r="E10" s="505">
        <v>2000</v>
      </c>
      <c r="F10" s="505">
        <v>2800</v>
      </c>
    </row>
    <row r="11" spans="1:6" ht="20.25" customHeight="1">
      <c r="A11" s="524" t="s">
        <v>568</v>
      </c>
      <c r="B11" s="81" t="s">
        <v>78</v>
      </c>
      <c r="C11" s="463" t="s">
        <v>121</v>
      </c>
      <c r="D11" s="505">
        <v>1150</v>
      </c>
      <c r="E11" s="505">
        <v>1350</v>
      </c>
      <c r="F11" s="505">
        <v>1550</v>
      </c>
    </row>
    <row r="12" spans="1:6" ht="20.25" customHeight="1">
      <c r="A12" s="524" t="s">
        <v>1057</v>
      </c>
      <c r="B12" s="81" t="s">
        <v>78</v>
      </c>
      <c r="C12" s="463" t="s">
        <v>121</v>
      </c>
      <c r="D12" s="197">
        <v>3070</v>
      </c>
      <c r="E12" s="197">
        <v>4000</v>
      </c>
      <c r="F12" s="197">
        <v>4500</v>
      </c>
    </row>
    <row r="13" spans="1:6" ht="20.25" customHeight="1">
      <c r="A13" s="524" t="s">
        <v>56</v>
      </c>
      <c r="B13" s="81" t="s">
        <v>78</v>
      </c>
      <c r="C13" s="463" t="s">
        <v>121</v>
      </c>
      <c r="D13" s="505">
        <v>1800</v>
      </c>
      <c r="E13" s="505" t="s">
        <v>1170</v>
      </c>
      <c r="F13" s="1067" t="s">
        <v>1170</v>
      </c>
    </row>
    <row r="14" spans="1:6" ht="20.25" customHeight="1">
      <c r="A14" s="524" t="s">
        <v>64</v>
      </c>
      <c r="B14" s="81" t="s">
        <v>1622</v>
      </c>
      <c r="C14" s="463" t="s">
        <v>121</v>
      </c>
      <c r="D14" s="197">
        <v>2800</v>
      </c>
      <c r="E14" s="197">
        <v>4000</v>
      </c>
      <c r="F14" s="197">
        <v>4000</v>
      </c>
    </row>
    <row r="15" spans="1:6" ht="20.25" customHeight="1">
      <c r="A15" s="524" t="s">
        <v>593</v>
      </c>
      <c r="B15" s="81" t="s">
        <v>773</v>
      </c>
      <c r="C15" s="463" t="s">
        <v>121</v>
      </c>
      <c r="D15" s="505">
        <v>480</v>
      </c>
      <c r="E15" s="505">
        <v>630</v>
      </c>
      <c r="F15" s="505">
        <v>600</v>
      </c>
    </row>
    <row r="16" spans="1:6" ht="20.25" customHeight="1">
      <c r="A16" s="524" t="s">
        <v>638</v>
      </c>
      <c r="B16" s="81" t="s">
        <v>769</v>
      </c>
      <c r="C16" s="463" t="s">
        <v>121</v>
      </c>
      <c r="D16" s="197">
        <v>900</v>
      </c>
      <c r="E16" s="197">
        <v>800</v>
      </c>
      <c r="F16" s="197">
        <v>2000</v>
      </c>
    </row>
    <row r="17" spans="1:6" ht="20.25" customHeight="1">
      <c r="A17" s="524" t="s">
        <v>635</v>
      </c>
      <c r="B17" s="81" t="s">
        <v>769</v>
      </c>
      <c r="C17" s="463" t="s">
        <v>121</v>
      </c>
      <c r="D17" s="197">
        <v>250</v>
      </c>
      <c r="E17" s="197">
        <v>300</v>
      </c>
      <c r="F17" s="197">
        <v>300</v>
      </c>
    </row>
    <row r="18" spans="1:6" ht="20.25" customHeight="1">
      <c r="A18" s="524" t="s">
        <v>65</v>
      </c>
      <c r="B18" s="81" t="s">
        <v>769</v>
      </c>
      <c r="C18" s="463" t="s">
        <v>79</v>
      </c>
      <c r="D18" s="197">
        <v>550</v>
      </c>
      <c r="E18" s="197">
        <v>1000</v>
      </c>
      <c r="F18" s="197">
        <v>400</v>
      </c>
    </row>
    <row r="19" spans="1:6" ht="20.25" customHeight="1">
      <c r="A19" s="524" t="s">
        <v>66</v>
      </c>
      <c r="B19" s="81" t="s">
        <v>1622</v>
      </c>
      <c r="C19" s="463" t="s">
        <v>121</v>
      </c>
      <c r="D19" s="505">
        <v>360</v>
      </c>
      <c r="E19" s="505">
        <v>400</v>
      </c>
      <c r="F19" s="505">
        <v>400</v>
      </c>
    </row>
    <row r="20" spans="1:6" ht="20.25" customHeight="1">
      <c r="A20" s="524" t="s">
        <v>67</v>
      </c>
      <c r="B20" s="81" t="s">
        <v>1622</v>
      </c>
      <c r="C20" s="463" t="s">
        <v>1056</v>
      </c>
      <c r="D20" s="197">
        <v>1900</v>
      </c>
      <c r="E20" s="197">
        <v>2000</v>
      </c>
      <c r="F20" s="197">
        <v>2200</v>
      </c>
    </row>
    <row r="21" spans="1:6" ht="20.25" customHeight="1">
      <c r="A21" s="524" t="s">
        <v>639</v>
      </c>
      <c r="B21" s="81" t="s">
        <v>1622</v>
      </c>
      <c r="C21" s="463" t="s">
        <v>359</v>
      </c>
      <c r="D21" s="197">
        <v>800</v>
      </c>
      <c r="E21" s="197">
        <v>2600</v>
      </c>
      <c r="F21" s="197">
        <v>1600</v>
      </c>
    </row>
    <row r="22" spans="1:6" ht="20.25" customHeight="1">
      <c r="A22" s="524" t="s">
        <v>1281</v>
      </c>
      <c r="B22" s="81" t="s">
        <v>1622</v>
      </c>
      <c r="C22" s="463" t="s">
        <v>121</v>
      </c>
      <c r="D22" s="197">
        <v>3000</v>
      </c>
      <c r="E22" s="197">
        <v>3000</v>
      </c>
      <c r="F22" s="197">
        <v>4000</v>
      </c>
    </row>
    <row r="23" spans="1:6" ht="20.25" customHeight="1">
      <c r="A23" s="524" t="s">
        <v>68</v>
      </c>
      <c r="B23" s="81" t="s">
        <v>78</v>
      </c>
      <c r="C23" s="463" t="s">
        <v>121</v>
      </c>
      <c r="D23" s="505">
        <v>2950</v>
      </c>
      <c r="E23" s="505">
        <v>2900</v>
      </c>
      <c r="F23" s="505">
        <v>2900</v>
      </c>
    </row>
    <row r="24" spans="1:6" ht="20.25" customHeight="1">
      <c r="A24" s="524" t="s">
        <v>69</v>
      </c>
      <c r="B24" s="81" t="s">
        <v>773</v>
      </c>
      <c r="C24" s="463" t="s">
        <v>121</v>
      </c>
      <c r="D24" s="505">
        <v>2100</v>
      </c>
      <c r="E24" s="505">
        <v>2450</v>
      </c>
      <c r="F24" s="505">
        <v>2500</v>
      </c>
    </row>
    <row r="25" spans="1:6" ht="20.25" customHeight="1">
      <c r="A25" s="524" t="s">
        <v>70</v>
      </c>
      <c r="B25" s="81" t="s">
        <v>78</v>
      </c>
      <c r="C25" s="463" t="s">
        <v>121</v>
      </c>
      <c r="D25" s="197">
        <v>3000</v>
      </c>
      <c r="E25" s="197" t="s">
        <v>1170</v>
      </c>
      <c r="F25" s="197">
        <v>4500</v>
      </c>
    </row>
    <row r="26" spans="1:6" ht="20.25" customHeight="1">
      <c r="A26" s="524" t="s">
        <v>71</v>
      </c>
      <c r="B26" s="81" t="s">
        <v>78</v>
      </c>
      <c r="C26" s="463" t="s">
        <v>121</v>
      </c>
      <c r="D26" s="505">
        <v>2200</v>
      </c>
      <c r="E26" s="505" t="s">
        <v>1170</v>
      </c>
      <c r="F26" s="505">
        <v>2600</v>
      </c>
    </row>
    <row r="27" spans="1:6" ht="20.25" customHeight="1">
      <c r="A27" s="526" t="s">
        <v>77</v>
      </c>
      <c r="B27" s="129" t="s">
        <v>773</v>
      </c>
      <c r="C27" s="468" t="s">
        <v>80</v>
      </c>
      <c r="D27" s="234">
        <v>3800</v>
      </c>
      <c r="E27" s="234">
        <v>3000</v>
      </c>
      <c r="F27" s="234">
        <v>3000</v>
      </c>
    </row>
    <row r="28" spans="1:6" ht="14.25" customHeight="1">
      <c r="A28" s="766"/>
      <c r="C28" s="767"/>
      <c r="D28" s="767"/>
      <c r="E28" s="767"/>
      <c r="F28" s="768" t="s">
        <v>1480</v>
      </c>
    </row>
    <row r="29" spans="1:6" ht="14.25" customHeight="1">
      <c r="A29" s="27"/>
      <c r="B29" s="755"/>
      <c r="C29" s="769"/>
      <c r="D29" s="769"/>
      <c r="E29" s="769"/>
      <c r="F29" s="769"/>
    </row>
    <row r="30" spans="1:6" ht="14.25" customHeight="1">
      <c r="A30" s="1250" t="s">
        <v>483</v>
      </c>
      <c r="B30" s="1250"/>
      <c r="C30" s="1250"/>
      <c r="D30" s="1250"/>
      <c r="E30" s="1250"/>
      <c r="F30" s="1250"/>
    </row>
    <row r="31" spans="1:6" s="412" customFormat="1" ht="16.5" customHeight="1">
      <c r="A31" s="1574" t="str">
        <f>CONCATENATE("Regulated Market by category in the district of ",District!$A$1)</f>
        <v>Regulated Market by category in the district of Nadia</v>
      </c>
      <c r="B31" s="1574"/>
      <c r="C31" s="1574"/>
      <c r="D31" s="1574"/>
      <c r="E31" s="1574"/>
      <c r="F31" s="1574"/>
    </row>
    <row r="32" spans="1:6" ht="12" customHeight="1">
      <c r="A32" s="412"/>
      <c r="B32" s="428"/>
      <c r="C32" s="412"/>
      <c r="D32" s="412"/>
      <c r="E32" s="1591" t="s">
        <v>844</v>
      </c>
      <c r="F32" s="1591"/>
    </row>
    <row r="33" spans="1:6" s="5" customFormat="1" ht="24" customHeight="1">
      <c r="A33" s="1589" t="s">
        <v>971</v>
      </c>
      <c r="B33" s="1590"/>
      <c r="C33" s="1321" t="s">
        <v>845</v>
      </c>
      <c r="D33" s="1471"/>
      <c r="E33" s="1253" t="s">
        <v>992</v>
      </c>
      <c r="F33" s="1252"/>
    </row>
    <row r="34" spans="1:6" ht="19.5" customHeight="1">
      <c r="A34" s="1463" t="s">
        <v>163</v>
      </c>
      <c r="B34" s="1464"/>
      <c r="C34" s="1463" t="s">
        <v>164</v>
      </c>
      <c r="D34" s="1464"/>
      <c r="E34" s="1463" t="s">
        <v>165</v>
      </c>
      <c r="F34" s="1465"/>
    </row>
    <row r="35" spans="1:6" ht="25.5" customHeight="1">
      <c r="A35" s="1586" t="s">
        <v>1663</v>
      </c>
      <c r="B35" s="1587"/>
      <c r="C35" s="1582">
        <v>3</v>
      </c>
      <c r="D35" s="1583"/>
      <c r="E35" s="1582">
        <v>9</v>
      </c>
      <c r="F35" s="1583"/>
    </row>
    <row r="36" spans="1:6" ht="25.5" customHeight="1">
      <c r="A36" s="1580" t="s">
        <v>969</v>
      </c>
      <c r="B36" s="1581"/>
      <c r="C36" s="1584">
        <v>3</v>
      </c>
      <c r="D36" s="1585"/>
      <c r="E36" s="1584">
        <v>9</v>
      </c>
      <c r="F36" s="1585"/>
    </row>
    <row r="37" spans="1:6" ht="25.5" customHeight="1">
      <c r="A37" s="1580" t="s">
        <v>470</v>
      </c>
      <c r="B37" s="1581"/>
      <c r="C37" s="1351">
        <v>3</v>
      </c>
      <c r="D37" s="1398"/>
      <c r="E37" s="1351">
        <v>9</v>
      </c>
      <c r="F37" s="1398"/>
    </row>
    <row r="38" spans="1:6" ht="25.5" customHeight="1">
      <c r="A38" s="1580" t="s">
        <v>1202</v>
      </c>
      <c r="B38" s="1581"/>
      <c r="C38" s="1351">
        <v>3</v>
      </c>
      <c r="D38" s="1398"/>
      <c r="E38" s="1351">
        <v>9</v>
      </c>
      <c r="F38" s="1398"/>
    </row>
    <row r="39" spans="1:6" ht="25.5" customHeight="1">
      <c r="A39" s="1577" t="s">
        <v>970</v>
      </c>
      <c r="B39" s="1578"/>
      <c r="C39" s="1399">
        <v>2</v>
      </c>
      <c r="D39" s="1325"/>
      <c r="E39" s="1399">
        <v>9</v>
      </c>
      <c r="F39" s="1325"/>
    </row>
    <row r="40" spans="1:6">
      <c r="A40" s="333"/>
      <c r="C40" s="6"/>
      <c r="F40" s="280" t="s">
        <v>1392</v>
      </c>
    </row>
    <row r="41" spans="1:6" hidden="1"/>
    <row r="42" spans="1:6" ht="0.75" hidden="1" customHeight="1"/>
    <row r="43" spans="1:6" hidden="1"/>
    <row r="44" spans="1:6" hidden="1"/>
    <row r="45" spans="1:6" hidden="1">
      <c r="E45" s="1337"/>
      <c r="F45" s="1579"/>
    </row>
    <row r="46" spans="1:6" hidden="1">
      <c r="E46" s="1331"/>
      <c r="F46" s="1331"/>
    </row>
    <row r="47" spans="1:6" ht="0.75" hidden="1" customHeight="1">
      <c r="E47" s="1331"/>
      <c r="F47" s="1331"/>
    </row>
    <row r="48" spans="1:6" hidden="1">
      <c r="E48" s="1331"/>
      <c r="F48" s="1331"/>
    </row>
    <row r="49" spans="1:6" hidden="1">
      <c r="E49" s="1331"/>
      <c r="F49" s="1331"/>
    </row>
    <row r="50" spans="1:6" hidden="1">
      <c r="E50" s="1261"/>
      <c r="F50" s="1261"/>
    </row>
    <row r="51" spans="1:6">
      <c r="A51"/>
    </row>
    <row r="53" spans="1:6">
      <c r="E53" s="700"/>
      <c r="F53" s="700"/>
    </row>
    <row r="54" spans="1:6">
      <c r="E54" s="700"/>
      <c r="F54" s="700"/>
    </row>
    <row r="55" spans="1:6">
      <c r="E55" s="700"/>
      <c r="F55" s="700"/>
    </row>
  </sheetData>
  <mergeCells count="36">
    <mergeCell ref="A30:F30"/>
    <mergeCell ref="A33:B33"/>
    <mergeCell ref="A31:F31"/>
    <mergeCell ref="C33:D33"/>
    <mergeCell ref="E32:F32"/>
    <mergeCell ref="E33:F33"/>
    <mergeCell ref="A2:F2"/>
    <mergeCell ref="A3:F3"/>
    <mergeCell ref="A4:A5"/>
    <mergeCell ref="B4:B5"/>
    <mergeCell ref="D4:F4"/>
    <mergeCell ref="C4:C5"/>
    <mergeCell ref="C34:D34"/>
    <mergeCell ref="A37:B37"/>
    <mergeCell ref="E37:F37"/>
    <mergeCell ref="A36:B36"/>
    <mergeCell ref="E39:F39"/>
    <mergeCell ref="C35:D35"/>
    <mergeCell ref="C36:D36"/>
    <mergeCell ref="E35:F35"/>
    <mergeCell ref="E36:F36"/>
    <mergeCell ref="C38:D38"/>
    <mergeCell ref="E34:F34"/>
    <mergeCell ref="A34:B34"/>
    <mergeCell ref="A35:B35"/>
    <mergeCell ref="A38:B38"/>
    <mergeCell ref="E38:F38"/>
    <mergeCell ref="C37:D37"/>
    <mergeCell ref="E50:F50"/>
    <mergeCell ref="A39:B39"/>
    <mergeCell ref="E49:F49"/>
    <mergeCell ref="C39:D39"/>
    <mergeCell ref="E45:F45"/>
    <mergeCell ref="E48:F48"/>
    <mergeCell ref="E46:F46"/>
    <mergeCell ref="E47:F47"/>
  </mergeCells>
  <phoneticPr fontId="0" type="noConversion"/>
  <conditionalFormatting sqref="G1:IV1048576 C1:F1 A1 A39:F65536 A2:F34 A35:A37 A38:B38 C35:C38 D38 E35:E38 F38">
    <cfRule type="cellIs" dxfId="5" priority="2" stopIfTrue="1" operator="equal">
      <formula>".."</formula>
    </cfRule>
  </conditionalFormatting>
  <conditionalFormatting sqref="B38 A39:B39 A35:A38 C35:F39">
    <cfRule type="cellIs" dxfId="4" priority="1" stopIfTrue="1" operator="equal">
      <formula>".."</formula>
    </cfRule>
  </conditionalFormatting>
  <printOptions horizontalCentered="1"/>
  <pageMargins left="0.15" right="0.15" top="0.61" bottom="0.1" header="0.36" footer="0.1"/>
  <pageSetup paperSize="9" orientation="portrait" blackAndWhite="1" r:id="rId1"/>
  <headerFooter alignWithMargins="0"/>
</worksheet>
</file>

<file path=xl/worksheets/sheet67.xml><?xml version="1.0" encoding="utf-8"?>
<worksheet xmlns="http://schemas.openxmlformats.org/spreadsheetml/2006/main" xmlns:r="http://schemas.openxmlformats.org/officeDocument/2006/relationships">
  <dimension ref="A1:B23"/>
  <sheetViews>
    <sheetView topLeftCell="A6" workbookViewId="0">
      <selection activeCell="B22" sqref="B22"/>
    </sheetView>
  </sheetViews>
  <sheetFormatPr defaultRowHeight="12.75"/>
  <cols>
    <col min="1" max="1" width="38.5703125" style="405" customWidth="1"/>
    <col min="2" max="2" width="30.5703125" style="405" customWidth="1"/>
    <col min="3" max="16384" width="9.140625" style="405"/>
  </cols>
  <sheetData>
    <row r="1" spans="1:2" ht="12.75" customHeight="1">
      <c r="A1" s="1250" t="s">
        <v>484</v>
      </c>
      <c r="B1" s="1250"/>
    </row>
    <row r="2" spans="1:2" s="412" customFormat="1" ht="44.25" customHeight="1">
      <c r="A2" s="1323" t="str">
        <f>CONCATENATE("Consumer Price Index Numbers for Families of all 
 Expenditure Groups Combined in the district of ",District!$A$1)</f>
        <v>Consumer Price Index Numbers for Families of all 
 Expenditure Groups Combined in the district of Nadia</v>
      </c>
      <c r="B2" s="1323"/>
    </row>
    <row r="3" spans="1:2" ht="18.75" customHeight="1">
      <c r="A3" s="13" t="s">
        <v>1189</v>
      </c>
      <c r="B3" s="27" t="s">
        <v>1058</v>
      </c>
    </row>
    <row r="4" spans="1:2" ht="21.95" customHeight="1">
      <c r="A4" s="221" t="s">
        <v>1210</v>
      </c>
      <c r="B4" s="393" t="s">
        <v>1203</v>
      </c>
    </row>
    <row r="5" spans="1:2" ht="21.95" customHeight="1">
      <c r="A5" s="225" t="s">
        <v>163</v>
      </c>
      <c r="B5" s="224" t="s">
        <v>164</v>
      </c>
    </row>
    <row r="6" spans="1:2" ht="21.95" customHeight="1">
      <c r="A6" s="81">
        <v>2011</v>
      </c>
      <c r="B6" s="334">
        <v>146.69999999999999</v>
      </c>
    </row>
    <row r="7" spans="1:2" ht="21.95" customHeight="1">
      <c r="A7" s="81">
        <v>2012</v>
      </c>
      <c r="B7" s="334">
        <v>163.30000000000001</v>
      </c>
    </row>
    <row r="8" spans="1:2" ht="21.95" customHeight="1">
      <c r="A8" s="81">
        <v>2013</v>
      </c>
      <c r="B8" s="334">
        <v>177.61666666666667</v>
      </c>
    </row>
    <row r="9" spans="1:2" ht="21.95" customHeight="1">
      <c r="A9" s="129">
        <v>2014</v>
      </c>
      <c r="B9" s="1044">
        <f>AVERAGE(B11:B22)</f>
        <v>190.6333333333333</v>
      </c>
    </row>
    <row r="10" spans="1:2" ht="21.95" customHeight="1">
      <c r="A10" s="1384" t="str">
        <f>"Year : " &amp; A9</f>
        <v>Year : 2014</v>
      </c>
      <c r="B10" s="1386"/>
    </row>
    <row r="11" spans="1:2" ht="22.5" customHeight="1">
      <c r="A11" s="81" t="s">
        <v>198</v>
      </c>
      <c r="B11" s="1006">
        <v>185.1</v>
      </c>
    </row>
    <row r="12" spans="1:2" ht="22.5" customHeight="1">
      <c r="A12" s="81" t="s">
        <v>1204</v>
      </c>
      <c r="B12" s="1006">
        <v>184.2</v>
      </c>
    </row>
    <row r="13" spans="1:2" ht="22.5" customHeight="1">
      <c r="A13" s="81" t="s">
        <v>1205</v>
      </c>
      <c r="B13" s="1006">
        <v>183.7</v>
      </c>
    </row>
    <row r="14" spans="1:2" ht="22.5" customHeight="1">
      <c r="A14" s="81" t="s">
        <v>1206</v>
      </c>
      <c r="B14" s="334">
        <v>184.6</v>
      </c>
    </row>
    <row r="15" spans="1:2" ht="22.5" customHeight="1">
      <c r="A15" s="81" t="s">
        <v>1207</v>
      </c>
      <c r="B15" s="1006">
        <v>186.6</v>
      </c>
    </row>
    <row r="16" spans="1:2" ht="22.5" customHeight="1">
      <c r="A16" s="197" t="s">
        <v>203</v>
      </c>
      <c r="B16" s="1006">
        <v>192.1</v>
      </c>
    </row>
    <row r="17" spans="1:2" ht="22.5" customHeight="1">
      <c r="A17" s="81" t="s">
        <v>1208</v>
      </c>
      <c r="B17" s="1006">
        <v>194.3</v>
      </c>
    </row>
    <row r="18" spans="1:2" ht="22.5" customHeight="1">
      <c r="A18" s="81" t="s">
        <v>1209</v>
      </c>
      <c r="B18" s="1006">
        <v>194.9</v>
      </c>
    </row>
    <row r="19" spans="1:2" ht="22.5" customHeight="1">
      <c r="A19" s="81" t="s">
        <v>206</v>
      </c>
      <c r="B19" s="1006">
        <v>195.6</v>
      </c>
    </row>
    <row r="20" spans="1:2" ht="22.5" customHeight="1">
      <c r="A20" s="81" t="s">
        <v>207</v>
      </c>
      <c r="B20" s="1006">
        <v>194.6</v>
      </c>
    </row>
    <row r="21" spans="1:2" ht="22.5" customHeight="1">
      <c r="A21" s="81" t="s">
        <v>208</v>
      </c>
      <c r="B21" s="1006">
        <v>194.7</v>
      </c>
    </row>
    <row r="22" spans="1:2" ht="22.5" customHeight="1">
      <c r="A22" s="129" t="s">
        <v>209</v>
      </c>
      <c r="B22" s="1007">
        <v>197.2</v>
      </c>
    </row>
    <row r="23" spans="1:2">
      <c r="B23" s="745" t="s">
        <v>814</v>
      </c>
    </row>
  </sheetData>
  <mergeCells count="3">
    <mergeCell ref="A1:B1"/>
    <mergeCell ref="A2:B2"/>
    <mergeCell ref="A10:B10"/>
  </mergeCells>
  <phoneticPr fontId="0" type="noConversion"/>
  <printOptions horizontalCentered="1"/>
  <pageMargins left="0.1" right="0.1" top="0.89" bottom="0.21" header="0.5" footer="0.1"/>
  <pageSetup paperSize="9" orientation="portrait" blackAndWhite="1" r:id="rId1"/>
  <headerFooter alignWithMargins="0"/>
</worksheet>
</file>

<file path=xl/worksheets/sheet68.xml><?xml version="1.0" encoding="utf-8"?>
<worksheet xmlns="http://schemas.openxmlformats.org/spreadsheetml/2006/main" xmlns:r="http://schemas.openxmlformats.org/officeDocument/2006/relationships">
  <dimension ref="A1:G33"/>
  <sheetViews>
    <sheetView workbookViewId="0">
      <selection activeCell="J8" sqref="J8"/>
    </sheetView>
  </sheetViews>
  <sheetFormatPr defaultRowHeight="12.75"/>
  <cols>
    <col min="1" max="1" width="20.7109375" style="405" customWidth="1"/>
    <col min="2" max="6" width="18.7109375" style="405" customWidth="1"/>
    <col min="7" max="16384" width="9.140625" style="405"/>
  </cols>
  <sheetData>
    <row r="1" spans="1:7" ht="12.75" customHeight="1">
      <c r="A1" s="1435" t="s">
        <v>501</v>
      </c>
      <c r="B1" s="1435"/>
      <c r="C1" s="1435"/>
      <c r="D1" s="1435"/>
      <c r="E1" s="1435"/>
      <c r="F1" s="1435"/>
    </row>
    <row r="2" spans="1:7" s="412" customFormat="1" ht="18" customHeight="1">
      <c r="A2" s="1574" t="str">
        <f>CONCATENATE("Consumer Price Index Numbers for Industrial Workers in the district of ",District!$A$1)</f>
        <v>Consumer Price Index Numbers for Industrial Workers in the district of Nadia</v>
      </c>
      <c r="B2" s="1574"/>
      <c r="C2" s="1574"/>
      <c r="D2" s="1574"/>
      <c r="E2" s="1574"/>
      <c r="F2" s="1574"/>
    </row>
    <row r="3" spans="1:7" ht="15" customHeight="1">
      <c r="A3" s="413" t="s">
        <v>1059</v>
      </c>
      <c r="B3" s="414"/>
      <c r="C3" s="415"/>
      <c r="D3" s="415"/>
      <c r="E3" s="415"/>
      <c r="F3" s="27" t="s">
        <v>1508</v>
      </c>
    </row>
    <row r="4" spans="1:7" s="5" customFormat="1" ht="18" customHeight="1">
      <c r="A4" s="221" t="s">
        <v>846</v>
      </c>
      <c r="B4" s="1117">
        <v>2009</v>
      </c>
      <c r="C4" s="1117">
        <v>2010</v>
      </c>
      <c r="D4" s="1117">
        <v>2011</v>
      </c>
      <c r="E4" s="1117">
        <v>2012</v>
      </c>
      <c r="F4" s="1117">
        <v>2013</v>
      </c>
    </row>
    <row r="5" spans="1:7" ht="15.75" customHeight="1">
      <c r="A5" s="417" t="s">
        <v>163</v>
      </c>
      <c r="B5" s="1143" t="s">
        <v>164</v>
      </c>
      <c r="C5" s="1144" t="s">
        <v>165</v>
      </c>
      <c r="D5" s="1143" t="s">
        <v>166</v>
      </c>
      <c r="E5" s="1145" t="s">
        <v>167</v>
      </c>
      <c r="F5" s="1145" t="s">
        <v>168</v>
      </c>
      <c r="G5" s="420"/>
    </row>
    <row r="6" spans="1:7" ht="16.5" customHeight="1">
      <c r="A6" s="81" t="s">
        <v>198</v>
      </c>
      <c r="B6" s="1008">
        <v>685</v>
      </c>
      <c r="C6" s="1008">
        <v>798</v>
      </c>
      <c r="D6" s="1008">
        <v>896</v>
      </c>
      <c r="E6" s="1008">
        <v>977</v>
      </c>
      <c r="F6" s="1008">
        <v>1036</v>
      </c>
    </row>
    <row r="7" spans="1:7" ht="16.5" customHeight="1">
      <c r="A7" s="81" t="s">
        <v>199</v>
      </c>
      <c r="B7" s="1008">
        <v>695</v>
      </c>
      <c r="C7" s="1008">
        <v>798</v>
      </c>
      <c r="D7" s="1008">
        <v>887</v>
      </c>
      <c r="E7" s="1008">
        <v>978</v>
      </c>
      <c r="F7" s="1008">
        <v>1041</v>
      </c>
    </row>
    <row r="8" spans="1:7" ht="16.5" customHeight="1">
      <c r="A8" s="81" t="s">
        <v>200</v>
      </c>
      <c r="B8" s="1008">
        <v>684</v>
      </c>
      <c r="C8" s="1008">
        <v>809</v>
      </c>
      <c r="D8" s="1008">
        <v>885</v>
      </c>
      <c r="E8" s="1008">
        <v>999</v>
      </c>
      <c r="F8" s="1008">
        <v>1047</v>
      </c>
    </row>
    <row r="9" spans="1:7" ht="16.5" customHeight="1">
      <c r="A9" s="81" t="s">
        <v>201</v>
      </c>
      <c r="B9" s="1008">
        <v>701</v>
      </c>
      <c r="C9" s="1008">
        <v>820</v>
      </c>
      <c r="D9" s="1008">
        <v>885</v>
      </c>
      <c r="E9" s="1008">
        <v>1020</v>
      </c>
      <c r="F9" s="1008">
        <v>1061</v>
      </c>
    </row>
    <row r="10" spans="1:7" ht="16.5" customHeight="1">
      <c r="A10" s="81" t="s">
        <v>202</v>
      </c>
      <c r="B10" s="1008">
        <v>701</v>
      </c>
      <c r="C10" s="1008">
        <v>824</v>
      </c>
      <c r="D10" s="1008">
        <v>887</v>
      </c>
      <c r="E10" s="1008">
        <v>1022</v>
      </c>
      <c r="F10" s="1008">
        <v>1063</v>
      </c>
    </row>
    <row r="11" spans="1:7" ht="16.5" customHeight="1">
      <c r="A11" s="81" t="s">
        <v>203</v>
      </c>
      <c r="B11" s="1008">
        <v>702</v>
      </c>
      <c r="C11" s="1008">
        <v>806</v>
      </c>
      <c r="D11" s="1008">
        <v>889</v>
      </c>
      <c r="E11" s="1008">
        <v>1013</v>
      </c>
      <c r="F11" s="1008">
        <v>1071</v>
      </c>
    </row>
    <row r="12" spans="1:7" ht="16.5" customHeight="1">
      <c r="A12" s="81" t="s">
        <v>204</v>
      </c>
      <c r="B12" s="1008">
        <v>707</v>
      </c>
      <c r="C12" s="1008">
        <v>823</v>
      </c>
      <c r="D12" s="1008">
        <v>897</v>
      </c>
      <c r="E12" s="1116">
        <v>1030</v>
      </c>
      <c r="F12" s="1116">
        <v>1072</v>
      </c>
    </row>
    <row r="13" spans="1:7" ht="16.5" customHeight="1">
      <c r="A13" s="81" t="s">
        <v>205</v>
      </c>
      <c r="B13" s="1008">
        <v>733</v>
      </c>
      <c r="C13" s="1008">
        <v>836</v>
      </c>
      <c r="D13" s="1008">
        <v>912</v>
      </c>
      <c r="E13" s="1116">
        <v>1034</v>
      </c>
      <c r="F13" s="1116">
        <v>1087</v>
      </c>
    </row>
    <row r="14" spans="1:7" ht="16.5" customHeight="1">
      <c r="A14" s="81" t="s">
        <v>206</v>
      </c>
      <c r="B14" s="1008">
        <v>744</v>
      </c>
      <c r="C14" s="1008">
        <v>868</v>
      </c>
      <c r="D14" s="1008">
        <v>929</v>
      </c>
      <c r="E14" s="1116">
        <v>1036</v>
      </c>
      <c r="F14" s="1116">
        <v>1093</v>
      </c>
    </row>
    <row r="15" spans="1:7" ht="16.5" customHeight="1">
      <c r="A15" s="81" t="s">
        <v>207</v>
      </c>
      <c r="B15" s="1008">
        <v>756</v>
      </c>
      <c r="C15" s="1008">
        <v>880</v>
      </c>
      <c r="D15" s="1008">
        <v>928</v>
      </c>
      <c r="E15" s="1116">
        <v>1039</v>
      </c>
      <c r="F15" s="1116">
        <v>1113</v>
      </c>
    </row>
    <row r="16" spans="1:7" ht="16.5" customHeight="1">
      <c r="A16" s="81" t="s">
        <v>208</v>
      </c>
      <c r="B16" s="1008">
        <v>785</v>
      </c>
      <c r="C16" s="1008">
        <v>885</v>
      </c>
      <c r="D16" s="1008">
        <v>923</v>
      </c>
      <c r="E16" s="1116">
        <v>1041</v>
      </c>
      <c r="F16" s="1116">
        <v>1117</v>
      </c>
    </row>
    <row r="17" spans="1:6" ht="16.5" customHeight="1">
      <c r="A17" s="81" t="s">
        <v>209</v>
      </c>
      <c r="B17" s="1008">
        <v>803</v>
      </c>
      <c r="C17" s="1008">
        <v>905</v>
      </c>
      <c r="D17" s="1008">
        <v>915</v>
      </c>
      <c r="E17" s="1116">
        <v>1036</v>
      </c>
      <c r="F17" s="1116">
        <v>1105</v>
      </c>
    </row>
    <row r="18" spans="1:6" s="6" customFormat="1" ht="17.25" customHeight="1">
      <c r="A18" s="422" t="s">
        <v>847</v>
      </c>
      <c r="B18" s="424">
        <f>AVERAGE(B6:B17)</f>
        <v>724.66666666666663</v>
      </c>
      <c r="C18" s="425">
        <f>AVERAGE(C6:C17)</f>
        <v>837.66666666666663</v>
      </c>
      <c r="D18" s="425">
        <f>AVERAGE(D6:D17)</f>
        <v>902.75</v>
      </c>
      <c r="E18" s="425">
        <f>AVERAGE(E6:E17)</f>
        <v>1018.75</v>
      </c>
      <c r="F18" s="425">
        <f>AVERAGE(F6:F17)</f>
        <v>1075.5</v>
      </c>
    </row>
    <row r="19" spans="1:6">
      <c r="D19" s="426"/>
      <c r="F19" s="280" t="s">
        <v>1060</v>
      </c>
    </row>
    <row r="20" spans="1:6">
      <c r="C20" s="6"/>
      <c r="D20" s="6"/>
      <c r="E20" s="6"/>
    </row>
    <row r="21" spans="1:6">
      <c r="A21" s="1250" t="s">
        <v>485</v>
      </c>
      <c r="B21" s="1250"/>
      <c r="C21" s="1250"/>
      <c r="D21" s="1250"/>
      <c r="E21" s="1250"/>
      <c r="F21" s="1250"/>
    </row>
    <row r="22" spans="1:6" s="412" customFormat="1" ht="14.25" customHeight="1">
      <c r="A22" s="1513" t="str">
        <f>CONCATENATE("Progress of Statutory and Modified Ration Shops in the district of ",District!$A$1)</f>
        <v>Progress of Statutory and Modified Ration Shops in the district of Nadia</v>
      </c>
      <c r="B22" s="1513"/>
      <c r="C22" s="1513"/>
      <c r="D22" s="1513"/>
      <c r="E22" s="1513"/>
      <c r="F22" s="1513"/>
    </row>
    <row r="23" spans="1:6">
      <c r="A23" s="412"/>
      <c r="B23" s="428"/>
      <c r="C23" s="412"/>
      <c r="D23" s="412"/>
      <c r="E23" s="412"/>
      <c r="F23" s="429" t="s">
        <v>223</v>
      </c>
    </row>
    <row r="24" spans="1:6" s="5" customFormat="1" ht="27" customHeight="1">
      <c r="A24" s="1601" t="s">
        <v>971</v>
      </c>
      <c r="B24" s="1602"/>
      <c r="C24" s="1268" t="s">
        <v>1138</v>
      </c>
      <c r="D24" s="1266"/>
      <c r="E24" s="1268" t="s">
        <v>848</v>
      </c>
      <c r="F24" s="1266"/>
    </row>
    <row r="25" spans="1:6" ht="17.25" customHeight="1">
      <c r="A25" s="1603" t="s">
        <v>163</v>
      </c>
      <c r="B25" s="1604"/>
      <c r="C25" s="1593" t="s">
        <v>164</v>
      </c>
      <c r="D25" s="1594"/>
      <c r="E25" s="1259" t="s">
        <v>165</v>
      </c>
      <c r="F25" s="1260"/>
    </row>
    <row r="26" spans="1:6" ht="21.75" customHeight="1">
      <c r="A26" s="1605" t="s">
        <v>1668</v>
      </c>
      <c r="B26" s="1606"/>
      <c r="C26" s="1595" t="s">
        <v>643</v>
      </c>
      <c r="D26" s="1596"/>
      <c r="E26" s="1268">
        <v>1286</v>
      </c>
      <c r="F26" s="1266"/>
    </row>
    <row r="27" spans="1:6" ht="21.75" customHeight="1">
      <c r="A27" s="1597" t="s">
        <v>1669</v>
      </c>
      <c r="B27" s="1598"/>
      <c r="C27" s="1351" t="s">
        <v>643</v>
      </c>
      <c r="D27" s="1398"/>
      <c r="E27" s="1351">
        <v>1286</v>
      </c>
      <c r="F27" s="1398"/>
    </row>
    <row r="28" spans="1:6" ht="21.75" customHeight="1">
      <c r="A28" s="1597" t="s">
        <v>1670</v>
      </c>
      <c r="B28" s="1598"/>
      <c r="C28" s="1351" t="s">
        <v>643</v>
      </c>
      <c r="D28" s="1398"/>
      <c r="E28" s="1351">
        <v>1286</v>
      </c>
      <c r="F28" s="1398"/>
    </row>
    <row r="29" spans="1:6" ht="21.75" customHeight="1">
      <c r="A29" s="1597" t="s">
        <v>1671</v>
      </c>
      <c r="B29" s="1598"/>
      <c r="C29" s="1351" t="s">
        <v>643</v>
      </c>
      <c r="D29" s="1398"/>
      <c r="E29" s="1351" t="s">
        <v>52</v>
      </c>
      <c r="F29" s="1398"/>
    </row>
    <row r="30" spans="1:6" ht="21.75" customHeight="1">
      <c r="A30" s="1599" t="s">
        <v>1672</v>
      </c>
      <c r="B30" s="1600"/>
      <c r="C30" s="1399" t="s">
        <v>643</v>
      </c>
      <c r="D30" s="1325"/>
      <c r="E30" s="1399">
        <v>1286</v>
      </c>
      <c r="F30" s="1325"/>
    </row>
    <row r="31" spans="1:6">
      <c r="A31" s="282"/>
      <c r="D31" s="430" t="s">
        <v>324</v>
      </c>
      <c r="E31" s="1592" t="s">
        <v>923</v>
      </c>
      <c r="F31" s="1592"/>
    </row>
    <row r="32" spans="1:6">
      <c r="D32" s="18"/>
      <c r="E32" s="1393" t="s">
        <v>1487</v>
      </c>
      <c r="F32" s="1393"/>
    </row>
    <row r="33" spans="1:6">
      <c r="A33" s="6"/>
      <c r="D33" s="18" t="s">
        <v>329</v>
      </c>
      <c r="E33" s="1393"/>
      <c r="F33" s="1393"/>
    </row>
  </sheetData>
  <mergeCells count="27">
    <mergeCell ref="A30:B30"/>
    <mergeCell ref="A21:F21"/>
    <mergeCell ref="A22:F22"/>
    <mergeCell ref="A24:B24"/>
    <mergeCell ref="A25:B25"/>
    <mergeCell ref="A26:B26"/>
    <mergeCell ref="A27:B27"/>
    <mergeCell ref="A1:F1"/>
    <mergeCell ref="C29:D29"/>
    <mergeCell ref="A2:F2"/>
    <mergeCell ref="C25:D25"/>
    <mergeCell ref="C28:D28"/>
    <mergeCell ref="E26:F26"/>
    <mergeCell ref="C24:D24"/>
    <mergeCell ref="C26:D26"/>
    <mergeCell ref="E24:F24"/>
    <mergeCell ref="E25:F25"/>
    <mergeCell ref="A28:B28"/>
    <mergeCell ref="A29:B29"/>
    <mergeCell ref="E32:F33"/>
    <mergeCell ref="C30:D30"/>
    <mergeCell ref="C27:D27"/>
    <mergeCell ref="E29:F29"/>
    <mergeCell ref="E27:F27"/>
    <mergeCell ref="E28:F28"/>
    <mergeCell ref="E31:F31"/>
    <mergeCell ref="E30:F30"/>
  </mergeCells>
  <phoneticPr fontId="0" type="noConversion"/>
  <printOptions horizontalCentered="1"/>
  <pageMargins left="0.13" right="0.1" top="0.52" bottom="0.18" header="0.62" footer="0.23"/>
  <pageSetup paperSize="9" orientation="landscape" blackAndWhite="1" r:id="rId1"/>
  <headerFooter alignWithMargins="0"/>
</worksheet>
</file>

<file path=xl/worksheets/sheet69.xml><?xml version="1.0" encoding="utf-8"?>
<worksheet xmlns="http://schemas.openxmlformats.org/spreadsheetml/2006/main" xmlns:r="http://schemas.openxmlformats.org/officeDocument/2006/relationships">
  <dimension ref="A1:O31"/>
  <sheetViews>
    <sheetView topLeftCell="A10" workbookViewId="0">
      <selection activeCell="H30" sqref="H30"/>
    </sheetView>
  </sheetViews>
  <sheetFormatPr defaultRowHeight="12.75"/>
  <cols>
    <col min="1" max="1" width="1.42578125" style="405" customWidth="1"/>
    <col min="2" max="2" width="13.85546875" style="405" customWidth="1"/>
    <col min="3" max="3" width="12.5703125" style="405" customWidth="1"/>
    <col min="4" max="4" width="12" style="405" customWidth="1"/>
    <col min="5" max="5" width="9.42578125" style="405" customWidth="1"/>
    <col min="6" max="6" width="10.5703125" style="405" customWidth="1"/>
    <col min="7" max="7" width="11.7109375" style="405" customWidth="1"/>
    <col min="8" max="8" width="9.140625" style="405"/>
    <col min="9" max="9" width="10.85546875" style="405" customWidth="1"/>
    <col min="10" max="10" width="11.28515625" style="405" customWidth="1"/>
    <col min="11" max="11" width="10" style="405" customWidth="1"/>
    <col min="12" max="12" width="8.7109375" style="405" customWidth="1"/>
    <col min="13" max="13" width="10.5703125" style="405" customWidth="1"/>
    <col min="14" max="14" width="13.140625" style="405" customWidth="1"/>
    <col min="15" max="16384" width="9.140625" style="405"/>
  </cols>
  <sheetData>
    <row r="1" spans="1:15" ht="12.75" customHeight="1">
      <c r="A1" s="432"/>
      <c r="B1" s="1250" t="s">
        <v>508</v>
      </c>
      <c r="C1" s="1250"/>
      <c r="D1" s="1250"/>
      <c r="E1" s="1250"/>
      <c r="F1" s="1250"/>
      <c r="G1" s="1250"/>
      <c r="H1" s="1250"/>
      <c r="I1" s="1250"/>
      <c r="J1" s="1250"/>
      <c r="K1" s="1250"/>
      <c r="L1" s="1250"/>
      <c r="M1" s="1250"/>
      <c r="N1" s="1250"/>
    </row>
    <row r="2" spans="1:15" s="412" customFormat="1" ht="18" customHeight="1">
      <c r="A2" s="433"/>
      <c r="B2" s="1269" t="str">
        <f>CONCATENATE("Length of Roads maintained by P.W.D., Zilla Parishad and Panchayat in the district of ",District!$A$1)</f>
        <v>Length of Roads maintained by P.W.D., Zilla Parishad and Panchayat in the district of Nadia</v>
      </c>
      <c r="C2" s="1269"/>
      <c r="D2" s="1269"/>
      <c r="E2" s="1269"/>
      <c r="F2" s="1269"/>
      <c r="G2" s="1269"/>
      <c r="H2" s="1269"/>
      <c r="I2" s="1269"/>
      <c r="J2" s="1269"/>
      <c r="K2" s="1269"/>
      <c r="L2" s="1269"/>
      <c r="M2" s="1269"/>
      <c r="N2" s="1269"/>
    </row>
    <row r="3" spans="1:15" ht="11.25" customHeight="1">
      <c r="A3" s="435"/>
      <c r="B3" s="412"/>
      <c r="C3" s="436"/>
      <c r="D3" s="436"/>
      <c r="E3" s="436"/>
      <c r="F3" s="436"/>
      <c r="G3" s="436"/>
      <c r="H3" s="436"/>
      <c r="I3" s="428"/>
      <c r="J3" s="412"/>
      <c r="K3" s="412"/>
      <c r="L3" s="412"/>
      <c r="M3" s="1618" t="s">
        <v>852</v>
      </c>
      <c r="N3" s="1618"/>
    </row>
    <row r="4" spans="1:15" ht="30" customHeight="1">
      <c r="A4" s="433"/>
      <c r="B4" s="1262" t="s">
        <v>107</v>
      </c>
      <c r="C4" s="1321" t="s">
        <v>853</v>
      </c>
      <c r="D4" s="1471"/>
      <c r="E4" s="1322"/>
      <c r="F4" s="1321" t="s">
        <v>435</v>
      </c>
      <c r="G4" s="1471"/>
      <c r="H4" s="1322"/>
      <c r="I4" s="1619" t="s">
        <v>1440</v>
      </c>
      <c r="J4" s="1620"/>
      <c r="K4" s="1621"/>
      <c r="L4" s="1321" t="s">
        <v>1062</v>
      </c>
      <c r="M4" s="1471"/>
      <c r="N4" s="1322"/>
    </row>
    <row r="5" spans="1:15" s="207" customFormat="1" ht="15.95" customHeight="1">
      <c r="A5" s="206"/>
      <c r="B5" s="1258"/>
      <c r="C5" s="221" t="s">
        <v>152</v>
      </c>
      <c r="D5" s="221" t="s">
        <v>1239</v>
      </c>
      <c r="E5" s="393" t="s">
        <v>210</v>
      </c>
      <c r="F5" s="221" t="s">
        <v>152</v>
      </c>
      <c r="G5" s="221" t="s">
        <v>1239</v>
      </c>
      <c r="H5" s="221" t="s">
        <v>210</v>
      </c>
      <c r="I5" s="221" t="s">
        <v>152</v>
      </c>
      <c r="J5" s="221" t="s">
        <v>1239</v>
      </c>
      <c r="K5" s="221" t="s">
        <v>210</v>
      </c>
      <c r="L5" s="233" t="s">
        <v>152</v>
      </c>
      <c r="M5" s="233" t="s">
        <v>1239</v>
      </c>
      <c r="N5" s="233" t="s">
        <v>210</v>
      </c>
    </row>
    <row r="6" spans="1:15" ht="15.95" customHeight="1">
      <c r="A6" s="433"/>
      <c r="B6" s="304" t="s">
        <v>163</v>
      </c>
      <c r="C6" s="225" t="s">
        <v>164</v>
      </c>
      <c r="D6" s="225" t="s">
        <v>165</v>
      </c>
      <c r="E6" s="224" t="s">
        <v>166</v>
      </c>
      <c r="F6" s="225" t="s">
        <v>167</v>
      </c>
      <c r="G6" s="365" t="s">
        <v>168</v>
      </c>
      <c r="H6" s="365" t="s">
        <v>169</v>
      </c>
      <c r="I6" s="365" t="s">
        <v>211</v>
      </c>
      <c r="J6" s="365" t="s">
        <v>212</v>
      </c>
      <c r="K6" s="225" t="s">
        <v>213</v>
      </c>
      <c r="L6" s="365" t="s">
        <v>214</v>
      </c>
      <c r="M6" s="365" t="s">
        <v>253</v>
      </c>
      <c r="N6" s="365" t="s">
        <v>254</v>
      </c>
    </row>
    <row r="7" spans="1:15" ht="24" customHeight="1">
      <c r="A7" s="433"/>
      <c r="B7" s="246" t="str">
        <f>District!D13</f>
        <v>2009-10</v>
      </c>
      <c r="C7" s="159">
        <v>1015</v>
      </c>
      <c r="D7" s="318">
        <v>10</v>
      </c>
      <c r="E7" s="159">
        <f>SUM(C7:D7)</f>
        <v>1025</v>
      </c>
      <c r="F7" s="318">
        <v>864.25</v>
      </c>
      <c r="G7" s="159">
        <v>837.33</v>
      </c>
      <c r="H7" s="318">
        <f>SUM(F7:G7)</f>
        <v>1701.58</v>
      </c>
      <c r="I7" s="320">
        <v>2248.88</v>
      </c>
      <c r="J7" s="319">
        <v>1524.39</v>
      </c>
      <c r="K7" s="159">
        <f>SUM(I7:J7)</f>
        <v>3773.2700000000004</v>
      </c>
      <c r="L7" s="265">
        <v>471.66</v>
      </c>
      <c r="M7" s="204" t="s">
        <v>643</v>
      </c>
      <c r="N7" s="216">
        <f>SUM(L7:M7)</f>
        <v>471.66</v>
      </c>
    </row>
    <row r="8" spans="1:15" ht="24" customHeight="1">
      <c r="A8" s="433"/>
      <c r="B8" s="108" t="str">
        <f>District!D14</f>
        <v>2010-11</v>
      </c>
      <c r="C8" s="151">
        <v>1016</v>
      </c>
      <c r="D8" s="188">
        <v>10</v>
      </c>
      <c r="E8" s="151">
        <f t="shared" ref="E8:E11" si="0">SUM(C8:D8)</f>
        <v>1026</v>
      </c>
      <c r="F8" s="188">
        <v>804.34</v>
      </c>
      <c r="G8" s="151">
        <v>813.15</v>
      </c>
      <c r="H8" s="188">
        <f>SUM(F8:G8)</f>
        <v>1617.49</v>
      </c>
      <c r="I8" s="321">
        <v>2238.13</v>
      </c>
      <c r="J8" s="317">
        <v>1514.44</v>
      </c>
      <c r="K8" s="151">
        <f>SUM(I8:J8)</f>
        <v>3752.57</v>
      </c>
      <c r="L8" s="45">
        <v>583.64</v>
      </c>
      <c r="M8" s="81" t="s">
        <v>643</v>
      </c>
      <c r="N8" s="46">
        <f>SUM(L8:M8)</f>
        <v>583.64</v>
      </c>
      <c r="O8" s="437"/>
    </row>
    <row r="9" spans="1:15" ht="24" customHeight="1">
      <c r="A9" s="433"/>
      <c r="B9" s="108" t="str">
        <f>District!D15</f>
        <v>2011-12</v>
      </c>
      <c r="C9" s="151">
        <v>940</v>
      </c>
      <c r="D9" s="188" t="s">
        <v>643</v>
      </c>
      <c r="E9" s="151">
        <f t="shared" si="0"/>
        <v>940</v>
      </c>
      <c r="F9" s="188">
        <v>979.67</v>
      </c>
      <c r="G9" s="151">
        <v>731.88</v>
      </c>
      <c r="H9" s="188">
        <f>SUM(F9:G9)</f>
        <v>1711.55</v>
      </c>
      <c r="I9" s="321">
        <v>2238.13</v>
      </c>
      <c r="J9" s="317">
        <v>1532.01</v>
      </c>
      <c r="K9" s="151">
        <f>SUM(I9:J9)</f>
        <v>3770.1400000000003</v>
      </c>
      <c r="L9" s="45">
        <v>694.23</v>
      </c>
      <c r="M9" s="81" t="s">
        <v>643</v>
      </c>
      <c r="N9" s="46">
        <f>SUM(L9:M9)</f>
        <v>694.23</v>
      </c>
    </row>
    <row r="10" spans="1:15" ht="24" customHeight="1">
      <c r="A10" s="433"/>
      <c r="B10" s="108" t="str">
        <f>District!D16</f>
        <v>2012-13</v>
      </c>
      <c r="C10" s="151" t="s">
        <v>1170</v>
      </c>
      <c r="D10" s="188" t="s">
        <v>1170</v>
      </c>
      <c r="E10" s="151">
        <f t="shared" si="0"/>
        <v>0</v>
      </c>
      <c r="F10" s="188">
        <v>1003.07</v>
      </c>
      <c r="G10" s="151" t="s">
        <v>643</v>
      </c>
      <c r="H10" s="188">
        <f>SUM(F10:G10)</f>
        <v>1003.07</v>
      </c>
      <c r="I10" s="321">
        <v>2779.01</v>
      </c>
      <c r="J10" s="317">
        <v>1793.45</v>
      </c>
      <c r="K10" s="151">
        <f>SUM(I10:J10)</f>
        <v>4572.46</v>
      </c>
      <c r="L10" s="188">
        <v>1102.7</v>
      </c>
      <c r="M10" s="81" t="s">
        <v>643</v>
      </c>
      <c r="N10" s="109">
        <f>SUM(L10:M10)</f>
        <v>1102.7</v>
      </c>
    </row>
    <row r="11" spans="1:15" ht="24" customHeight="1">
      <c r="A11" s="433"/>
      <c r="B11" s="127" t="str">
        <f>District!D17</f>
        <v>2013-14</v>
      </c>
      <c r="C11" s="160">
        <v>880</v>
      </c>
      <c r="D11" s="222" t="s">
        <v>643</v>
      </c>
      <c r="E11" s="160">
        <f t="shared" si="0"/>
        <v>880</v>
      </c>
      <c r="F11" s="222">
        <v>1069.07</v>
      </c>
      <c r="G11" s="160" t="s">
        <v>643</v>
      </c>
      <c r="H11" s="222">
        <f>SUM(F11:G11)</f>
        <v>1069.07</v>
      </c>
      <c r="I11" s="322">
        <v>3057.01</v>
      </c>
      <c r="J11" s="316">
        <v>2119.0100000000002</v>
      </c>
      <c r="K11" s="160">
        <f>SUM(I11:J11)</f>
        <v>5176.0200000000004</v>
      </c>
      <c r="L11" s="222">
        <v>1201.22</v>
      </c>
      <c r="M11" s="129" t="s">
        <v>643</v>
      </c>
      <c r="N11" s="217">
        <f>SUM(L11:M11)</f>
        <v>1201.22</v>
      </c>
    </row>
    <row r="12" spans="1:15" ht="12" customHeight="1">
      <c r="A12" s="433"/>
      <c r="B12" s="1622" t="s">
        <v>1061</v>
      </c>
      <c r="C12" s="1622"/>
      <c r="D12" s="1622"/>
      <c r="E12" s="1622"/>
      <c r="I12" s="1172"/>
      <c r="J12" s="284"/>
      <c r="K12" s="1183" t="s">
        <v>1674</v>
      </c>
      <c r="L12" s="1625" t="s">
        <v>1675</v>
      </c>
      <c r="M12" s="1626"/>
      <c r="N12" s="1626"/>
    </row>
    <row r="13" spans="1:15" ht="12" customHeight="1">
      <c r="A13" s="433"/>
      <c r="B13" s="1622"/>
      <c r="C13" s="1622"/>
      <c r="D13" s="1622"/>
      <c r="E13" s="1622"/>
      <c r="F13" s="437"/>
      <c r="G13" s="161"/>
      <c r="I13" s="284"/>
      <c r="J13" s="1186"/>
      <c r="K13"/>
      <c r="L13" s="1627"/>
      <c r="M13" s="1627"/>
      <c r="N13" s="1627"/>
    </row>
    <row r="14" spans="1:15" ht="12" customHeight="1">
      <c r="A14" s="433"/>
      <c r="G14" s="161"/>
      <c r="H14" s="161"/>
      <c r="I14" s="161"/>
      <c r="J14" s="284"/>
      <c r="K14" s="1183" t="s">
        <v>1248</v>
      </c>
      <c r="L14" s="1184" t="s">
        <v>1676</v>
      </c>
      <c r="M14" s="1185"/>
      <c r="N14" s="1185"/>
    </row>
    <row r="15" spans="1:15" ht="12" customHeight="1">
      <c r="A15" s="433"/>
      <c r="G15" s="161"/>
      <c r="H15" s="161"/>
      <c r="I15" s="161"/>
      <c r="J15" s="284"/>
      <c r="K15" s="1183" t="s">
        <v>137</v>
      </c>
      <c r="L15" s="1185" t="s">
        <v>1677</v>
      </c>
      <c r="M15" s="1185"/>
      <c r="N15" s="1185"/>
    </row>
    <row r="16" spans="1:15" ht="9.75" customHeight="1">
      <c r="A16" s="433"/>
      <c r="G16" s="161"/>
      <c r="H16" s="161"/>
      <c r="I16" s="161"/>
      <c r="J16" s="284"/>
      <c r="K16" s="18"/>
      <c r="L16" s="18"/>
      <c r="M16" s="284"/>
    </row>
    <row r="17" spans="1:14" ht="15.95" customHeight="1">
      <c r="A17" s="433"/>
      <c r="C17" s="1623" t="s">
        <v>502</v>
      </c>
      <c r="D17" s="1623"/>
      <c r="E17" s="1623"/>
      <c r="F17" s="1623"/>
      <c r="G17" s="1623"/>
      <c r="H17" s="1623"/>
      <c r="I17" s="1623"/>
      <c r="J17" s="1623"/>
      <c r="K17" s="1623"/>
      <c r="L17" s="1623"/>
      <c r="M17" s="1623"/>
    </row>
    <row r="18" spans="1:14" s="412" customFormat="1" ht="15.95" customHeight="1">
      <c r="A18" s="433"/>
      <c r="B18" s="405"/>
      <c r="C18" s="1267" t="str">
        <f>CONCATENATE("Length of different classes of Roads maintained by P.W.D. in the district of ",District!$A$1)</f>
        <v>Length of different classes of Roads maintained by P.W.D. in the district of Nadia</v>
      </c>
      <c r="D18" s="1267"/>
      <c r="E18" s="1267"/>
      <c r="F18" s="1267"/>
      <c r="G18" s="1267"/>
      <c r="H18" s="1267"/>
      <c r="I18" s="1267"/>
      <c r="J18" s="1267"/>
      <c r="K18" s="1267"/>
      <c r="L18" s="1267"/>
      <c r="M18" s="1267"/>
    </row>
    <row r="19" spans="1:14" ht="15.95" customHeight="1">
      <c r="A19" s="435"/>
      <c r="B19" s="412"/>
      <c r="C19" s="412"/>
      <c r="D19" s="412"/>
      <c r="E19" s="412"/>
      <c r="F19" s="412"/>
      <c r="G19" s="412"/>
      <c r="H19" s="412"/>
      <c r="I19" s="412"/>
      <c r="J19" s="412"/>
      <c r="K19" s="412"/>
      <c r="L19" s="412"/>
      <c r="M19" s="27" t="s">
        <v>852</v>
      </c>
    </row>
    <row r="20" spans="1:14" s="5" customFormat="1" ht="15.95" customHeight="1">
      <c r="A20" s="195"/>
      <c r="C20" s="221" t="s">
        <v>107</v>
      </c>
      <c r="D20" s="1253" t="s">
        <v>854</v>
      </c>
      <c r="E20" s="1357"/>
      <c r="F20" s="1253" t="s">
        <v>855</v>
      </c>
      <c r="G20" s="1357"/>
      <c r="H20" s="1253" t="s">
        <v>856</v>
      </c>
      <c r="I20" s="1357"/>
      <c r="J20" s="1253" t="s">
        <v>857</v>
      </c>
      <c r="K20" s="1357"/>
      <c r="L20" s="1268" t="s">
        <v>210</v>
      </c>
      <c r="M20" s="1266"/>
      <c r="N20" s="19"/>
    </row>
    <row r="21" spans="1:14" ht="15.95" customHeight="1">
      <c r="A21" s="433"/>
      <c r="C21" s="365" t="s">
        <v>163</v>
      </c>
      <c r="D21" s="1259" t="s">
        <v>164</v>
      </c>
      <c r="E21" s="1624"/>
      <c r="F21" s="1259" t="s">
        <v>165</v>
      </c>
      <c r="G21" s="1624"/>
      <c r="H21" s="1259" t="s">
        <v>166</v>
      </c>
      <c r="I21" s="1624"/>
      <c r="J21" s="1259" t="s">
        <v>167</v>
      </c>
      <c r="K21" s="1624"/>
      <c r="L21" s="1259" t="s">
        <v>168</v>
      </c>
      <c r="M21" s="1260"/>
      <c r="N21" s="439"/>
    </row>
    <row r="22" spans="1:14" ht="24" customHeight="1">
      <c r="A22" s="433"/>
      <c r="C22" s="108" t="str">
        <f>District!D13</f>
        <v>2009-10</v>
      </c>
      <c r="D22" s="1611" t="s">
        <v>1170</v>
      </c>
      <c r="E22" s="1612"/>
      <c r="F22" s="1611" t="s">
        <v>1170</v>
      </c>
      <c r="G22" s="1612"/>
      <c r="H22" s="1611" t="s">
        <v>1170</v>
      </c>
      <c r="I22" s="1612"/>
      <c r="J22" s="1611" t="s">
        <v>1170</v>
      </c>
      <c r="K22" s="1612"/>
      <c r="L22" s="1609">
        <v>1025</v>
      </c>
      <c r="M22" s="1610"/>
      <c r="N22" s="352"/>
    </row>
    <row r="23" spans="1:14" ht="24" customHeight="1">
      <c r="A23" s="433"/>
      <c r="C23" s="108" t="str">
        <f>District!D14</f>
        <v>2010-11</v>
      </c>
      <c r="D23" s="1615" t="s">
        <v>1170</v>
      </c>
      <c r="E23" s="1616"/>
      <c r="F23" s="1615" t="s">
        <v>1170</v>
      </c>
      <c r="G23" s="1616"/>
      <c r="H23" s="1615" t="s">
        <v>1170</v>
      </c>
      <c r="I23" s="1616"/>
      <c r="J23" s="1615" t="s">
        <v>1170</v>
      </c>
      <c r="K23" s="1616"/>
      <c r="L23" s="1545">
        <v>1026</v>
      </c>
      <c r="M23" s="1546"/>
      <c r="N23" s="198"/>
    </row>
    <row r="24" spans="1:14" ht="24" customHeight="1">
      <c r="A24" s="433"/>
      <c r="C24" s="108" t="str">
        <f>District!D15</f>
        <v>2011-12</v>
      </c>
      <c r="D24" s="1615" t="s">
        <v>1170</v>
      </c>
      <c r="E24" s="1616"/>
      <c r="F24" s="1615" t="s">
        <v>1170</v>
      </c>
      <c r="G24" s="1616"/>
      <c r="H24" s="1615" t="s">
        <v>1170</v>
      </c>
      <c r="I24" s="1616"/>
      <c r="J24" s="1615" t="s">
        <v>1170</v>
      </c>
      <c r="K24" s="1616"/>
      <c r="L24" s="1545">
        <v>940</v>
      </c>
      <c r="M24" s="1546"/>
      <c r="N24" s="198"/>
    </row>
    <row r="25" spans="1:14" ht="24" customHeight="1">
      <c r="A25" s="433"/>
      <c r="C25" s="108" t="str">
        <f>District!D16</f>
        <v>2012-13</v>
      </c>
      <c r="D25" s="1613" t="s">
        <v>1170</v>
      </c>
      <c r="E25" s="1614"/>
      <c r="F25" s="1613" t="s">
        <v>1170</v>
      </c>
      <c r="G25" s="1614"/>
      <c r="H25" s="1613" t="s">
        <v>1170</v>
      </c>
      <c r="I25" s="1614"/>
      <c r="J25" s="1613" t="s">
        <v>1170</v>
      </c>
      <c r="K25" s="1614"/>
      <c r="L25" s="1550" t="s">
        <v>1170</v>
      </c>
      <c r="M25" s="1546"/>
      <c r="N25" s="198"/>
    </row>
    <row r="26" spans="1:14" ht="24" customHeight="1">
      <c r="A26" s="433"/>
      <c r="C26" s="127" t="str">
        <f>District!D17</f>
        <v>2013-14</v>
      </c>
      <c r="D26" s="1617" t="s">
        <v>643</v>
      </c>
      <c r="E26" s="1608"/>
      <c r="F26" s="1607">
        <v>262.45</v>
      </c>
      <c r="G26" s="1608"/>
      <c r="H26" s="1607">
        <v>527.94000000000005</v>
      </c>
      <c r="I26" s="1608"/>
      <c r="J26" s="1607">
        <v>93.76</v>
      </c>
      <c r="K26" s="1608"/>
      <c r="L26" s="1549">
        <v>884</v>
      </c>
      <c r="M26" s="1544"/>
      <c r="N26" s="198"/>
    </row>
    <row r="27" spans="1:14" ht="12.75" customHeight="1">
      <c r="A27" s="433"/>
      <c r="C27" s="183"/>
      <c r="D27" s="447"/>
      <c r="E27" s="448"/>
      <c r="F27" s="447"/>
      <c r="G27" s="448"/>
      <c r="H27" s="447"/>
      <c r="I27" s="448"/>
      <c r="K27" s="667"/>
      <c r="L27" s="667"/>
      <c r="M27" s="1182" t="s">
        <v>1673</v>
      </c>
      <c r="N27" s="198"/>
    </row>
    <row r="28" spans="1:14" ht="24" customHeight="1">
      <c r="A28" s="433"/>
      <c r="C28" s="183"/>
      <c r="D28" s="447"/>
      <c r="E28" s="448"/>
      <c r="F28" s="447"/>
      <c r="G28" s="448"/>
      <c r="H28" s="447"/>
      <c r="I28" s="448"/>
      <c r="J28" s="447"/>
      <c r="K28" s="448"/>
      <c r="L28" s="449"/>
      <c r="M28" s="449"/>
      <c r="N28" s="198"/>
    </row>
    <row r="29" spans="1:14" ht="12" customHeight="1">
      <c r="A29" s="433"/>
      <c r="N29" s="450"/>
    </row>
    <row r="30" spans="1:14" ht="15.95" customHeight="1">
      <c r="A30" s="433"/>
    </row>
    <row r="31" spans="1:14">
      <c r="A31" s="433"/>
    </row>
  </sheetData>
  <mergeCells count="47">
    <mergeCell ref="D22:E22"/>
    <mergeCell ref="H23:I23"/>
    <mergeCell ref="F23:G23"/>
    <mergeCell ref="F20:G20"/>
    <mergeCell ref="H20:I20"/>
    <mergeCell ref="D21:E21"/>
    <mergeCell ref="H21:I21"/>
    <mergeCell ref="F21:G21"/>
    <mergeCell ref="D23:E23"/>
    <mergeCell ref="F22:G22"/>
    <mergeCell ref="D20:E20"/>
    <mergeCell ref="B1:N1"/>
    <mergeCell ref="L21:M21"/>
    <mergeCell ref="M3:N3"/>
    <mergeCell ref="I4:K4"/>
    <mergeCell ref="F4:H4"/>
    <mergeCell ref="B12:E13"/>
    <mergeCell ref="L4:N4"/>
    <mergeCell ref="B4:B5"/>
    <mergeCell ref="C17:M17"/>
    <mergeCell ref="C18:M18"/>
    <mergeCell ref="L20:M20"/>
    <mergeCell ref="J20:K20"/>
    <mergeCell ref="J21:K21"/>
    <mergeCell ref="B2:N2"/>
    <mergeCell ref="C4:E4"/>
    <mergeCell ref="L12:N13"/>
    <mergeCell ref="D25:E25"/>
    <mergeCell ref="F24:G24"/>
    <mergeCell ref="D26:E26"/>
    <mergeCell ref="F26:G26"/>
    <mergeCell ref="F25:G25"/>
    <mergeCell ref="D24:E24"/>
    <mergeCell ref="H26:I26"/>
    <mergeCell ref="L22:M22"/>
    <mergeCell ref="H22:I22"/>
    <mergeCell ref="L23:M23"/>
    <mergeCell ref="J22:K22"/>
    <mergeCell ref="H25:I25"/>
    <mergeCell ref="J23:K23"/>
    <mergeCell ref="L25:M25"/>
    <mergeCell ref="L26:M26"/>
    <mergeCell ref="L24:M24"/>
    <mergeCell ref="J26:K26"/>
    <mergeCell ref="J24:K24"/>
    <mergeCell ref="J25:K25"/>
    <mergeCell ref="H24:I24"/>
  </mergeCells>
  <phoneticPr fontId="0" type="noConversion"/>
  <conditionalFormatting sqref="E8:E11 C1:N10 A1:B1048576 K25:K65538 C22:D65538 E25:E65538 F22:F65538 G25:G65538 H22:H65538 I25:I65538 J28:J65538 L22:L65538 C11:I21 M27:M65538 K16:M21 P22:S1048576 K11:N15 O1:O1048576 T1:IV1048576 P1:S13 J11:J26 N16:N65538">
    <cfRule type="cellIs" dxfId="3" priority="3" stopIfTrue="1" operator="equal">
      <formula>".."</formula>
    </cfRule>
  </conditionalFormatting>
  <conditionalFormatting sqref="K12:L12 K14:N15">
    <cfRule type="cellIs" dxfId="2" priority="1" stopIfTrue="1" operator="equal">
      <formula>".."</formula>
    </cfRule>
  </conditionalFormatting>
  <printOptions horizontalCentered="1"/>
  <pageMargins left="0.1" right="0.1" top="0.87" bottom="0.56999999999999995" header="0.28999999999999998" footer="0.5"/>
  <pageSetup paperSize="9" orientation="landscape" blackAndWhite="1" r:id="rId1"/>
  <headerFooter alignWithMargins="0"/>
</worksheet>
</file>

<file path=xl/worksheets/sheet7.xml><?xml version="1.0" encoding="utf-8"?>
<worksheet xmlns="http://schemas.openxmlformats.org/spreadsheetml/2006/main" xmlns:r="http://schemas.openxmlformats.org/officeDocument/2006/relationships">
  <sheetPr codeName="Sheet5"/>
  <dimension ref="B1:N46"/>
  <sheetViews>
    <sheetView topLeftCell="A10" workbookViewId="0">
      <selection activeCell="K18" sqref="K18"/>
    </sheetView>
  </sheetViews>
  <sheetFormatPr defaultRowHeight="12.75"/>
  <cols>
    <col min="1" max="1" width="13.85546875" style="405" customWidth="1"/>
    <col min="2" max="2" width="16.7109375" style="405" customWidth="1"/>
    <col min="3" max="12" width="9.7109375" style="405" customWidth="1"/>
    <col min="13" max="16384" width="9.140625" style="405"/>
  </cols>
  <sheetData>
    <row r="1" spans="2:14">
      <c r="B1" s="1250" t="s">
        <v>497</v>
      </c>
      <c r="C1" s="1250"/>
      <c r="D1" s="1250"/>
      <c r="E1" s="1250"/>
      <c r="F1" s="1250"/>
      <c r="G1" s="1250"/>
      <c r="H1" s="1250"/>
      <c r="I1" s="1250"/>
      <c r="J1" s="1250"/>
      <c r="K1" s="1250"/>
      <c r="L1" s="1250"/>
    </row>
    <row r="2" spans="2:14" s="412" customFormat="1" ht="15.95" customHeight="1">
      <c r="B2" s="1267" t="str">
        <f>CONCATENATE("Maximum and Minimum Temperature by month in the district of ",District!$A$1)</f>
        <v>Maximum and Minimum Temperature by month in the district of Nadia</v>
      </c>
      <c r="C2" s="1267"/>
      <c r="D2" s="1267"/>
      <c r="E2" s="1267"/>
      <c r="F2" s="1267"/>
      <c r="G2" s="1267"/>
      <c r="H2" s="1267"/>
      <c r="I2" s="1267"/>
      <c r="J2" s="1267"/>
      <c r="K2" s="1267"/>
      <c r="L2" s="1267"/>
    </row>
    <row r="3" spans="2:14" ht="16.5" customHeight="1">
      <c r="B3" s="413" t="s">
        <v>1189</v>
      </c>
      <c r="D3" s="774"/>
      <c r="E3" s="774"/>
      <c r="F3" s="774"/>
      <c r="G3" s="774"/>
      <c r="H3" s="774"/>
      <c r="I3" s="774"/>
      <c r="J3" s="774"/>
      <c r="L3" s="27" t="s">
        <v>36</v>
      </c>
    </row>
    <row r="4" spans="2:14" ht="20.100000000000001" customHeight="1">
      <c r="B4" s="1257" t="s">
        <v>195</v>
      </c>
      <c r="C4" s="1265">
        <f>District!C10</f>
        <v>2010</v>
      </c>
      <c r="D4" s="1266"/>
      <c r="E4" s="1268">
        <f>District!E10</f>
        <v>2011</v>
      </c>
      <c r="F4" s="1266"/>
      <c r="G4" s="1268">
        <f>District!G10</f>
        <v>2012</v>
      </c>
      <c r="H4" s="1266"/>
      <c r="I4" s="1268">
        <f>District!I10</f>
        <v>2013</v>
      </c>
      <c r="J4" s="1266"/>
      <c r="K4" s="1268">
        <f>District!K10</f>
        <v>2014</v>
      </c>
      <c r="L4" s="1266"/>
    </row>
    <row r="5" spans="2:14" ht="20.100000000000001" customHeight="1">
      <c r="B5" s="1258"/>
      <c r="C5" s="1045" t="s">
        <v>607</v>
      </c>
      <c r="D5" s="1046" t="s">
        <v>608</v>
      </c>
      <c r="E5" s="1045" t="s">
        <v>607</v>
      </c>
      <c r="F5" s="1046" t="s">
        <v>608</v>
      </c>
      <c r="G5" s="1045" t="s">
        <v>607</v>
      </c>
      <c r="H5" s="1046" t="s">
        <v>608</v>
      </c>
      <c r="I5" s="1045" t="s">
        <v>607</v>
      </c>
      <c r="J5" s="1046" t="s">
        <v>608</v>
      </c>
      <c r="K5" s="1045" t="s">
        <v>607</v>
      </c>
      <c r="L5" s="1046" t="s">
        <v>608</v>
      </c>
      <c r="M5" s="420"/>
      <c r="N5" s="420"/>
    </row>
    <row r="6" spans="2:14" ht="20.100000000000001" customHeight="1">
      <c r="B6" s="365" t="s">
        <v>163</v>
      </c>
      <c r="C6" s="655" t="s">
        <v>164</v>
      </c>
      <c r="D6" s="208" t="s">
        <v>165</v>
      </c>
      <c r="E6" s="654" t="s">
        <v>166</v>
      </c>
      <c r="F6" s="208" t="s">
        <v>167</v>
      </c>
      <c r="G6" s="654" t="s">
        <v>168</v>
      </c>
      <c r="H6" s="208" t="s">
        <v>169</v>
      </c>
      <c r="I6" s="654" t="s">
        <v>211</v>
      </c>
      <c r="J6" s="208" t="s">
        <v>212</v>
      </c>
      <c r="K6" s="655" t="s">
        <v>213</v>
      </c>
      <c r="L6" s="208" t="s">
        <v>214</v>
      </c>
    </row>
    <row r="7" spans="2:14" ht="24.95" customHeight="1">
      <c r="B7" s="81" t="s">
        <v>198</v>
      </c>
      <c r="C7" s="47" t="s">
        <v>1170</v>
      </c>
      <c r="D7" s="493">
        <v>7</v>
      </c>
      <c r="E7" s="464">
        <v>27</v>
      </c>
      <c r="F7" s="493">
        <v>5</v>
      </c>
      <c r="G7" s="492">
        <v>28</v>
      </c>
      <c r="H7" s="493">
        <v>7</v>
      </c>
      <c r="I7" s="492">
        <v>27</v>
      </c>
      <c r="J7" s="493">
        <v>7</v>
      </c>
      <c r="K7" s="492">
        <v>28</v>
      </c>
      <c r="L7" s="493">
        <v>7</v>
      </c>
    </row>
    <row r="8" spans="2:14" ht="24.95" customHeight="1">
      <c r="B8" s="81" t="s">
        <v>199</v>
      </c>
      <c r="C8" s="47" t="s">
        <v>1170</v>
      </c>
      <c r="D8" s="421">
        <v>11</v>
      </c>
      <c r="E8" s="464">
        <v>33</v>
      </c>
      <c r="F8" s="421">
        <v>10</v>
      </c>
      <c r="G8" s="494">
        <v>34</v>
      </c>
      <c r="H8" s="421">
        <v>8</v>
      </c>
      <c r="I8" s="494" t="s">
        <v>1170</v>
      </c>
      <c r="J8" s="421" t="s">
        <v>1170</v>
      </c>
      <c r="K8" s="494">
        <v>32</v>
      </c>
      <c r="L8" s="421">
        <v>10</v>
      </c>
    </row>
    <row r="9" spans="2:14" ht="24.95" customHeight="1">
      <c r="B9" s="81" t="s">
        <v>200</v>
      </c>
      <c r="C9" s="503">
        <v>38</v>
      </c>
      <c r="D9" s="421">
        <v>18</v>
      </c>
      <c r="E9" s="464">
        <v>36</v>
      </c>
      <c r="F9" s="421">
        <v>11</v>
      </c>
      <c r="G9" s="494">
        <v>37</v>
      </c>
      <c r="H9" s="421">
        <v>14</v>
      </c>
      <c r="I9" s="494" t="s">
        <v>1170</v>
      </c>
      <c r="J9" s="421" t="s">
        <v>1170</v>
      </c>
      <c r="K9" s="494">
        <v>37</v>
      </c>
      <c r="L9" s="421">
        <v>15</v>
      </c>
    </row>
    <row r="10" spans="2:14" ht="24.95" customHeight="1">
      <c r="B10" s="81" t="s">
        <v>201</v>
      </c>
      <c r="C10" s="503">
        <v>41</v>
      </c>
      <c r="D10" s="421">
        <v>20</v>
      </c>
      <c r="E10" s="464">
        <v>36</v>
      </c>
      <c r="F10" s="421">
        <v>18</v>
      </c>
      <c r="G10" s="494">
        <v>38</v>
      </c>
      <c r="H10" s="421">
        <v>19</v>
      </c>
      <c r="I10" s="494" t="s">
        <v>1170</v>
      </c>
      <c r="J10" s="421" t="s">
        <v>1170</v>
      </c>
      <c r="K10" s="494">
        <v>41</v>
      </c>
      <c r="L10" s="421">
        <v>20</v>
      </c>
    </row>
    <row r="11" spans="2:14" ht="24.95" customHeight="1">
      <c r="B11" s="81" t="s">
        <v>202</v>
      </c>
      <c r="C11" s="503">
        <v>38</v>
      </c>
      <c r="D11" s="421">
        <v>21</v>
      </c>
      <c r="E11" s="464">
        <v>36</v>
      </c>
      <c r="F11" s="421">
        <v>19</v>
      </c>
      <c r="G11" s="494">
        <v>39</v>
      </c>
      <c r="H11" s="421">
        <v>19</v>
      </c>
      <c r="I11" s="494" t="s">
        <v>1170</v>
      </c>
      <c r="J11" s="421" t="s">
        <v>1170</v>
      </c>
      <c r="K11" s="494">
        <v>42</v>
      </c>
      <c r="L11" s="421">
        <v>21</v>
      </c>
    </row>
    <row r="12" spans="2:14" ht="24.95" customHeight="1">
      <c r="B12" s="81" t="s">
        <v>203</v>
      </c>
      <c r="C12" s="503">
        <v>37</v>
      </c>
      <c r="D12" s="421">
        <v>23</v>
      </c>
      <c r="E12" s="464">
        <v>36</v>
      </c>
      <c r="F12" s="421">
        <v>23</v>
      </c>
      <c r="G12" s="494">
        <v>41</v>
      </c>
      <c r="H12" s="421">
        <v>23</v>
      </c>
      <c r="I12" s="494" t="s">
        <v>1170</v>
      </c>
      <c r="J12" s="421" t="s">
        <v>1170</v>
      </c>
      <c r="K12" s="494">
        <v>40</v>
      </c>
      <c r="L12" s="421">
        <v>23</v>
      </c>
    </row>
    <row r="13" spans="2:14" ht="24.95" customHeight="1">
      <c r="B13" s="81" t="s">
        <v>204</v>
      </c>
      <c r="C13" s="503">
        <v>35</v>
      </c>
      <c r="D13" s="421">
        <v>25</v>
      </c>
      <c r="E13" s="464">
        <v>35</v>
      </c>
      <c r="F13" s="421">
        <v>23</v>
      </c>
      <c r="G13" s="494">
        <v>35</v>
      </c>
      <c r="H13" s="421">
        <v>24</v>
      </c>
      <c r="I13" s="494" t="s">
        <v>1170</v>
      </c>
      <c r="J13" s="421" t="s">
        <v>1170</v>
      </c>
      <c r="K13" s="494">
        <v>37</v>
      </c>
      <c r="L13" s="421">
        <v>26</v>
      </c>
    </row>
    <row r="14" spans="2:14" ht="24.95" customHeight="1">
      <c r="B14" s="81" t="s">
        <v>205</v>
      </c>
      <c r="C14" s="503">
        <v>35</v>
      </c>
      <c r="D14" s="421">
        <v>24</v>
      </c>
      <c r="E14" s="464">
        <v>35</v>
      </c>
      <c r="F14" s="421">
        <v>23</v>
      </c>
      <c r="G14" s="494">
        <v>34</v>
      </c>
      <c r="H14" s="421">
        <v>22</v>
      </c>
      <c r="I14" s="494">
        <v>37</v>
      </c>
      <c r="J14" s="421">
        <v>17</v>
      </c>
      <c r="K14" s="494">
        <v>36</v>
      </c>
      <c r="L14" s="421">
        <v>25</v>
      </c>
    </row>
    <row r="15" spans="2:14" ht="24.95" customHeight="1">
      <c r="B15" s="81" t="s">
        <v>206</v>
      </c>
      <c r="C15" s="503">
        <v>35</v>
      </c>
      <c r="D15" s="421">
        <v>23</v>
      </c>
      <c r="E15" s="464">
        <v>37</v>
      </c>
      <c r="F15" s="421">
        <v>23</v>
      </c>
      <c r="G15" s="494" t="s">
        <v>1170</v>
      </c>
      <c r="H15" s="421" t="s">
        <v>1170</v>
      </c>
      <c r="I15" s="494">
        <v>36</v>
      </c>
      <c r="J15" s="421">
        <v>24</v>
      </c>
      <c r="K15" s="494">
        <v>37</v>
      </c>
      <c r="L15" s="421">
        <v>24</v>
      </c>
    </row>
    <row r="16" spans="2:14" ht="24.95" customHeight="1">
      <c r="B16" s="81" t="s">
        <v>207</v>
      </c>
      <c r="C16" s="503">
        <v>35</v>
      </c>
      <c r="D16" s="421">
        <v>19</v>
      </c>
      <c r="E16" s="464">
        <v>35</v>
      </c>
      <c r="F16" s="421">
        <v>17</v>
      </c>
      <c r="G16" s="494">
        <v>35</v>
      </c>
      <c r="H16" s="421">
        <v>15</v>
      </c>
      <c r="I16" s="494">
        <v>35</v>
      </c>
      <c r="J16" s="421">
        <v>16</v>
      </c>
      <c r="K16" s="494">
        <v>36</v>
      </c>
      <c r="L16" s="421">
        <v>19</v>
      </c>
    </row>
    <row r="17" spans="2:12" ht="24.95" customHeight="1">
      <c r="B17" s="81" t="s">
        <v>208</v>
      </c>
      <c r="C17" s="503">
        <v>33</v>
      </c>
      <c r="D17" s="421">
        <v>14</v>
      </c>
      <c r="E17" s="464">
        <v>32</v>
      </c>
      <c r="F17" s="421">
        <v>14</v>
      </c>
      <c r="G17" s="494">
        <v>32</v>
      </c>
      <c r="H17" s="421">
        <v>12</v>
      </c>
      <c r="I17" s="494">
        <v>33</v>
      </c>
      <c r="J17" s="421">
        <v>13</v>
      </c>
      <c r="K17" s="494">
        <v>33</v>
      </c>
      <c r="L17" s="421">
        <v>12</v>
      </c>
    </row>
    <row r="18" spans="2:12" ht="24.95" customHeight="1">
      <c r="B18" s="81" t="s">
        <v>209</v>
      </c>
      <c r="C18" s="108">
        <v>29</v>
      </c>
      <c r="D18" s="46">
        <v>7</v>
      </c>
      <c r="E18" s="108">
        <v>31</v>
      </c>
      <c r="F18" s="421">
        <v>7</v>
      </c>
      <c r="G18" s="108">
        <v>28</v>
      </c>
      <c r="H18" s="421">
        <v>8</v>
      </c>
      <c r="I18" s="108">
        <v>29</v>
      </c>
      <c r="J18" s="421">
        <v>9</v>
      </c>
      <c r="K18" s="108">
        <v>30</v>
      </c>
      <c r="L18" s="421">
        <v>9</v>
      </c>
    </row>
    <row r="19" spans="2:12" s="6" customFormat="1" ht="24.95" customHeight="1">
      <c r="B19" s="305" t="s">
        <v>217</v>
      </c>
      <c r="C19" s="477">
        <f>MAX(C7:C18)</f>
        <v>41</v>
      </c>
      <c r="D19" s="306">
        <f>MIN(D7:D18)</f>
        <v>7</v>
      </c>
      <c r="E19" s="477">
        <f>MAX(E7:E18)</f>
        <v>37</v>
      </c>
      <c r="F19" s="306">
        <f>MIN(F7:F18)</f>
        <v>5</v>
      </c>
      <c r="G19" s="477">
        <f>MAX(G7:G18)</f>
        <v>41</v>
      </c>
      <c r="H19" s="306">
        <f>MIN(H7:H18)</f>
        <v>7</v>
      </c>
      <c r="I19" s="477">
        <f>MAX(I7:I18)</f>
        <v>37</v>
      </c>
      <c r="J19" s="306">
        <f>MIN(J7:J18)</f>
        <v>7</v>
      </c>
      <c r="K19" s="477">
        <f>MAX(K7:K18)</f>
        <v>42</v>
      </c>
      <c r="L19" s="306">
        <f>MIN(L7:L18)</f>
        <v>7</v>
      </c>
    </row>
    <row r="20" spans="2:12" ht="20.100000000000001" customHeight="1">
      <c r="J20" s="6"/>
      <c r="K20" s="6"/>
      <c r="L20" s="283" t="s">
        <v>361</v>
      </c>
    </row>
    <row r="21" spans="2:12" ht="20.100000000000001" customHeight="1"/>
    <row r="23" spans="2:12">
      <c r="E23" s="461"/>
      <c r="F23" s="461"/>
      <c r="G23" s="461"/>
      <c r="H23" s="461"/>
      <c r="I23" s="461"/>
      <c r="J23" s="461"/>
      <c r="K23" s="461"/>
      <c r="L23" s="461"/>
    </row>
    <row r="24" spans="2:12">
      <c r="E24" s="461"/>
      <c r="F24" s="461"/>
      <c r="G24" s="461"/>
      <c r="H24" s="461"/>
      <c r="I24" s="461"/>
      <c r="J24" s="461"/>
      <c r="K24" s="461"/>
      <c r="L24" s="461"/>
    </row>
    <row r="25" spans="2:12">
      <c r="E25" s="461"/>
      <c r="F25" s="461"/>
      <c r="G25" s="461"/>
      <c r="H25" s="461"/>
      <c r="I25" s="461"/>
      <c r="J25" s="461"/>
      <c r="K25" s="461"/>
      <c r="L25" s="461"/>
    </row>
    <row r="26" spans="2:12">
      <c r="E26" s="461"/>
      <c r="F26" s="461"/>
      <c r="G26" s="461"/>
      <c r="H26" s="461"/>
      <c r="I26" s="461"/>
      <c r="J26" s="461"/>
      <c r="K26" s="461"/>
      <c r="L26" s="461"/>
    </row>
    <row r="27" spans="2:12">
      <c r="E27" s="461"/>
      <c r="F27" s="461"/>
      <c r="G27" s="461"/>
      <c r="H27" s="461"/>
      <c r="I27" s="461"/>
      <c r="J27" s="461"/>
      <c r="K27" s="461"/>
      <c r="L27" s="461"/>
    </row>
    <row r="28" spans="2:12">
      <c r="E28" s="461"/>
      <c r="F28" s="461"/>
      <c r="G28" s="461"/>
      <c r="H28" s="461"/>
      <c r="I28" s="461"/>
      <c r="J28" s="461"/>
      <c r="K28" s="461"/>
      <c r="L28" s="461"/>
    </row>
    <row r="29" spans="2:12">
      <c r="E29" s="461"/>
      <c r="F29" s="461"/>
      <c r="G29" s="461"/>
      <c r="H29" s="461"/>
      <c r="I29" s="461"/>
      <c r="J29" s="461"/>
      <c r="K29" s="461"/>
      <c r="L29" s="461"/>
    </row>
    <row r="30" spans="2:12">
      <c r="E30" s="461"/>
      <c r="F30" s="461"/>
      <c r="G30" s="461"/>
      <c r="H30" s="461"/>
      <c r="I30" s="461"/>
      <c r="J30" s="461"/>
      <c r="K30" s="461"/>
      <c r="L30" s="461"/>
    </row>
    <row r="31" spans="2:12">
      <c r="E31" s="461"/>
      <c r="F31" s="461"/>
      <c r="G31" s="461"/>
      <c r="H31" s="461"/>
      <c r="I31" s="461"/>
      <c r="J31" s="461"/>
      <c r="K31" s="461"/>
      <c r="L31" s="461"/>
    </row>
    <row r="32" spans="2:12">
      <c r="E32" s="461"/>
      <c r="F32" s="461"/>
      <c r="G32" s="461"/>
      <c r="H32" s="461"/>
      <c r="I32" s="461"/>
      <c r="J32" s="461"/>
      <c r="K32" s="461"/>
      <c r="L32" s="461"/>
    </row>
    <row r="33" spans="2:12">
      <c r="E33" s="461"/>
      <c r="F33" s="461"/>
      <c r="G33" s="461"/>
      <c r="H33" s="461"/>
      <c r="I33" s="461"/>
      <c r="J33" s="461"/>
      <c r="K33" s="487"/>
      <c r="L33" s="487"/>
    </row>
    <row r="34" spans="2:12">
      <c r="E34" s="461"/>
      <c r="F34" s="461"/>
      <c r="G34" s="461"/>
      <c r="H34" s="461"/>
      <c r="I34" s="461"/>
      <c r="J34" s="461"/>
      <c r="K34" s="487"/>
      <c r="L34" s="487"/>
    </row>
    <row r="35" spans="2:12">
      <c r="E35" s="461"/>
      <c r="F35" s="461"/>
      <c r="G35" s="461"/>
      <c r="H35" s="461"/>
      <c r="I35" s="461"/>
      <c r="J35" s="461"/>
      <c r="K35" s="487"/>
      <c r="L35" s="487"/>
    </row>
    <row r="36" spans="2:12">
      <c r="E36" s="461"/>
      <c r="F36" s="461"/>
      <c r="G36" s="461"/>
      <c r="H36" s="461"/>
      <c r="I36" s="461"/>
      <c r="J36" s="461"/>
      <c r="K36" s="487"/>
      <c r="L36" s="487"/>
    </row>
    <row r="37" spans="2:12">
      <c r="E37" s="461"/>
      <c r="F37" s="461"/>
      <c r="G37" s="461"/>
      <c r="H37" s="461"/>
      <c r="I37" s="461"/>
      <c r="J37" s="461"/>
      <c r="K37" s="487"/>
      <c r="L37" s="487"/>
    </row>
    <row r="38" spans="2:12">
      <c r="E38" s="461"/>
      <c r="F38" s="461"/>
      <c r="G38" s="461"/>
      <c r="H38" s="461"/>
      <c r="I38" s="461"/>
      <c r="J38" s="461"/>
      <c r="K38" s="487"/>
      <c r="L38" s="487"/>
    </row>
    <row r="39" spans="2:12">
      <c r="E39" s="461"/>
      <c r="F39" s="461"/>
      <c r="G39" s="461"/>
      <c r="H39" s="461"/>
      <c r="I39" s="461"/>
      <c r="J39" s="461"/>
      <c r="K39" s="487"/>
      <c r="L39" s="487"/>
    </row>
    <row r="40" spans="2:12">
      <c r="E40" s="461"/>
      <c r="F40" s="461"/>
      <c r="G40" s="461"/>
      <c r="H40" s="461"/>
      <c r="I40" s="461"/>
      <c r="J40" s="461"/>
      <c r="K40" s="487"/>
      <c r="L40" s="487"/>
    </row>
    <row r="41" spans="2:12">
      <c r="E41" s="461"/>
      <c r="F41" s="461"/>
      <c r="G41" s="461"/>
      <c r="H41" s="461"/>
      <c r="I41" s="461"/>
      <c r="J41" s="461"/>
      <c r="K41" s="487"/>
      <c r="L41" s="487"/>
    </row>
    <row r="42" spans="2:12">
      <c r="E42" s="461"/>
      <c r="F42" s="461"/>
      <c r="G42" s="461"/>
      <c r="H42" s="461"/>
      <c r="I42" s="461"/>
      <c r="J42" s="461"/>
      <c r="K42" s="487"/>
      <c r="L42" s="487"/>
    </row>
    <row r="43" spans="2:12">
      <c r="E43" s="461"/>
      <c r="F43" s="461"/>
      <c r="G43" s="461"/>
      <c r="H43" s="461"/>
      <c r="I43" s="461"/>
      <c r="J43" s="461"/>
      <c r="K43" s="487"/>
      <c r="L43" s="487"/>
    </row>
    <row r="46" spans="2:12">
      <c r="B46" s="471"/>
      <c r="C46" s="471"/>
      <c r="D46" s="471"/>
      <c r="E46" s="471"/>
      <c r="F46" s="471"/>
      <c r="G46" s="471"/>
      <c r="H46" s="471"/>
      <c r="I46" s="471"/>
      <c r="J46" s="471"/>
      <c r="K46" s="471"/>
      <c r="L46" s="471"/>
    </row>
  </sheetData>
  <mergeCells count="8">
    <mergeCell ref="C4:D4"/>
    <mergeCell ref="B1:L1"/>
    <mergeCell ref="B2:L2"/>
    <mergeCell ref="G4:H4"/>
    <mergeCell ref="E4:F4"/>
    <mergeCell ref="I4:J4"/>
    <mergeCell ref="K4:L4"/>
    <mergeCell ref="B4:B5"/>
  </mergeCells>
  <phoneticPr fontId="0" type="noConversion"/>
  <conditionalFormatting sqref="A1:XFD1048576">
    <cfRule type="cellIs" dxfId="17" priority="1" stopIfTrue="1" operator="equal">
      <formula>".."</formula>
    </cfRule>
  </conditionalFormatting>
  <pageMargins left="0.1" right="0.1" top="1.1599999999999999" bottom="0.1" header="0.14000000000000001" footer="0.1"/>
  <pageSetup paperSize="9" orientation="landscape" blackAndWhite="1" r:id="rId1"/>
  <headerFooter alignWithMargins="0"/>
</worksheet>
</file>

<file path=xl/worksheets/sheet70.xml><?xml version="1.0" encoding="utf-8"?>
<worksheet xmlns="http://schemas.openxmlformats.org/spreadsheetml/2006/main" xmlns:r="http://schemas.openxmlformats.org/officeDocument/2006/relationships">
  <dimension ref="B1:O22"/>
  <sheetViews>
    <sheetView workbookViewId="0">
      <selection activeCell="I31" sqref="I31"/>
    </sheetView>
  </sheetViews>
  <sheetFormatPr defaultRowHeight="12.75"/>
  <cols>
    <col min="1" max="1" width="24.140625" style="405" customWidth="1"/>
    <col min="2" max="3" width="9.140625" style="405"/>
    <col min="4" max="4" width="14.140625" style="405" customWidth="1"/>
    <col min="5" max="10" width="11.140625" style="405" customWidth="1"/>
    <col min="11" max="16384" width="9.140625" style="405"/>
  </cols>
  <sheetData>
    <row r="1" spans="2:15" ht="15.95" customHeight="1">
      <c r="B1" s="1623" t="s">
        <v>507</v>
      </c>
      <c r="C1" s="1623"/>
      <c r="D1" s="1623"/>
      <c r="E1" s="1623"/>
      <c r="F1" s="1623"/>
      <c r="G1" s="1623"/>
      <c r="H1" s="1623"/>
      <c r="I1" s="1623"/>
      <c r="J1" s="1623"/>
    </row>
    <row r="2" spans="2:15" s="412" customFormat="1" ht="18.75" customHeight="1">
      <c r="B2" s="1269" t="str">
        <f>CONCATENATE("Length of Roads maintained by Municipalities &amp; Notified Areas in the district of ",District!$A$1)</f>
        <v>Length of Roads maintained by Municipalities &amp; Notified Areas in the district of Nadia</v>
      </c>
      <c r="C2" s="1269"/>
      <c r="D2" s="1269"/>
      <c r="E2" s="1269"/>
      <c r="F2" s="1269"/>
      <c r="G2" s="1269"/>
      <c r="H2" s="1269"/>
      <c r="I2" s="1269"/>
      <c r="J2" s="1269"/>
    </row>
    <row r="3" spans="2:15" ht="15" customHeight="1">
      <c r="B3" s="412"/>
      <c r="C3" s="1468"/>
      <c r="D3" s="1468"/>
      <c r="E3" s="412"/>
      <c r="F3" s="412"/>
      <c r="G3" s="412"/>
      <c r="H3" s="412"/>
      <c r="I3" s="1591" t="s">
        <v>852</v>
      </c>
      <c r="J3" s="1591"/>
    </row>
    <row r="4" spans="2:15" ht="20.25" customHeight="1">
      <c r="B4" s="1253" t="s">
        <v>107</v>
      </c>
      <c r="C4" s="1251"/>
      <c r="D4" s="1252"/>
      <c r="E4" s="1251" t="s">
        <v>152</v>
      </c>
      <c r="F4" s="1251"/>
      <c r="G4" s="1253" t="s">
        <v>1239</v>
      </c>
      <c r="H4" s="1252"/>
      <c r="I4" s="1253" t="s">
        <v>210</v>
      </c>
      <c r="J4" s="1252"/>
    </row>
    <row r="5" spans="2:15" ht="20.25" customHeight="1">
      <c r="B5" s="1259" t="s">
        <v>163</v>
      </c>
      <c r="C5" s="1327"/>
      <c r="D5" s="1260"/>
      <c r="E5" s="1327" t="s">
        <v>164</v>
      </c>
      <c r="F5" s="1327"/>
      <c r="G5" s="1259" t="s">
        <v>165</v>
      </c>
      <c r="H5" s="1260"/>
      <c r="I5" s="1259" t="s">
        <v>166</v>
      </c>
      <c r="J5" s="1260"/>
    </row>
    <row r="6" spans="2:15" ht="21.95" customHeight="1">
      <c r="B6" s="1268" t="str">
        <f>District!D13</f>
        <v>2009-10</v>
      </c>
      <c r="C6" s="1265"/>
      <c r="D6" s="1266"/>
      <c r="E6" s="1646">
        <v>1327.72</v>
      </c>
      <c r="F6" s="1647"/>
      <c r="G6" s="1646">
        <v>239.7</v>
      </c>
      <c r="H6" s="1647"/>
      <c r="I6" s="1646">
        <v>1567.42</v>
      </c>
      <c r="J6" s="1647"/>
      <c r="K6" s="450"/>
    </row>
    <row r="7" spans="2:15" ht="21.95" customHeight="1">
      <c r="B7" s="1351" t="str">
        <f>District!D14</f>
        <v>2010-11</v>
      </c>
      <c r="C7" s="1404"/>
      <c r="D7" s="1398"/>
      <c r="E7" s="1628">
        <v>1334.5</v>
      </c>
      <c r="F7" s="1629"/>
      <c r="G7" s="1628">
        <v>229.62</v>
      </c>
      <c r="H7" s="1629"/>
      <c r="I7" s="1628">
        <v>1564.12</v>
      </c>
      <c r="J7" s="1629"/>
      <c r="K7" s="450"/>
    </row>
    <row r="8" spans="2:15" ht="21.95" customHeight="1">
      <c r="B8" s="1351" t="str">
        <f>District!D15</f>
        <v>2011-12</v>
      </c>
      <c r="C8" s="1404"/>
      <c r="D8" s="1398"/>
      <c r="E8" s="1628">
        <v>1460.7</v>
      </c>
      <c r="F8" s="1629"/>
      <c r="G8" s="1628">
        <v>217.07</v>
      </c>
      <c r="H8" s="1629"/>
      <c r="I8" s="1628">
        <v>1677.77</v>
      </c>
      <c r="J8" s="1629"/>
      <c r="K8" s="450"/>
    </row>
    <row r="9" spans="2:15" ht="21.95" customHeight="1">
      <c r="B9" s="1351" t="str">
        <f>District!D16</f>
        <v>2012-13</v>
      </c>
      <c r="C9" s="1404"/>
      <c r="D9" s="1398"/>
      <c r="E9" s="1628">
        <v>1486.24</v>
      </c>
      <c r="F9" s="1629"/>
      <c r="G9" s="1628">
        <v>229.3</v>
      </c>
      <c r="H9" s="1629"/>
      <c r="I9" s="1628">
        <v>1715.54</v>
      </c>
      <c r="J9" s="1629"/>
      <c r="K9" s="450"/>
      <c r="L9" s="447"/>
      <c r="M9" s="447"/>
      <c r="N9" s="447"/>
    </row>
    <row r="10" spans="2:15" ht="21.95" customHeight="1">
      <c r="B10" s="1399" t="str">
        <f>District!D17</f>
        <v>2013-14</v>
      </c>
      <c r="C10" s="1290"/>
      <c r="D10" s="1325"/>
      <c r="E10" s="1635">
        <f>SUM(E12:F21)</f>
        <v>1628.97</v>
      </c>
      <c r="F10" s="1636"/>
      <c r="G10" s="1635">
        <f>SUM(G12:H21)</f>
        <v>270.89</v>
      </c>
      <c r="H10" s="1637"/>
      <c r="I10" s="1570">
        <f>SUM(E10:G10)</f>
        <v>1899.8600000000001</v>
      </c>
      <c r="J10" s="1638"/>
      <c r="K10" s="450"/>
      <c r="L10" s="447"/>
      <c r="M10" s="447"/>
      <c r="N10" s="447"/>
    </row>
    <row r="11" spans="2:15" ht="21.95" customHeight="1">
      <c r="B11" s="1399" t="s">
        <v>1584</v>
      </c>
      <c r="C11" s="1290"/>
      <c r="D11" s="1325"/>
      <c r="E11" s="1632" t="str">
        <f>"Year : "&amp; B10</f>
        <v>Year : 2013-14</v>
      </c>
      <c r="F11" s="1633"/>
      <c r="G11" s="1633"/>
      <c r="H11" s="1633"/>
      <c r="I11" s="1633"/>
      <c r="J11" s="1634"/>
      <c r="L11" s="447"/>
      <c r="M11" s="447"/>
      <c r="N11" s="447"/>
      <c r="O11" s="447"/>
    </row>
    <row r="12" spans="2:15" ht="21.95" customHeight="1">
      <c r="B12" s="1396" t="s">
        <v>773</v>
      </c>
      <c r="C12" s="1641"/>
      <c r="D12" s="1397"/>
      <c r="E12" s="1642">
        <v>177.5</v>
      </c>
      <c r="F12" s="1642"/>
      <c r="G12" s="1639">
        <v>17.12</v>
      </c>
      <c r="H12" s="1640"/>
      <c r="I12" s="1630">
        <f>SUM(E12:H12)</f>
        <v>194.62</v>
      </c>
      <c r="J12" s="1631"/>
      <c r="L12" s="447"/>
      <c r="M12" s="447"/>
      <c r="N12" s="447"/>
      <c r="O12" s="447"/>
    </row>
    <row r="13" spans="2:15" ht="21.95" customHeight="1">
      <c r="B13" s="1396" t="s">
        <v>1622</v>
      </c>
      <c r="C13" s="1641"/>
      <c r="D13" s="1397"/>
      <c r="E13" s="1642">
        <v>120</v>
      </c>
      <c r="F13" s="1642"/>
      <c r="G13" s="1639">
        <v>85</v>
      </c>
      <c r="H13" s="1640"/>
      <c r="I13" s="1630">
        <f t="shared" ref="I13:I21" si="0">SUM(E13:H13)</f>
        <v>205</v>
      </c>
      <c r="J13" s="1631"/>
    </row>
    <row r="14" spans="2:15" ht="21.95" customHeight="1">
      <c r="B14" s="1396" t="s">
        <v>81</v>
      </c>
      <c r="C14" s="1641"/>
      <c r="D14" s="1397"/>
      <c r="E14" s="1642">
        <v>84</v>
      </c>
      <c r="F14" s="1642"/>
      <c r="G14" s="1639">
        <v>42</v>
      </c>
      <c r="H14" s="1640"/>
      <c r="I14" s="1630">
        <f t="shared" si="0"/>
        <v>126</v>
      </c>
      <c r="J14" s="1631"/>
    </row>
    <row r="15" spans="2:15" ht="21.95" customHeight="1">
      <c r="B15" s="1396" t="s">
        <v>1131</v>
      </c>
      <c r="C15" s="1641"/>
      <c r="D15" s="1397"/>
      <c r="E15" s="1642">
        <v>260</v>
      </c>
      <c r="F15" s="1642"/>
      <c r="G15" s="1639">
        <v>10</v>
      </c>
      <c r="H15" s="1640"/>
      <c r="I15" s="1630">
        <f>SUM(E15:H15)</f>
        <v>270</v>
      </c>
      <c r="J15" s="1631"/>
    </row>
    <row r="16" spans="2:15" ht="21.95" customHeight="1">
      <c r="B16" s="1396" t="s">
        <v>1129</v>
      </c>
      <c r="C16" s="1641"/>
      <c r="D16" s="1397"/>
      <c r="E16" s="1642">
        <v>158.47</v>
      </c>
      <c r="F16" s="1642"/>
      <c r="G16" s="1639">
        <v>23.77</v>
      </c>
      <c r="H16" s="1640"/>
      <c r="I16" s="1630">
        <f t="shared" si="0"/>
        <v>182.24</v>
      </c>
      <c r="J16" s="1631"/>
    </row>
    <row r="17" spans="2:10" ht="21.95" customHeight="1">
      <c r="B17" s="1396" t="s">
        <v>1627</v>
      </c>
      <c r="C17" s="1641"/>
      <c r="D17" s="1397"/>
      <c r="E17" s="1642">
        <v>210</v>
      </c>
      <c r="F17" s="1642"/>
      <c r="G17" s="1639">
        <v>52</v>
      </c>
      <c r="H17" s="1640"/>
      <c r="I17" s="1630">
        <f t="shared" si="0"/>
        <v>262</v>
      </c>
      <c r="J17" s="1631"/>
    </row>
    <row r="18" spans="2:10" ht="21.95" customHeight="1">
      <c r="B18" s="1396" t="s">
        <v>82</v>
      </c>
      <c r="C18" s="1641"/>
      <c r="D18" s="1397"/>
      <c r="E18" s="1642">
        <v>370</v>
      </c>
      <c r="F18" s="1642"/>
      <c r="G18" s="1639">
        <v>30</v>
      </c>
      <c r="H18" s="1640"/>
      <c r="I18" s="1630">
        <f t="shared" si="0"/>
        <v>400</v>
      </c>
      <c r="J18" s="1631"/>
    </row>
    <row r="19" spans="2:10" ht="21.95" customHeight="1">
      <c r="B19" s="1396" t="s">
        <v>83</v>
      </c>
      <c r="C19" s="1641"/>
      <c r="D19" s="1397"/>
      <c r="E19" s="1642">
        <v>132</v>
      </c>
      <c r="F19" s="1642"/>
      <c r="G19" s="1639">
        <v>8</v>
      </c>
      <c r="H19" s="1640"/>
      <c r="I19" s="1630">
        <f t="shared" si="0"/>
        <v>140</v>
      </c>
      <c r="J19" s="1631"/>
    </row>
    <row r="20" spans="2:10" ht="21.95" customHeight="1">
      <c r="B20" s="1396" t="s">
        <v>815</v>
      </c>
      <c r="C20" s="1641"/>
      <c r="D20" s="1397"/>
      <c r="E20" s="1642">
        <v>60</v>
      </c>
      <c r="F20" s="1642"/>
      <c r="G20" s="1639">
        <v>2</v>
      </c>
      <c r="H20" s="1640"/>
      <c r="I20" s="1630">
        <f t="shared" si="0"/>
        <v>62</v>
      </c>
      <c r="J20" s="1631"/>
    </row>
    <row r="21" spans="2:10" ht="21.95" customHeight="1">
      <c r="B21" s="1394" t="s">
        <v>1626</v>
      </c>
      <c r="C21" s="1405"/>
      <c r="D21" s="1395"/>
      <c r="E21" s="1635">
        <v>57</v>
      </c>
      <c r="F21" s="1637"/>
      <c r="G21" s="1635">
        <v>1</v>
      </c>
      <c r="H21" s="1636"/>
      <c r="I21" s="1643">
        <f t="shared" si="0"/>
        <v>58</v>
      </c>
      <c r="J21" s="1644"/>
    </row>
    <row r="22" spans="2:10" ht="14.25" customHeight="1">
      <c r="F22" s="1645" t="s">
        <v>1379</v>
      </c>
      <c r="G22" s="1645"/>
      <c r="H22" s="1645"/>
      <c r="I22" s="1645"/>
      <c r="J22" s="1645"/>
    </row>
  </sheetData>
  <mergeCells count="75">
    <mergeCell ref="I7:J7"/>
    <mergeCell ref="G4:H4"/>
    <mergeCell ref="G5:H5"/>
    <mergeCell ref="B2:J2"/>
    <mergeCell ref="I6:J6"/>
    <mergeCell ref="C3:D3"/>
    <mergeCell ref="B7:D7"/>
    <mergeCell ref="E7:F7"/>
    <mergeCell ref="E6:F6"/>
    <mergeCell ref="G6:H6"/>
    <mergeCell ref="G7:H7"/>
    <mergeCell ref="B1:J1"/>
    <mergeCell ref="I3:J3"/>
    <mergeCell ref="B5:D5"/>
    <mergeCell ref="B4:D4"/>
    <mergeCell ref="E4:F4"/>
    <mergeCell ref="E5:F5"/>
    <mergeCell ref="I4:J4"/>
    <mergeCell ref="I5:J5"/>
    <mergeCell ref="F22:J22"/>
    <mergeCell ref="E12:F12"/>
    <mergeCell ref="E19:F19"/>
    <mergeCell ref="E20:F20"/>
    <mergeCell ref="E21:F21"/>
    <mergeCell ref="E18:F18"/>
    <mergeCell ref="I14:J14"/>
    <mergeCell ref="I15:J15"/>
    <mergeCell ref="G15:H15"/>
    <mergeCell ref="G13:H13"/>
    <mergeCell ref="B11:D11"/>
    <mergeCell ref="B8:D8"/>
    <mergeCell ref="B9:D9"/>
    <mergeCell ref="B6:D6"/>
    <mergeCell ref="B10:D10"/>
    <mergeCell ref="B21:D21"/>
    <mergeCell ref="B19:D19"/>
    <mergeCell ref="G19:H19"/>
    <mergeCell ref="G20:H20"/>
    <mergeCell ref="G21:H21"/>
    <mergeCell ref="B20:D20"/>
    <mergeCell ref="B12:D12"/>
    <mergeCell ref="G14:H14"/>
    <mergeCell ref="I21:J21"/>
    <mergeCell ref="G16:H16"/>
    <mergeCell ref="G17:H17"/>
    <mergeCell ref="G18:H18"/>
    <mergeCell ref="I20:J20"/>
    <mergeCell ref="I17:J17"/>
    <mergeCell ref="I18:J18"/>
    <mergeCell ref="I19:J19"/>
    <mergeCell ref="I16:J16"/>
    <mergeCell ref="B16:D16"/>
    <mergeCell ref="B17:D17"/>
    <mergeCell ref="B18:D18"/>
    <mergeCell ref="E17:F17"/>
    <mergeCell ref="E16:F16"/>
    <mergeCell ref="B14:D14"/>
    <mergeCell ref="B15:D15"/>
    <mergeCell ref="E14:F14"/>
    <mergeCell ref="B13:D13"/>
    <mergeCell ref="E15:F15"/>
    <mergeCell ref="E13:F13"/>
    <mergeCell ref="I8:J8"/>
    <mergeCell ref="I13:J13"/>
    <mergeCell ref="E11:J11"/>
    <mergeCell ref="E10:F10"/>
    <mergeCell ref="G10:H10"/>
    <mergeCell ref="I10:J10"/>
    <mergeCell ref="I9:J9"/>
    <mergeCell ref="I12:J12"/>
    <mergeCell ref="G12:H12"/>
    <mergeCell ref="E8:F8"/>
    <mergeCell ref="E9:F9"/>
    <mergeCell ref="G8:H8"/>
    <mergeCell ref="G9:H9"/>
  </mergeCells>
  <phoneticPr fontId="0" type="noConversion"/>
  <pageMargins left="0.1" right="0.1" top="0.83" bottom="0.24" header="0.65" footer="0.18"/>
  <pageSetup paperSize="9" orientation="landscape" blackAndWhite="1" r:id="rId1"/>
  <headerFooter alignWithMargins="0"/>
</worksheet>
</file>

<file path=xl/worksheets/sheet71.xml><?xml version="1.0" encoding="utf-8"?>
<worksheet xmlns="http://schemas.openxmlformats.org/spreadsheetml/2006/main" xmlns:r="http://schemas.openxmlformats.org/officeDocument/2006/relationships">
  <dimension ref="B1:M12"/>
  <sheetViews>
    <sheetView workbookViewId="0">
      <selection activeCell="I31" sqref="I31"/>
    </sheetView>
  </sheetViews>
  <sheetFormatPr defaultRowHeight="12.75"/>
  <cols>
    <col min="1" max="1" width="7.7109375" style="405" customWidth="1"/>
    <col min="2" max="2" width="14.85546875" style="405" customWidth="1"/>
    <col min="3" max="12" width="11.7109375" style="405" customWidth="1"/>
    <col min="13" max="16384" width="9.140625" style="405"/>
  </cols>
  <sheetData>
    <row r="1" spans="2:13" ht="21" customHeight="1">
      <c r="B1" s="1250" t="s">
        <v>506</v>
      </c>
      <c r="C1" s="1250"/>
      <c r="D1" s="1250"/>
      <c r="E1" s="1250"/>
      <c r="F1" s="1250"/>
      <c r="G1" s="1250"/>
      <c r="H1" s="1250"/>
      <c r="I1" s="1250"/>
      <c r="J1" s="1250"/>
      <c r="K1" s="1250"/>
      <c r="L1" s="1250"/>
    </row>
    <row r="2" spans="2:13" s="412" customFormat="1" ht="21" customHeight="1">
      <c r="B2" s="1574" t="str">
        <f>CONCATENATE("Registered Motor Vehicles  in the district of ",District!$A$1)</f>
        <v>Registered Motor Vehicles  in the district of Nadia</v>
      </c>
      <c r="C2" s="1574"/>
      <c r="D2" s="1574"/>
      <c r="E2" s="1574"/>
      <c r="F2" s="1574"/>
      <c r="G2" s="1574"/>
      <c r="H2" s="1574"/>
      <c r="I2" s="1574"/>
      <c r="J2" s="1574"/>
      <c r="K2" s="1574"/>
      <c r="L2" s="1574"/>
    </row>
    <row r="3" spans="2:13" s="412" customFormat="1" ht="14.25" customHeight="1">
      <c r="L3" s="459" t="s">
        <v>223</v>
      </c>
    </row>
    <row r="4" spans="2:13" ht="43.5" customHeight="1">
      <c r="B4" s="219" t="s">
        <v>391</v>
      </c>
      <c r="C4" s="395" t="s">
        <v>883</v>
      </c>
      <c r="D4" s="219" t="s">
        <v>884</v>
      </c>
      <c r="E4" s="460" t="s">
        <v>885</v>
      </c>
      <c r="F4" s="219" t="s">
        <v>886</v>
      </c>
      <c r="G4" s="460" t="s">
        <v>833</v>
      </c>
      <c r="H4" s="219" t="s">
        <v>1167</v>
      </c>
      <c r="I4" s="460" t="s">
        <v>1168</v>
      </c>
      <c r="J4" s="219" t="s">
        <v>917</v>
      </c>
      <c r="K4" s="460" t="s">
        <v>320</v>
      </c>
      <c r="L4" s="219" t="s">
        <v>210</v>
      </c>
    </row>
    <row r="5" spans="2:13" ht="21" customHeight="1">
      <c r="B5" s="225" t="s">
        <v>163</v>
      </c>
      <c r="C5" s="226" t="s">
        <v>164</v>
      </c>
      <c r="D5" s="225" t="s">
        <v>165</v>
      </c>
      <c r="E5" s="226" t="s">
        <v>166</v>
      </c>
      <c r="F5" s="225" t="s">
        <v>167</v>
      </c>
      <c r="G5" s="226" t="s">
        <v>168</v>
      </c>
      <c r="H5" s="225" t="s">
        <v>169</v>
      </c>
      <c r="I5" s="226" t="s">
        <v>211</v>
      </c>
      <c r="J5" s="225" t="s">
        <v>212</v>
      </c>
      <c r="K5" s="226" t="s">
        <v>213</v>
      </c>
      <c r="L5" s="225" t="s">
        <v>214</v>
      </c>
    </row>
    <row r="6" spans="2:13" ht="36" customHeight="1">
      <c r="B6" s="81">
        <f>District!C13</f>
        <v>2010</v>
      </c>
      <c r="C6" s="461">
        <v>6011</v>
      </c>
      <c r="D6" s="462">
        <v>6663</v>
      </c>
      <c r="E6" s="461">
        <v>102475</v>
      </c>
      <c r="F6" s="462">
        <v>1302</v>
      </c>
      <c r="G6" s="461">
        <v>849</v>
      </c>
      <c r="H6" s="463">
        <v>272</v>
      </c>
      <c r="I6" s="464">
        <v>1191</v>
      </c>
      <c r="J6" s="463">
        <v>6328</v>
      </c>
      <c r="K6" s="464">
        <v>1212</v>
      </c>
      <c r="L6" s="465">
        <f>SUM(C6:K6)</f>
        <v>126303</v>
      </c>
    </row>
    <row r="7" spans="2:13" ht="36" customHeight="1">
      <c r="B7" s="81">
        <f>District!C14</f>
        <v>2011</v>
      </c>
      <c r="C7" s="461">
        <v>6714</v>
      </c>
      <c r="D7" s="462">
        <v>7186</v>
      </c>
      <c r="E7" s="461">
        <v>121971</v>
      </c>
      <c r="F7" s="462">
        <v>1373</v>
      </c>
      <c r="G7" s="461">
        <v>955</v>
      </c>
      <c r="H7" s="463">
        <v>273</v>
      </c>
      <c r="I7" s="464">
        <v>1607</v>
      </c>
      <c r="J7" s="463">
        <v>7122</v>
      </c>
      <c r="K7" s="464">
        <v>1273</v>
      </c>
      <c r="L7" s="463">
        <f>SUM(C7:K7)</f>
        <v>148474</v>
      </c>
    </row>
    <row r="8" spans="2:13" ht="36" customHeight="1">
      <c r="B8" s="81">
        <f>District!C15</f>
        <v>2012</v>
      </c>
      <c r="C8" s="461">
        <v>7571</v>
      </c>
      <c r="D8" s="462">
        <v>7194</v>
      </c>
      <c r="E8" s="461">
        <v>144096</v>
      </c>
      <c r="F8" s="462">
        <v>2014</v>
      </c>
      <c r="G8" s="461">
        <v>1418</v>
      </c>
      <c r="H8" s="463">
        <v>273</v>
      </c>
      <c r="I8" s="464">
        <v>2218</v>
      </c>
      <c r="J8" s="463">
        <v>7941</v>
      </c>
      <c r="K8" s="464">
        <v>1344</v>
      </c>
      <c r="L8" s="463">
        <f>SUM(C8:K8)</f>
        <v>174069</v>
      </c>
    </row>
    <row r="9" spans="2:13" ht="36" customHeight="1">
      <c r="B9" s="81">
        <f>District!C16</f>
        <v>2013</v>
      </c>
      <c r="C9" s="461">
        <v>9915</v>
      </c>
      <c r="D9" s="462">
        <v>7201</v>
      </c>
      <c r="E9" s="461">
        <v>171039</v>
      </c>
      <c r="F9" s="462">
        <v>2080</v>
      </c>
      <c r="G9" s="461">
        <v>1511</v>
      </c>
      <c r="H9" s="463">
        <v>273</v>
      </c>
      <c r="I9" s="464">
        <v>2245</v>
      </c>
      <c r="J9" s="463">
        <v>8829</v>
      </c>
      <c r="K9" s="464">
        <v>2246</v>
      </c>
      <c r="L9" s="463">
        <f>SUM(C9:K9)</f>
        <v>205339</v>
      </c>
    </row>
    <row r="10" spans="2:13" ht="36" customHeight="1">
      <c r="B10" s="127">
        <f>District!C17</f>
        <v>2014</v>
      </c>
      <c r="C10" s="466">
        <v>11005</v>
      </c>
      <c r="D10" s="466">
        <v>7955</v>
      </c>
      <c r="E10" s="466">
        <v>197232</v>
      </c>
      <c r="F10" s="466">
        <v>2591</v>
      </c>
      <c r="G10" s="466">
        <v>1560</v>
      </c>
      <c r="H10" s="467">
        <v>274</v>
      </c>
      <c r="I10" s="467">
        <v>2274</v>
      </c>
      <c r="J10" s="467">
        <v>9543</v>
      </c>
      <c r="K10" s="467">
        <v>2987</v>
      </c>
      <c r="L10" s="468">
        <f>SUM(C10:K10)</f>
        <v>235421</v>
      </c>
      <c r="M10" s="469"/>
    </row>
    <row r="11" spans="2:13" ht="15.95" customHeight="1">
      <c r="B11" s="6"/>
      <c r="C11" s="6"/>
      <c r="I11" s="283" t="s">
        <v>324</v>
      </c>
      <c r="J11" s="284" t="s">
        <v>1645</v>
      </c>
      <c r="K11" s="18"/>
    </row>
    <row r="12" spans="2:13" ht="14.25" customHeight="1">
      <c r="B12" s="161"/>
      <c r="C12" s="161"/>
      <c r="I12" s="18"/>
      <c r="J12" s="284" t="s">
        <v>1064</v>
      </c>
      <c r="K12" s="284"/>
      <c r="L12" s="410"/>
    </row>
  </sheetData>
  <mergeCells count="2">
    <mergeCell ref="B1:L1"/>
    <mergeCell ref="B2:L2"/>
  </mergeCells>
  <phoneticPr fontId="0" type="noConversion"/>
  <pageMargins left="0.1" right="0.1" top="1" bottom="1" header="0.5" footer="0.5"/>
  <pageSetup paperSize="9" orientation="landscape" blackAndWhite="1" r:id="rId1"/>
  <headerFooter alignWithMargins="0"/>
</worksheet>
</file>

<file path=xl/worksheets/sheet72.xml><?xml version="1.0" encoding="utf-8"?>
<worksheet xmlns="http://schemas.openxmlformats.org/spreadsheetml/2006/main" xmlns:r="http://schemas.openxmlformats.org/officeDocument/2006/relationships">
  <dimension ref="A1:L34"/>
  <sheetViews>
    <sheetView workbookViewId="0">
      <selection activeCell="N20" sqref="N20"/>
    </sheetView>
  </sheetViews>
  <sheetFormatPr defaultRowHeight="12.75"/>
  <cols>
    <col min="1" max="1" width="14.140625" style="405" customWidth="1"/>
    <col min="2" max="2" width="10.7109375" style="405" customWidth="1"/>
    <col min="3" max="3" width="12" style="405" customWidth="1"/>
    <col min="4" max="4" width="7.5703125" style="405" customWidth="1"/>
    <col min="5" max="5" width="6.140625" style="405" customWidth="1"/>
    <col min="6" max="6" width="7.5703125" style="405" customWidth="1"/>
    <col min="7" max="7" width="5.28515625" style="405" customWidth="1"/>
    <col min="8" max="8" width="7" style="405" customWidth="1"/>
    <col min="9" max="9" width="6.42578125" style="405" customWidth="1"/>
    <col min="10" max="10" width="5.85546875" style="405" customWidth="1"/>
    <col min="11" max="11" width="6.85546875" style="405" customWidth="1"/>
    <col min="12" max="16384" width="9.140625" style="405"/>
  </cols>
  <sheetData>
    <row r="1" spans="1:12" ht="18" customHeight="1">
      <c r="A1" s="1435" t="s">
        <v>503</v>
      </c>
      <c r="B1" s="1435"/>
      <c r="C1" s="1435"/>
      <c r="D1" s="1435"/>
      <c r="E1" s="1435"/>
      <c r="F1" s="1435"/>
      <c r="G1" s="1435"/>
      <c r="H1" s="1435"/>
      <c r="I1" s="1435"/>
      <c r="J1" s="1435"/>
      <c r="K1" s="1435"/>
    </row>
    <row r="2" spans="1:12" s="412" customFormat="1" ht="18.75" customHeight="1">
      <c r="A2" s="1323" t="str">
        <f>CONCATENATE("Accidents on Roads in the district of ",District!$A$1)</f>
        <v>Accidents on Roads in the district of Nadia</v>
      </c>
      <c r="B2" s="1323"/>
      <c r="C2" s="1323"/>
      <c r="D2" s="1323"/>
      <c r="E2" s="1323"/>
      <c r="F2" s="1323"/>
      <c r="G2" s="1323"/>
      <c r="H2" s="1323"/>
      <c r="I2" s="1323"/>
      <c r="J2" s="1323"/>
      <c r="K2" s="1323"/>
    </row>
    <row r="3" spans="1:12" ht="16.5" customHeight="1">
      <c r="A3" s="1253" t="s">
        <v>107</v>
      </c>
      <c r="B3" s="1252"/>
      <c r="C3" s="1253" t="s">
        <v>1108</v>
      </c>
      <c r="D3" s="1251"/>
      <c r="E3" s="1252"/>
      <c r="F3" s="1253" t="s">
        <v>1169</v>
      </c>
      <c r="G3" s="1251"/>
      <c r="H3" s="1252"/>
      <c r="I3" s="1251" t="s">
        <v>775</v>
      </c>
      <c r="J3" s="1251"/>
      <c r="K3" s="1252"/>
    </row>
    <row r="4" spans="1:12" ht="18.75" customHeight="1">
      <c r="A4" s="1259" t="s">
        <v>163</v>
      </c>
      <c r="B4" s="1260"/>
      <c r="C4" s="1327" t="s">
        <v>164</v>
      </c>
      <c r="D4" s="1327"/>
      <c r="E4" s="1327"/>
      <c r="F4" s="1259" t="s">
        <v>165</v>
      </c>
      <c r="G4" s="1327"/>
      <c r="H4" s="1260"/>
      <c r="I4" s="1327" t="s">
        <v>166</v>
      </c>
      <c r="J4" s="1327"/>
      <c r="K4" s="1260"/>
    </row>
    <row r="5" spans="1:12" ht="27" customHeight="1">
      <c r="A5" s="1268">
        <f>District!C13</f>
        <v>2010</v>
      </c>
      <c r="B5" s="1266"/>
      <c r="C5" s="1268">
        <v>938</v>
      </c>
      <c r="D5" s="1265"/>
      <c r="E5" s="1266"/>
      <c r="F5" s="1268">
        <v>1242</v>
      </c>
      <c r="G5" s="1265"/>
      <c r="H5" s="1266"/>
      <c r="I5" s="1268">
        <v>346</v>
      </c>
      <c r="J5" s="1265"/>
      <c r="K5" s="1266"/>
    </row>
    <row r="6" spans="1:12" ht="27" customHeight="1">
      <c r="A6" s="1351">
        <f>District!C14</f>
        <v>2011</v>
      </c>
      <c r="B6" s="1398"/>
      <c r="C6" s="1351">
        <v>837</v>
      </c>
      <c r="D6" s="1404"/>
      <c r="E6" s="1398"/>
      <c r="F6" s="1351">
        <v>991</v>
      </c>
      <c r="G6" s="1404"/>
      <c r="H6" s="1398"/>
      <c r="I6" s="1351">
        <v>278</v>
      </c>
      <c r="J6" s="1404"/>
      <c r="K6" s="1398"/>
    </row>
    <row r="7" spans="1:12" ht="27" customHeight="1">
      <c r="A7" s="1351">
        <f>District!C15</f>
        <v>2012</v>
      </c>
      <c r="B7" s="1398"/>
      <c r="C7" s="1351">
        <v>858</v>
      </c>
      <c r="D7" s="1404"/>
      <c r="E7" s="1398"/>
      <c r="F7" s="1351">
        <v>1057</v>
      </c>
      <c r="G7" s="1404"/>
      <c r="H7" s="1398"/>
      <c r="I7" s="1351">
        <v>358</v>
      </c>
      <c r="J7" s="1404"/>
      <c r="K7" s="1398"/>
    </row>
    <row r="8" spans="1:12" ht="27" customHeight="1">
      <c r="A8" s="1351">
        <f>District!C16</f>
        <v>2013</v>
      </c>
      <c r="B8" s="1398"/>
      <c r="C8" s="1351">
        <v>799</v>
      </c>
      <c r="D8" s="1404"/>
      <c r="E8" s="1398"/>
      <c r="F8" s="1351">
        <v>938</v>
      </c>
      <c r="G8" s="1404"/>
      <c r="H8" s="1398"/>
      <c r="I8" s="1351">
        <v>327</v>
      </c>
      <c r="J8" s="1404"/>
      <c r="K8" s="1398"/>
    </row>
    <row r="9" spans="1:12" ht="27" customHeight="1">
      <c r="A9" s="1399">
        <f>District!C17</f>
        <v>2014</v>
      </c>
      <c r="B9" s="1325"/>
      <c r="C9" s="1399">
        <v>749</v>
      </c>
      <c r="D9" s="1290"/>
      <c r="E9" s="1325"/>
      <c r="F9" s="1399">
        <v>828</v>
      </c>
      <c r="G9" s="1290"/>
      <c r="H9" s="1325"/>
      <c r="I9" s="1399">
        <v>355</v>
      </c>
      <c r="J9" s="1290"/>
      <c r="K9" s="1325"/>
    </row>
    <row r="10" spans="1:12">
      <c r="H10" s="429"/>
      <c r="I10" s="429"/>
      <c r="J10" s="429"/>
      <c r="K10" s="430" t="s">
        <v>387</v>
      </c>
    </row>
    <row r="11" spans="1:12" ht="15" customHeight="1">
      <c r="G11" s="420"/>
      <c r="H11" s="420"/>
      <c r="I11" s="420"/>
      <c r="J11" s="420"/>
      <c r="K11" s="420"/>
    </row>
    <row r="12" spans="1:12" ht="12.75" customHeight="1">
      <c r="A12" s="1335" t="s">
        <v>504</v>
      </c>
      <c r="B12" s="1335"/>
      <c r="C12" s="1335"/>
      <c r="D12" s="1335"/>
      <c r="E12" s="1335"/>
      <c r="F12" s="1335"/>
      <c r="G12" s="1335"/>
      <c r="H12" s="1335"/>
      <c r="I12" s="1335"/>
      <c r="J12" s="1335"/>
      <c r="K12" s="1335"/>
    </row>
    <row r="13" spans="1:12" s="412" customFormat="1" ht="16.5">
      <c r="A13" s="1574" t="s">
        <v>445</v>
      </c>
      <c r="B13" s="1574"/>
      <c r="C13" s="1574"/>
      <c r="D13" s="1574"/>
      <c r="E13" s="1574"/>
      <c r="F13" s="1574"/>
      <c r="G13" s="1574"/>
      <c r="H13" s="1574"/>
      <c r="I13" s="1574"/>
      <c r="J13" s="1574"/>
      <c r="K13" s="1574"/>
    </row>
    <row r="14" spans="1:12">
      <c r="A14" s="412"/>
      <c r="B14" s="412"/>
      <c r="C14" s="412"/>
      <c r="D14" s="412"/>
      <c r="E14" s="412"/>
      <c r="F14" s="412"/>
      <c r="G14" s="412"/>
      <c r="H14" s="412"/>
      <c r="I14" s="412"/>
      <c r="J14" s="1591" t="s">
        <v>223</v>
      </c>
      <c r="K14" s="1591"/>
      <c r="L14" s="471"/>
    </row>
    <row r="15" spans="1:12" ht="27" customHeight="1">
      <c r="A15" s="1333" t="s">
        <v>993</v>
      </c>
      <c r="B15" s="1278"/>
      <c r="C15" s="1251" t="s">
        <v>1171</v>
      </c>
      <c r="D15" s="1251"/>
      <c r="E15" s="1251"/>
      <c r="F15" s="1253" t="s">
        <v>1172</v>
      </c>
      <c r="G15" s="1251"/>
      <c r="H15" s="1252"/>
      <c r="I15" s="1251" t="s">
        <v>1173</v>
      </c>
      <c r="J15" s="1251"/>
      <c r="K15" s="1252"/>
    </row>
    <row r="16" spans="1:12" ht="18.75" customHeight="1">
      <c r="A16" s="1463" t="s">
        <v>163</v>
      </c>
      <c r="B16" s="1465"/>
      <c r="C16" s="1464" t="s">
        <v>164</v>
      </c>
      <c r="D16" s="1464"/>
      <c r="E16" s="1464"/>
      <c r="F16" s="1463" t="s">
        <v>165</v>
      </c>
      <c r="G16" s="1464"/>
      <c r="H16" s="1465"/>
      <c r="I16" s="1464" t="s">
        <v>166</v>
      </c>
      <c r="J16" s="1464"/>
      <c r="K16" s="1465"/>
    </row>
    <row r="17" spans="1:11" ht="27" customHeight="1">
      <c r="A17" s="1268">
        <f>District!C13</f>
        <v>2010</v>
      </c>
      <c r="B17" s="1266"/>
      <c r="C17" s="1268">
        <v>458</v>
      </c>
      <c r="D17" s="1265"/>
      <c r="E17" s="1266"/>
      <c r="F17" s="1268">
        <v>2</v>
      </c>
      <c r="G17" s="1265"/>
      <c r="H17" s="1266"/>
      <c r="I17" s="1268">
        <v>6</v>
      </c>
      <c r="J17" s="1265"/>
      <c r="K17" s="1266"/>
    </row>
    <row r="18" spans="1:11" ht="27" customHeight="1">
      <c r="A18" s="1351">
        <f>District!C14</f>
        <v>2011</v>
      </c>
      <c r="B18" s="1398"/>
      <c r="C18" s="1351">
        <v>459</v>
      </c>
      <c r="D18" s="1404"/>
      <c r="E18" s="1398"/>
      <c r="F18" s="1351" t="s">
        <v>643</v>
      </c>
      <c r="G18" s="1404"/>
      <c r="H18" s="1398"/>
      <c r="I18" s="1351" t="s">
        <v>643</v>
      </c>
      <c r="J18" s="1404"/>
      <c r="K18" s="1398"/>
    </row>
    <row r="19" spans="1:11" ht="27" customHeight="1">
      <c r="A19" s="1351">
        <f>District!C15</f>
        <v>2012</v>
      </c>
      <c r="B19" s="1398"/>
      <c r="C19" s="1351">
        <v>459</v>
      </c>
      <c r="D19" s="1404"/>
      <c r="E19" s="1398"/>
      <c r="F19" s="1351" t="s">
        <v>643</v>
      </c>
      <c r="G19" s="1404"/>
      <c r="H19" s="1398"/>
      <c r="I19" s="1351" t="s">
        <v>643</v>
      </c>
      <c r="J19" s="1404"/>
      <c r="K19" s="1398"/>
    </row>
    <row r="20" spans="1:11" ht="27" customHeight="1">
      <c r="A20" s="1351">
        <f>District!C16</f>
        <v>2013</v>
      </c>
      <c r="B20" s="1398"/>
      <c r="C20" s="1351">
        <v>459</v>
      </c>
      <c r="D20" s="1404"/>
      <c r="E20" s="1398"/>
      <c r="F20" s="1351" t="s">
        <v>643</v>
      </c>
      <c r="G20" s="1404"/>
      <c r="H20" s="1398"/>
      <c r="I20" s="1351" t="s">
        <v>643</v>
      </c>
      <c r="J20" s="1404"/>
      <c r="K20" s="1398"/>
    </row>
    <row r="21" spans="1:11" ht="27" customHeight="1">
      <c r="A21" s="1399">
        <f>District!C17</f>
        <v>2014</v>
      </c>
      <c r="B21" s="1325"/>
      <c r="C21" s="1290">
        <v>459</v>
      </c>
      <c r="D21" s="1290"/>
      <c r="E21" s="1290"/>
      <c r="F21" s="1399" t="s">
        <v>643</v>
      </c>
      <c r="G21" s="1290"/>
      <c r="H21" s="1290"/>
      <c r="I21" s="1399" t="s">
        <v>643</v>
      </c>
      <c r="J21" s="1290"/>
      <c r="K21" s="1325"/>
    </row>
    <row r="22" spans="1:11">
      <c r="A22" s="30"/>
      <c r="B22" s="24"/>
      <c r="C22" s="24"/>
      <c r="D22" s="24"/>
      <c r="E22" s="450"/>
      <c r="G22" s="6"/>
      <c r="K22" s="280" t="s">
        <v>1393</v>
      </c>
    </row>
    <row r="24" spans="1:11">
      <c r="A24" s="1435" t="s">
        <v>505</v>
      </c>
      <c r="B24" s="1435"/>
      <c r="C24" s="1435"/>
      <c r="D24" s="1435"/>
      <c r="E24" s="1435"/>
      <c r="F24" s="1435"/>
      <c r="G24" s="1435"/>
      <c r="H24" s="1435"/>
      <c r="I24" s="1435"/>
      <c r="J24" s="1435"/>
      <c r="K24" s="1435"/>
    </row>
    <row r="25" spans="1:11" s="412" customFormat="1" ht="19.5" customHeight="1">
      <c r="A25" s="1269" t="str">
        <f>CONCATENATE("Progress in Tourism in the district of ",District!$A$1)</f>
        <v>Progress in Tourism in the district of Nadia</v>
      </c>
      <c r="B25" s="1269"/>
      <c r="C25" s="1269"/>
      <c r="D25" s="1269"/>
      <c r="E25" s="1269"/>
      <c r="F25" s="1269"/>
      <c r="G25" s="1269"/>
      <c r="H25" s="1269"/>
      <c r="I25" s="1269"/>
      <c r="J25" s="1269"/>
      <c r="K25" s="1269"/>
    </row>
    <row r="26" spans="1:11" ht="56.25" customHeight="1">
      <c r="A26" s="204" t="s">
        <v>107</v>
      </c>
      <c r="B26" s="460" t="s">
        <v>822</v>
      </c>
      <c r="C26" s="219" t="s">
        <v>823</v>
      </c>
      <c r="D26" s="1321" t="s">
        <v>1426</v>
      </c>
      <c r="E26" s="1322"/>
      <c r="F26" s="1321" t="s">
        <v>1592</v>
      </c>
      <c r="G26" s="1322"/>
      <c r="H26" s="1321" t="s">
        <v>824</v>
      </c>
      <c r="I26" s="1322"/>
      <c r="J26" s="1321" t="s">
        <v>1585</v>
      </c>
      <c r="K26" s="1322"/>
    </row>
    <row r="27" spans="1:11" ht="18.75" customHeight="1">
      <c r="A27" s="299" t="s">
        <v>163</v>
      </c>
      <c r="B27" s="299" t="s">
        <v>164</v>
      </c>
      <c r="C27" s="299" t="s">
        <v>165</v>
      </c>
      <c r="D27" s="1259" t="s">
        <v>166</v>
      </c>
      <c r="E27" s="1327"/>
      <c r="F27" s="1259" t="s">
        <v>167</v>
      </c>
      <c r="G27" s="1327"/>
      <c r="H27" s="1259" t="s">
        <v>168</v>
      </c>
      <c r="I27" s="1327"/>
      <c r="J27" s="1259" t="s">
        <v>169</v>
      </c>
      <c r="K27" s="1260"/>
    </row>
    <row r="28" spans="1:11" ht="27" customHeight="1">
      <c r="A28" s="108" t="str">
        <f>District!D13</f>
        <v>2009-10</v>
      </c>
      <c r="B28" s="193" t="s">
        <v>1170</v>
      </c>
      <c r="C28" s="193" t="s">
        <v>1170</v>
      </c>
      <c r="D28" s="1595" t="s">
        <v>1170</v>
      </c>
      <c r="E28" s="1596"/>
      <c r="F28" s="1268">
        <v>5</v>
      </c>
      <c r="G28" s="1266"/>
      <c r="H28" s="1268">
        <v>18302</v>
      </c>
      <c r="I28" s="1266"/>
      <c r="J28" s="1514">
        <v>1700.23</v>
      </c>
      <c r="K28" s="1515"/>
    </row>
    <row r="29" spans="1:11" ht="27" customHeight="1">
      <c r="A29" s="108" t="str">
        <f>District!D14</f>
        <v>2010-11</v>
      </c>
      <c r="B29" s="118" t="s">
        <v>1170</v>
      </c>
      <c r="C29" s="118" t="s">
        <v>1170</v>
      </c>
      <c r="D29" s="1332" t="s">
        <v>1170</v>
      </c>
      <c r="E29" s="1648"/>
      <c r="F29" s="1351">
        <v>5</v>
      </c>
      <c r="G29" s="1398"/>
      <c r="H29" s="1351">
        <v>20521</v>
      </c>
      <c r="I29" s="1398"/>
      <c r="J29" s="1630">
        <v>1921.41</v>
      </c>
      <c r="K29" s="1631"/>
    </row>
    <row r="30" spans="1:11" ht="27" customHeight="1">
      <c r="A30" s="108" t="str">
        <f>District!D15</f>
        <v>2011-12</v>
      </c>
      <c r="B30" s="118" t="s">
        <v>1170</v>
      </c>
      <c r="C30" s="118" t="s">
        <v>1170</v>
      </c>
      <c r="D30" s="1332" t="s">
        <v>1170</v>
      </c>
      <c r="E30" s="1648"/>
      <c r="F30" s="1351">
        <v>5</v>
      </c>
      <c r="G30" s="1398"/>
      <c r="H30" s="1351">
        <v>22685</v>
      </c>
      <c r="I30" s="1398"/>
      <c r="J30" s="1630">
        <v>2102.36</v>
      </c>
      <c r="K30" s="1631"/>
    </row>
    <row r="31" spans="1:11" ht="27" customHeight="1">
      <c r="A31" s="108" t="str">
        <f>District!D16</f>
        <v>2012-13</v>
      </c>
      <c r="B31" s="118" t="s">
        <v>1170</v>
      </c>
      <c r="C31" s="118" t="s">
        <v>1170</v>
      </c>
      <c r="D31" s="1332" t="s">
        <v>1170</v>
      </c>
      <c r="E31" s="1648"/>
      <c r="F31" s="1351">
        <v>5</v>
      </c>
      <c r="G31" s="1398"/>
      <c r="H31" s="1351">
        <v>25385</v>
      </c>
      <c r="I31" s="1398"/>
      <c r="J31" s="1630">
        <v>2432.58</v>
      </c>
      <c r="K31" s="1631"/>
    </row>
    <row r="32" spans="1:11" ht="27" customHeight="1">
      <c r="A32" s="127" t="str">
        <f>District!D17</f>
        <v>2013-14</v>
      </c>
      <c r="B32" s="119" t="s">
        <v>1170</v>
      </c>
      <c r="C32" s="119" t="s">
        <v>1170</v>
      </c>
      <c r="D32" s="1248" t="s">
        <v>1170</v>
      </c>
      <c r="E32" s="1249"/>
      <c r="F32" s="1399" t="s">
        <v>1661</v>
      </c>
      <c r="G32" s="1325"/>
      <c r="H32" s="1399">
        <v>6900</v>
      </c>
      <c r="I32" s="1325"/>
      <c r="J32" s="1643">
        <v>693.44</v>
      </c>
      <c r="K32" s="1644"/>
    </row>
    <row r="33" spans="1:11">
      <c r="E33" s="429"/>
      <c r="F33" s="429"/>
      <c r="H33" s="429"/>
      <c r="I33" s="429"/>
      <c r="J33" s="429"/>
      <c r="K33" s="430" t="s">
        <v>1109</v>
      </c>
    </row>
    <row r="34" spans="1:11">
      <c r="A34" s="1649" t="s">
        <v>1662</v>
      </c>
      <c r="B34" s="1296"/>
      <c r="C34" s="1296"/>
      <c r="G34" s="31"/>
      <c r="H34" s="31"/>
      <c r="I34" s="1435"/>
      <c r="J34" s="1435"/>
    </row>
  </sheetData>
  <mergeCells count="93">
    <mergeCell ref="A34:C34"/>
    <mergeCell ref="I34:J34"/>
    <mergeCell ref="F32:G32"/>
    <mergeCell ref="J32:K32"/>
    <mergeCell ref="J30:K30"/>
    <mergeCell ref="F30:G30"/>
    <mergeCell ref="F31:G31"/>
    <mergeCell ref="J31:K31"/>
    <mergeCell ref="D32:E32"/>
    <mergeCell ref="H32:I32"/>
    <mergeCell ref="H31:I31"/>
    <mergeCell ref="D31:E31"/>
    <mergeCell ref="D28:E28"/>
    <mergeCell ref="H30:I30"/>
    <mergeCell ref="H28:I28"/>
    <mergeCell ref="H29:I29"/>
    <mergeCell ref="D30:E30"/>
    <mergeCell ref="F29:G29"/>
    <mergeCell ref="F28:G28"/>
    <mergeCell ref="H26:I26"/>
    <mergeCell ref="I21:K21"/>
    <mergeCell ref="A24:K24"/>
    <mergeCell ref="F21:H21"/>
    <mergeCell ref="J29:K29"/>
    <mergeCell ref="J27:K27"/>
    <mergeCell ref="J26:K26"/>
    <mergeCell ref="C21:E21"/>
    <mergeCell ref="A21:B21"/>
    <mergeCell ref="H27:I27"/>
    <mergeCell ref="D26:E26"/>
    <mergeCell ref="F26:G26"/>
    <mergeCell ref="J28:K28"/>
    <mergeCell ref="F27:G27"/>
    <mergeCell ref="D27:E27"/>
    <mergeCell ref="D29:E29"/>
    <mergeCell ref="I8:K8"/>
    <mergeCell ref="F8:H8"/>
    <mergeCell ref="A8:B8"/>
    <mergeCell ref="I7:K7"/>
    <mergeCell ref="F15:H15"/>
    <mergeCell ref="I9:K9"/>
    <mergeCell ref="I15:K15"/>
    <mergeCell ref="J14:K14"/>
    <mergeCell ref="A12:K12"/>
    <mergeCell ref="A13:K13"/>
    <mergeCell ref="A15:B15"/>
    <mergeCell ref="I18:K18"/>
    <mergeCell ref="F17:H17"/>
    <mergeCell ref="A25:K25"/>
    <mergeCell ref="I16:K16"/>
    <mergeCell ref="F19:H19"/>
    <mergeCell ref="C20:E20"/>
    <mergeCell ref="A20:B20"/>
    <mergeCell ref="I20:K20"/>
    <mergeCell ref="F20:H20"/>
    <mergeCell ref="C19:E19"/>
    <mergeCell ref="I19:K19"/>
    <mergeCell ref="A19:B19"/>
    <mergeCell ref="F18:H18"/>
    <mergeCell ref="I17:K17"/>
    <mergeCell ref="A16:B16"/>
    <mergeCell ref="C18:E18"/>
    <mergeCell ref="A18:B18"/>
    <mergeCell ref="C8:E8"/>
    <mergeCell ref="C7:E7"/>
    <mergeCell ref="F7:H7"/>
    <mergeCell ref="A4:B4"/>
    <mergeCell ref="C9:E9"/>
    <mergeCell ref="F9:H9"/>
    <mergeCell ref="A9:B9"/>
    <mergeCell ref="A7:B7"/>
    <mergeCell ref="F16:H16"/>
    <mergeCell ref="C16:E16"/>
    <mergeCell ref="C17:E17"/>
    <mergeCell ref="C15:E15"/>
    <mergeCell ref="A17:B17"/>
    <mergeCell ref="A1:K1"/>
    <mergeCell ref="A3:B3"/>
    <mergeCell ref="I3:K3"/>
    <mergeCell ref="A2:K2"/>
    <mergeCell ref="F3:H3"/>
    <mergeCell ref="C3:E3"/>
    <mergeCell ref="I4:K4"/>
    <mergeCell ref="C4:E4"/>
    <mergeCell ref="A6:B6"/>
    <mergeCell ref="C6:E6"/>
    <mergeCell ref="F5:H5"/>
    <mergeCell ref="F4:H4"/>
    <mergeCell ref="F6:H6"/>
    <mergeCell ref="C5:E5"/>
    <mergeCell ref="A5:B5"/>
    <mergeCell ref="I5:K5"/>
    <mergeCell ref="I6:K6"/>
  </mergeCells>
  <phoneticPr fontId="0" type="noConversion"/>
  <pageMargins left="0.9" right="0.1" top="0.7" bottom="0.1" header="0.66" footer="0.24"/>
  <pageSetup paperSize="9" orientation="portrait" blackAndWhite="1" r:id="rId1"/>
  <headerFooter alignWithMargins="0"/>
</worksheet>
</file>

<file path=xl/worksheets/sheet73.xml><?xml version="1.0" encoding="utf-8"?>
<worksheet xmlns="http://schemas.openxmlformats.org/spreadsheetml/2006/main" xmlns:r="http://schemas.openxmlformats.org/officeDocument/2006/relationships">
  <dimension ref="A1:V33"/>
  <sheetViews>
    <sheetView workbookViewId="0">
      <selection activeCell="Q25" sqref="Q25"/>
    </sheetView>
  </sheetViews>
  <sheetFormatPr defaultRowHeight="12.75"/>
  <cols>
    <col min="1" max="1" width="11.7109375" style="405" customWidth="1"/>
    <col min="2" max="2" width="19.7109375" style="405" customWidth="1"/>
    <col min="3" max="12" width="10.7109375" style="405" customWidth="1"/>
    <col min="13" max="22" width="6.28515625" style="405" customWidth="1"/>
    <col min="23" max="16384" width="9.140625" style="405"/>
  </cols>
  <sheetData>
    <row r="1" spans="1:22" ht="12.75" customHeight="1">
      <c r="A1" s="432"/>
      <c r="B1" s="1261" t="s">
        <v>834</v>
      </c>
      <c r="C1" s="1261"/>
      <c r="D1" s="1261"/>
      <c r="E1" s="1261"/>
      <c r="F1" s="1261"/>
      <c r="G1" s="1261"/>
      <c r="H1" s="1261"/>
      <c r="I1" s="1261"/>
      <c r="J1" s="1261"/>
      <c r="K1" s="1261"/>
      <c r="L1" s="1261"/>
      <c r="M1" s="20"/>
      <c r="N1" s="20"/>
      <c r="O1" s="20"/>
      <c r="P1" s="20"/>
      <c r="Q1" s="20"/>
      <c r="R1" s="20"/>
      <c r="S1" s="20"/>
      <c r="T1" s="20"/>
      <c r="U1" s="20"/>
      <c r="V1" s="20"/>
    </row>
    <row r="2" spans="1:22" s="412" customFormat="1" ht="31.5" customHeight="1">
      <c r="A2" s="433"/>
      <c r="B2" s="1338" t="str">
        <f>CONCATENATE("Offences reported, Cases tried, Persons convicted and acquitted for different classes of offence 
in the district of ",District!$A$1)</f>
        <v>Offences reported, Cases tried, Persons convicted and acquitted for different classes of offence 
in the district of Nadia</v>
      </c>
      <c r="C2" s="1338"/>
      <c r="D2" s="1338"/>
      <c r="E2" s="1338"/>
      <c r="F2" s="1338"/>
      <c r="G2" s="1338"/>
      <c r="H2" s="1338"/>
      <c r="I2" s="1338"/>
      <c r="J2" s="1338"/>
      <c r="K2" s="1338"/>
      <c r="L2" s="1338"/>
      <c r="M2" s="411"/>
      <c r="N2" s="411"/>
      <c r="O2" s="411"/>
      <c r="P2" s="411"/>
      <c r="Q2" s="411"/>
      <c r="R2" s="411"/>
      <c r="S2" s="411"/>
      <c r="T2" s="411"/>
      <c r="U2" s="411"/>
      <c r="V2" s="411"/>
    </row>
    <row r="3" spans="1:22" s="412" customFormat="1" ht="13.5" customHeight="1">
      <c r="A3" s="435"/>
      <c r="B3" s="473"/>
      <c r="C3" s="474"/>
      <c r="D3" s="474"/>
      <c r="E3" s="474"/>
      <c r="F3" s="474"/>
      <c r="G3" s="474"/>
      <c r="H3" s="474"/>
      <c r="I3" s="474"/>
      <c r="J3" s="474"/>
      <c r="K3" s="474"/>
      <c r="L3" s="451" t="s">
        <v>223</v>
      </c>
      <c r="M3" s="411"/>
      <c r="N3" s="411"/>
      <c r="O3" s="411"/>
      <c r="P3" s="411"/>
      <c r="Q3" s="411"/>
      <c r="R3" s="411"/>
      <c r="S3" s="411"/>
      <c r="T3" s="411"/>
      <c r="U3" s="411"/>
      <c r="V3" s="411"/>
    </row>
    <row r="4" spans="1:22" ht="15.75" customHeight="1">
      <c r="A4" s="435"/>
      <c r="B4" s="1262" t="s">
        <v>120</v>
      </c>
      <c r="C4" s="1471" t="s">
        <v>798</v>
      </c>
      <c r="D4" s="1471"/>
      <c r="E4" s="1471"/>
      <c r="F4" s="1471"/>
      <c r="G4" s="1322"/>
      <c r="H4" s="1321" t="s">
        <v>799</v>
      </c>
      <c r="I4" s="1471"/>
      <c r="J4" s="1471"/>
      <c r="K4" s="1471"/>
      <c r="L4" s="1322"/>
    </row>
    <row r="5" spans="1:22" ht="15.75" customHeight="1">
      <c r="A5" s="433"/>
      <c r="B5" s="1263"/>
      <c r="C5" s="475">
        <f>District!C7</f>
        <v>2010</v>
      </c>
      <c r="D5" s="475">
        <f>District!D7</f>
        <v>2011</v>
      </c>
      <c r="E5" s="475">
        <f>District!E7</f>
        <v>2012</v>
      </c>
      <c r="F5" s="475">
        <f>District!F7</f>
        <v>2013</v>
      </c>
      <c r="G5" s="475">
        <f>District!G7</f>
        <v>2014</v>
      </c>
      <c r="H5" s="475">
        <f>District!C7</f>
        <v>2010</v>
      </c>
      <c r="I5" s="475">
        <f>District!D7</f>
        <v>2011</v>
      </c>
      <c r="J5" s="475">
        <f>District!E7</f>
        <v>2012</v>
      </c>
      <c r="K5" s="475">
        <f>District!F7</f>
        <v>2013</v>
      </c>
      <c r="L5" s="475">
        <f>District!G7</f>
        <v>2014</v>
      </c>
    </row>
    <row r="6" spans="1:22" ht="13.5" customHeight="1">
      <c r="A6" s="433"/>
      <c r="B6" s="225" t="s">
        <v>163</v>
      </c>
      <c r="C6" s="226" t="s">
        <v>164</v>
      </c>
      <c r="D6" s="225" t="s">
        <v>165</v>
      </c>
      <c r="E6" s="476" t="s">
        <v>166</v>
      </c>
      <c r="F6" s="225" t="s">
        <v>167</v>
      </c>
      <c r="G6" s="224" t="s">
        <v>168</v>
      </c>
      <c r="H6" s="299" t="s">
        <v>169</v>
      </c>
      <c r="I6" s="225" t="s">
        <v>211</v>
      </c>
      <c r="J6" s="226" t="s">
        <v>212</v>
      </c>
      <c r="K6" s="225" t="s">
        <v>213</v>
      </c>
      <c r="L6" s="224" t="s">
        <v>214</v>
      </c>
    </row>
    <row r="7" spans="1:22" ht="17.25" customHeight="1">
      <c r="A7" s="433"/>
      <c r="B7" s="81" t="s">
        <v>791</v>
      </c>
      <c r="C7" s="421">
        <v>121</v>
      </c>
      <c r="D7" s="421">
        <v>136</v>
      </c>
      <c r="E7" s="421">
        <v>146</v>
      </c>
      <c r="F7" s="421">
        <v>146</v>
      </c>
      <c r="G7" s="421">
        <v>166</v>
      </c>
      <c r="H7" s="421">
        <v>32</v>
      </c>
      <c r="I7" s="421">
        <v>30</v>
      </c>
      <c r="J7" s="421">
        <v>78</v>
      </c>
      <c r="K7" s="421">
        <v>57</v>
      </c>
      <c r="L7" s="421">
        <v>57</v>
      </c>
    </row>
    <row r="8" spans="1:22" ht="17.25" customHeight="1">
      <c r="A8" s="433"/>
      <c r="B8" s="81" t="s">
        <v>792</v>
      </c>
      <c r="C8" s="421">
        <v>30</v>
      </c>
      <c r="D8" s="421">
        <v>25</v>
      </c>
      <c r="E8" s="421">
        <v>29</v>
      </c>
      <c r="F8" s="421">
        <v>15</v>
      </c>
      <c r="G8" s="421">
        <v>13</v>
      </c>
      <c r="H8" s="421">
        <v>17</v>
      </c>
      <c r="I8" s="421">
        <v>14</v>
      </c>
      <c r="J8" s="421">
        <v>15</v>
      </c>
      <c r="K8" s="421">
        <v>14</v>
      </c>
      <c r="L8" s="421">
        <v>10</v>
      </c>
    </row>
    <row r="9" spans="1:22" ht="17.25" customHeight="1">
      <c r="A9" s="433"/>
      <c r="B9" s="81" t="s">
        <v>793</v>
      </c>
      <c r="C9" s="421">
        <v>86</v>
      </c>
      <c r="D9" s="421">
        <v>43</v>
      </c>
      <c r="E9" s="421">
        <v>34</v>
      </c>
      <c r="F9" s="421">
        <v>36</v>
      </c>
      <c r="G9" s="421">
        <v>41</v>
      </c>
      <c r="H9" s="421">
        <v>10</v>
      </c>
      <c r="I9" s="421">
        <v>5</v>
      </c>
      <c r="J9" s="421">
        <v>7</v>
      </c>
      <c r="K9" s="421">
        <v>1</v>
      </c>
      <c r="L9" s="421">
        <v>2</v>
      </c>
    </row>
    <row r="10" spans="1:22" ht="17.25" customHeight="1">
      <c r="A10" s="433"/>
      <c r="B10" s="404" t="s">
        <v>794</v>
      </c>
      <c r="C10" s="421">
        <v>13</v>
      </c>
      <c r="D10" s="421">
        <v>20</v>
      </c>
      <c r="E10" s="421">
        <v>21</v>
      </c>
      <c r="F10" s="421">
        <v>13</v>
      </c>
      <c r="G10" s="421">
        <v>1</v>
      </c>
      <c r="H10" s="421">
        <v>7</v>
      </c>
      <c r="I10" s="421">
        <v>6</v>
      </c>
      <c r="J10" s="421">
        <v>1</v>
      </c>
      <c r="K10" s="421" t="s">
        <v>643</v>
      </c>
      <c r="L10" s="1069" t="s">
        <v>643</v>
      </c>
    </row>
    <row r="11" spans="1:22" ht="17.25" customHeight="1">
      <c r="A11" s="433"/>
      <c r="B11" s="404" t="s">
        <v>795</v>
      </c>
      <c r="C11" s="421">
        <v>189</v>
      </c>
      <c r="D11" s="421">
        <v>207</v>
      </c>
      <c r="E11" s="421">
        <v>128</v>
      </c>
      <c r="F11" s="421">
        <v>172</v>
      </c>
      <c r="G11" s="421">
        <v>133</v>
      </c>
      <c r="H11" s="421">
        <v>47</v>
      </c>
      <c r="I11" s="421">
        <v>18</v>
      </c>
      <c r="J11" s="421">
        <v>38</v>
      </c>
      <c r="K11" s="421">
        <v>17</v>
      </c>
      <c r="L11" s="421">
        <v>18</v>
      </c>
    </row>
    <row r="12" spans="1:22" ht="17.25" customHeight="1">
      <c r="A12" s="433"/>
      <c r="B12" s="404" t="s">
        <v>796</v>
      </c>
      <c r="C12" s="421">
        <v>1191</v>
      </c>
      <c r="D12" s="421">
        <v>1373</v>
      </c>
      <c r="E12" s="421">
        <v>1251</v>
      </c>
      <c r="F12" s="421">
        <v>1288</v>
      </c>
      <c r="G12" s="421">
        <v>1017</v>
      </c>
      <c r="H12" s="421">
        <v>32</v>
      </c>
      <c r="I12" s="421">
        <v>49</v>
      </c>
      <c r="J12" s="421">
        <v>55</v>
      </c>
      <c r="K12" s="421">
        <v>18</v>
      </c>
      <c r="L12" s="421">
        <v>20</v>
      </c>
    </row>
    <row r="13" spans="1:22" ht="17.25" customHeight="1">
      <c r="A13" s="433"/>
      <c r="B13" s="404" t="s">
        <v>237</v>
      </c>
      <c r="C13" s="421">
        <v>412</v>
      </c>
      <c r="D13" s="421">
        <v>1011</v>
      </c>
      <c r="E13" s="421">
        <v>498</v>
      </c>
      <c r="F13" s="421">
        <v>649</v>
      </c>
      <c r="G13" s="421">
        <v>597</v>
      </c>
      <c r="H13" s="421">
        <v>444</v>
      </c>
      <c r="I13" s="421">
        <v>471</v>
      </c>
      <c r="J13" s="421">
        <v>587</v>
      </c>
      <c r="K13" s="421">
        <v>12</v>
      </c>
      <c r="L13" s="421">
        <v>95</v>
      </c>
    </row>
    <row r="14" spans="1:22" ht="24" customHeight="1">
      <c r="A14" s="433"/>
      <c r="B14" s="404" t="s">
        <v>797</v>
      </c>
      <c r="C14" s="421">
        <v>2459</v>
      </c>
      <c r="D14" s="421">
        <v>3028</v>
      </c>
      <c r="E14" s="421">
        <v>3497</v>
      </c>
      <c r="F14" s="421">
        <v>3390</v>
      </c>
      <c r="G14" s="421">
        <v>3236</v>
      </c>
      <c r="H14" s="421">
        <v>217</v>
      </c>
      <c r="I14" s="421">
        <v>204</v>
      </c>
      <c r="J14" s="421">
        <v>493</v>
      </c>
      <c r="K14" s="421">
        <v>479</v>
      </c>
      <c r="L14" s="421">
        <v>445</v>
      </c>
    </row>
    <row r="15" spans="1:22" ht="17.25" customHeight="1">
      <c r="A15" s="433"/>
      <c r="B15" s="403" t="s">
        <v>320</v>
      </c>
      <c r="C15" s="421">
        <v>5185</v>
      </c>
      <c r="D15" s="421">
        <v>7439</v>
      </c>
      <c r="E15" s="421">
        <v>7413</v>
      </c>
      <c r="F15" s="421">
        <v>7814</v>
      </c>
      <c r="G15" s="421">
        <v>7183</v>
      </c>
      <c r="H15" s="421">
        <v>516</v>
      </c>
      <c r="I15" s="421">
        <v>558</v>
      </c>
      <c r="J15" s="421">
        <v>761</v>
      </c>
      <c r="K15" s="421">
        <v>1225</v>
      </c>
      <c r="L15" s="421">
        <v>741</v>
      </c>
    </row>
    <row r="16" spans="1:22" ht="15" customHeight="1">
      <c r="A16" s="433"/>
      <c r="B16" s="305" t="s">
        <v>210</v>
      </c>
      <c r="C16" s="305">
        <f>SUM(C7:C15)</f>
        <v>9686</v>
      </c>
      <c r="D16" s="477">
        <f>SUM(D7:D15)</f>
        <v>13282</v>
      </c>
      <c r="E16" s="305">
        <f>SUM(E7:E15)</f>
        <v>13017</v>
      </c>
      <c r="F16" s="305">
        <f>SUM(F7:F15)</f>
        <v>13523</v>
      </c>
      <c r="G16" s="305">
        <f t="shared" ref="G16:L16" si="0">SUM(G7:G15)</f>
        <v>12387</v>
      </c>
      <c r="H16" s="477">
        <f t="shared" si="0"/>
        <v>1322</v>
      </c>
      <c r="I16" s="305">
        <f t="shared" si="0"/>
        <v>1355</v>
      </c>
      <c r="J16" s="306">
        <f t="shared" si="0"/>
        <v>2035</v>
      </c>
      <c r="K16" s="305">
        <f t="shared" si="0"/>
        <v>1823</v>
      </c>
      <c r="L16" s="306">
        <f t="shared" si="0"/>
        <v>1388</v>
      </c>
    </row>
    <row r="17" spans="1:22" s="412" customFormat="1" ht="13.5" customHeight="1">
      <c r="A17" s="433"/>
      <c r="B17" s="478"/>
      <c r="C17" s="450"/>
      <c r="D17" s="450"/>
      <c r="E17" s="30"/>
      <c r="F17" s="405"/>
      <c r="G17" s="450"/>
      <c r="H17" s="450"/>
      <c r="I17" s="450"/>
      <c r="J17" s="450"/>
      <c r="K17" s="405"/>
      <c r="L17" s="281" t="s">
        <v>1458</v>
      </c>
    </row>
    <row r="18" spans="1:22" ht="6.75" customHeight="1">
      <c r="A18" s="435"/>
      <c r="B18" s="479"/>
      <c r="C18" s="428"/>
      <c r="D18" s="428"/>
      <c r="E18" s="30"/>
      <c r="G18" s="450"/>
      <c r="H18" s="450"/>
      <c r="I18" s="450"/>
      <c r="J18" s="450"/>
    </row>
    <row r="19" spans="1:22" ht="15.95" customHeight="1">
      <c r="A19" s="433"/>
      <c r="B19" s="1261" t="s">
        <v>325</v>
      </c>
      <c r="C19" s="1261"/>
      <c r="D19" s="1261"/>
      <c r="E19" s="1261"/>
      <c r="F19" s="1261"/>
      <c r="G19" s="1261"/>
      <c r="H19" s="1261"/>
      <c r="I19" s="1261"/>
      <c r="J19" s="1261"/>
      <c r="K19" s="1261"/>
      <c r="L19" s="1261"/>
      <c r="Q19" s="6"/>
      <c r="R19" s="6"/>
      <c r="S19" s="6"/>
      <c r="T19" s="6"/>
      <c r="U19" s="6"/>
      <c r="V19" s="429"/>
    </row>
    <row r="20" spans="1:22" ht="15.75" customHeight="1">
      <c r="B20" s="1262" t="s">
        <v>120</v>
      </c>
      <c r="C20" s="1321" t="s">
        <v>800</v>
      </c>
      <c r="D20" s="1471"/>
      <c r="E20" s="1471"/>
      <c r="F20" s="1471"/>
      <c r="G20" s="1322"/>
      <c r="H20" s="1253" t="s">
        <v>801</v>
      </c>
      <c r="I20" s="1251"/>
      <c r="J20" s="1251"/>
      <c r="K20" s="1251"/>
      <c r="L20" s="1252"/>
    </row>
    <row r="21" spans="1:22" ht="15.75" customHeight="1">
      <c r="B21" s="1263"/>
      <c r="C21" s="475">
        <f>District!C7</f>
        <v>2010</v>
      </c>
      <c r="D21" s="475">
        <f>District!D7</f>
        <v>2011</v>
      </c>
      <c r="E21" s="475">
        <f>District!E7</f>
        <v>2012</v>
      </c>
      <c r="F21" s="475">
        <f>District!F7</f>
        <v>2013</v>
      </c>
      <c r="G21" s="475">
        <f>District!G7</f>
        <v>2014</v>
      </c>
      <c r="H21" s="475">
        <f>District!C7</f>
        <v>2010</v>
      </c>
      <c r="I21" s="475">
        <f>District!D7</f>
        <v>2011</v>
      </c>
      <c r="J21" s="475">
        <f>District!E7</f>
        <v>2012</v>
      </c>
      <c r="K21" s="475">
        <f>District!F7</f>
        <v>2013</v>
      </c>
      <c r="L21" s="475">
        <f>District!G7</f>
        <v>2014</v>
      </c>
    </row>
    <row r="22" spans="1:22" ht="13.5" customHeight="1">
      <c r="B22" s="225" t="s">
        <v>163</v>
      </c>
      <c r="C22" s="299" t="s">
        <v>253</v>
      </c>
      <c r="D22" s="304" t="s">
        <v>254</v>
      </c>
      <c r="E22" s="476" t="s">
        <v>255</v>
      </c>
      <c r="F22" s="304" t="s">
        <v>256</v>
      </c>
      <c r="G22" s="452" t="s">
        <v>257</v>
      </c>
      <c r="H22" s="480" t="s">
        <v>262</v>
      </c>
      <c r="I22" s="304" t="s">
        <v>264</v>
      </c>
      <c r="J22" s="476" t="s">
        <v>263</v>
      </c>
      <c r="K22" s="304" t="s">
        <v>516</v>
      </c>
      <c r="L22" s="481" t="s">
        <v>517</v>
      </c>
    </row>
    <row r="23" spans="1:22" ht="17.25" customHeight="1">
      <c r="B23" s="81" t="s">
        <v>791</v>
      </c>
      <c r="C23" s="421">
        <v>8</v>
      </c>
      <c r="D23" s="421">
        <v>11</v>
      </c>
      <c r="E23" s="421">
        <v>84</v>
      </c>
      <c r="F23" s="421">
        <v>65</v>
      </c>
      <c r="G23" s="421">
        <v>35</v>
      </c>
      <c r="H23" s="421">
        <v>135</v>
      </c>
      <c r="I23" s="421">
        <v>128</v>
      </c>
      <c r="J23" s="421">
        <v>142</v>
      </c>
      <c r="K23" s="421">
        <v>139</v>
      </c>
      <c r="L23" s="421">
        <v>148</v>
      </c>
    </row>
    <row r="24" spans="1:22" ht="17.25" customHeight="1">
      <c r="B24" s="81" t="s">
        <v>792</v>
      </c>
      <c r="C24" s="421">
        <v>4</v>
      </c>
      <c r="D24" s="421">
        <v>1</v>
      </c>
      <c r="E24" s="421">
        <v>1</v>
      </c>
      <c r="F24" s="421" t="s">
        <v>643</v>
      </c>
      <c r="G24" s="1059">
        <v>6</v>
      </c>
      <c r="H24" s="421">
        <v>64</v>
      </c>
      <c r="I24" s="421">
        <v>73</v>
      </c>
      <c r="J24" s="421">
        <v>116</v>
      </c>
      <c r="K24" s="421">
        <v>63</v>
      </c>
      <c r="L24" s="421">
        <v>48</v>
      </c>
    </row>
    <row r="25" spans="1:22" ht="17.25" customHeight="1">
      <c r="B25" s="81" t="s">
        <v>793</v>
      </c>
      <c r="C25" s="463">
        <v>2</v>
      </c>
      <c r="D25" s="118" t="s">
        <v>643</v>
      </c>
      <c r="E25" s="118" t="s">
        <v>643</v>
      </c>
      <c r="F25" s="118" t="s">
        <v>643</v>
      </c>
      <c r="G25" s="118" t="s">
        <v>643</v>
      </c>
      <c r="H25" s="421">
        <v>10</v>
      </c>
      <c r="I25" s="421">
        <v>14</v>
      </c>
      <c r="J25" s="421">
        <v>10</v>
      </c>
      <c r="K25" s="421">
        <v>5</v>
      </c>
      <c r="L25" s="421">
        <v>2</v>
      </c>
    </row>
    <row r="26" spans="1:22" ht="17.25" customHeight="1">
      <c r="B26" s="404" t="s">
        <v>794</v>
      </c>
      <c r="C26" s="463">
        <v>1</v>
      </c>
      <c r="D26" s="118" t="s">
        <v>643</v>
      </c>
      <c r="E26" s="118" t="s">
        <v>643</v>
      </c>
      <c r="F26" s="118" t="s">
        <v>643</v>
      </c>
      <c r="G26" s="118" t="s">
        <v>643</v>
      </c>
      <c r="H26" s="421">
        <v>8</v>
      </c>
      <c r="I26" s="421">
        <v>5</v>
      </c>
      <c r="J26" s="421">
        <v>2</v>
      </c>
      <c r="K26" s="421" t="s">
        <v>643</v>
      </c>
      <c r="L26" s="1069" t="s">
        <v>643</v>
      </c>
    </row>
    <row r="27" spans="1:22" ht="17.25" customHeight="1">
      <c r="B27" s="404" t="s">
        <v>795</v>
      </c>
      <c r="C27" s="463">
        <v>8</v>
      </c>
      <c r="D27" s="118" t="s">
        <v>643</v>
      </c>
      <c r="E27" s="118" t="s">
        <v>643</v>
      </c>
      <c r="F27" s="118" t="s">
        <v>643</v>
      </c>
      <c r="G27" s="118" t="s">
        <v>643</v>
      </c>
      <c r="H27" s="421">
        <v>266</v>
      </c>
      <c r="I27" s="421">
        <v>137</v>
      </c>
      <c r="J27" s="421">
        <v>177</v>
      </c>
      <c r="K27" s="421">
        <v>88</v>
      </c>
      <c r="L27" s="421">
        <v>177</v>
      </c>
    </row>
    <row r="28" spans="1:22" ht="17.25" customHeight="1">
      <c r="B28" s="404" t="s">
        <v>796</v>
      </c>
      <c r="C28" s="483">
        <v>2</v>
      </c>
      <c r="D28" s="1217" t="s">
        <v>643</v>
      </c>
      <c r="E28" s="1217" t="s">
        <v>643</v>
      </c>
      <c r="F28" s="44" t="s">
        <v>643</v>
      </c>
      <c r="G28" s="1061" t="s">
        <v>643</v>
      </c>
      <c r="H28" s="421">
        <v>81</v>
      </c>
      <c r="I28" s="421">
        <v>81</v>
      </c>
      <c r="J28" s="421">
        <v>68</v>
      </c>
      <c r="K28" s="421">
        <v>38</v>
      </c>
      <c r="L28" s="421">
        <v>42</v>
      </c>
    </row>
    <row r="29" spans="1:22" ht="17.25" customHeight="1">
      <c r="B29" s="404" t="s">
        <v>237</v>
      </c>
      <c r="C29" s="421">
        <v>331</v>
      </c>
      <c r="D29" s="421">
        <v>435</v>
      </c>
      <c r="E29" s="421">
        <v>61</v>
      </c>
      <c r="F29" s="421">
        <v>5</v>
      </c>
      <c r="G29" s="421">
        <v>55</v>
      </c>
      <c r="H29" s="421">
        <v>180</v>
      </c>
      <c r="I29" s="421">
        <v>58</v>
      </c>
      <c r="J29" s="421">
        <v>1009</v>
      </c>
      <c r="K29" s="421">
        <v>13</v>
      </c>
      <c r="L29" s="421">
        <v>105</v>
      </c>
    </row>
    <row r="30" spans="1:22" ht="24.75" customHeight="1">
      <c r="B30" s="404" t="s">
        <v>797</v>
      </c>
      <c r="C30" s="421">
        <v>23</v>
      </c>
      <c r="D30" s="421">
        <v>15</v>
      </c>
      <c r="E30" s="421">
        <v>27</v>
      </c>
      <c r="F30" s="421">
        <v>66</v>
      </c>
      <c r="G30" s="421">
        <v>29</v>
      </c>
      <c r="H30" s="421">
        <v>585</v>
      </c>
      <c r="I30" s="421">
        <v>538</v>
      </c>
      <c r="J30" s="421">
        <v>1001</v>
      </c>
      <c r="K30" s="421">
        <v>1150</v>
      </c>
      <c r="L30" s="421">
        <v>1171</v>
      </c>
    </row>
    <row r="31" spans="1:22" ht="17.25" customHeight="1">
      <c r="B31" s="403" t="s">
        <v>320</v>
      </c>
      <c r="C31" s="421">
        <v>26</v>
      </c>
      <c r="D31" s="421">
        <v>35</v>
      </c>
      <c r="E31" s="421">
        <v>117</v>
      </c>
      <c r="F31" s="421">
        <v>58</v>
      </c>
      <c r="G31" s="421">
        <v>65</v>
      </c>
      <c r="H31" s="421">
        <v>1408</v>
      </c>
      <c r="I31" s="421">
        <v>1133</v>
      </c>
      <c r="J31" s="421">
        <v>2300</v>
      </c>
      <c r="K31" s="421">
        <v>2549</v>
      </c>
      <c r="L31" s="421">
        <v>2161</v>
      </c>
    </row>
    <row r="32" spans="1:22" ht="15" customHeight="1">
      <c r="B32" s="305" t="s">
        <v>210</v>
      </c>
      <c r="C32" s="305">
        <f t="shared" ref="C32:L32" si="1">SUM(C23:C31)</f>
        <v>405</v>
      </c>
      <c r="D32" s="306">
        <f t="shared" si="1"/>
        <v>497</v>
      </c>
      <c r="E32" s="305">
        <f t="shared" si="1"/>
        <v>290</v>
      </c>
      <c r="F32" s="306">
        <f t="shared" si="1"/>
        <v>194</v>
      </c>
      <c r="G32" s="306">
        <f t="shared" si="1"/>
        <v>190</v>
      </c>
      <c r="H32" s="306">
        <f t="shared" si="1"/>
        <v>2737</v>
      </c>
      <c r="I32" s="306">
        <f t="shared" si="1"/>
        <v>2167</v>
      </c>
      <c r="J32" s="306">
        <f t="shared" si="1"/>
        <v>4825</v>
      </c>
      <c r="K32" s="306">
        <f t="shared" si="1"/>
        <v>4045</v>
      </c>
      <c r="L32" s="306">
        <f t="shared" si="1"/>
        <v>3854</v>
      </c>
    </row>
    <row r="33" spans="7:12">
      <c r="G33" s="6"/>
      <c r="H33" s="6"/>
      <c r="I33" s="6"/>
      <c r="J33" s="6"/>
      <c r="K33" s="6"/>
      <c r="L33" s="430" t="str">
        <f>CONCATENATE("Source : Superintendent of Police, ",District!$A$1)</f>
        <v>Source : Superintendent of Police, Nadia</v>
      </c>
    </row>
  </sheetData>
  <mergeCells count="9">
    <mergeCell ref="B20:B21"/>
    <mergeCell ref="B1:L1"/>
    <mergeCell ref="B2:L2"/>
    <mergeCell ref="B19:L19"/>
    <mergeCell ref="H20:L20"/>
    <mergeCell ref="B4:B5"/>
    <mergeCell ref="C4:G4"/>
    <mergeCell ref="H4:L4"/>
    <mergeCell ref="C20:G20"/>
  </mergeCells>
  <phoneticPr fontId="0" type="noConversion"/>
  <pageMargins left="0.1" right="0.1" top="0.64" bottom="0.1" header="0.18" footer="0.1"/>
  <pageSetup paperSize="9" orientation="landscape" blackAndWhite="1" r:id="rId1"/>
  <headerFooter alignWithMargins="0"/>
</worksheet>
</file>

<file path=xl/worksheets/sheet74.xml><?xml version="1.0" encoding="utf-8"?>
<worksheet xmlns="http://schemas.openxmlformats.org/spreadsheetml/2006/main" xmlns:r="http://schemas.openxmlformats.org/officeDocument/2006/relationships">
  <dimension ref="A1:X33"/>
  <sheetViews>
    <sheetView workbookViewId="0">
      <selection activeCell="P24" sqref="P24"/>
    </sheetView>
  </sheetViews>
  <sheetFormatPr defaultRowHeight="12.75"/>
  <cols>
    <col min="1" max="1" width="11.42578125" style="405" customWidth="1"/>
    <col min="2" max="2" width="3.28515625" style="405" customWidth="1"/>
    <col min="3" max="3" width="23.5703125" style="405" customWidth="1"/>
    <col min="4" max="13" width="9.7109375" style="405" customWidth="1"/>
    <col min="14" max="16384" width="9.140625" style="405"/>
  </cols>
  <sheetData>
    <row r="1" spans="1:14" ht="14.25" customHeight="1">
      <c r="A1" s="432"/>
      <c r="B1" s="432"/>
      <c r="C1" s="1250" t="s">
        <v>486</v>
      </c>
      <c r="D1" s="1250"/>
      <c r="E1" s="1250"/>
      <c r="F1" s="1250"/>
      <c r="G1" s="1250"/>
      <c r="H1" s="1250"/>
      <c r="I1" s="1250"/>
      <c r="J1" s="1250"/>
      <c r="K1" s="1250"/>
      <c r="L1" s="1250"/>
      <c r="M1" s="1250"/>
    </row>
    <row r="2" spans="1:14" s="412" customFormat="1" ht="15.75" customHeight="1">
      <c r="A2" s="433"/>
      <c r="B2" s="433"/>
      <c r="C2" s="1574" t="str">
        <f>CONCATENATE("Police Stations and Out-posts in different Sub-divisions in the district of ",District!$A$1)</f>
        <v>Police Stations and Out-posts in different Sub-divisions in the district of Nadia</v>
      </c>
      <c r="D2" s="1574"/>
      <c r="E2" s="1574"/>
      <c r="F2" s="1574"/>
      <c r="G2" s="1574"/>
      <c r="H2" s="1574"/>
      <c r="I2" s="1574"/>
      <c r="J2" s="1574"/>
      <c r="K2" s="1574"/>
      <c r="L2" s="1574"/>
      <c r="M2" s="1574"/>
    </row>
    <row r="3" spans="1:14" ht="12" customHeight="1">
      <c r="A3" s="435"/>
      <c r="B3" s="435"/>
      <c r="C3" s="412"/>
      <c r="D3" s="16"/>
      <c r="K3" s="16"/>
      <c r="L3" s="20"/>
      <c r="M3" s="429" t="s">
        <v>223</v>
      </c>
    </row>
    <row r="4" spans="1:14" ht="13.5" customHeight="1">
      <c r="A4" s="433"/>
      <c r="B4" s="1650" t="s">
        <v>1441</v>
      </c>
      <c r="C4" s="1651"/>
      <c r="D4" s="1321" t="s">
        <v>1427</v>
      </c>
      <c r="E4" s="1471"/>
      <c r="F4" s="1471"/>
      <c r="G4" s="1471"/>
      <c r="H4" s="1322"/>
      <c r="I4" s="1321" t="s">
        <v>1428</v>
      </c>
      <c r="J4" s="1471"/>
      <c r="K4" s="1471"/>
      <c r="L4" s="1471"/>
      <c r="M4" s="1322"/>
    </row>
    <row r="5" spans="1:14" ht="13.5" customHeight="1">
      <c r="A5" s="433"/>
      <c r="B5" s="1652"/>
      <c r="C5" s="1653"/>
      <c r="D5" s="135">
        <f>District!C7</f>
        <v>2010</v>
      </c>
      <c r="E5" s="135">
        <f>District!D7</f>
        <v>2011</v>
      </c>
      <c r="F5" s="135">
        <f>District!E7</f>
        <v>2012</v>
      </c>
      <c r="G5" s="135">
        <f>District!F7</f>
        <v>2013</v>
      </c>
      <c r="H5" s="135">
        <f>District!G7</f>
        <v>2014</v>
      </c>
      <c r="I5" s="135">
        <f>District!C7</f>
        <v>2010</v>
      </c>
      <c r="J5" s="135">
        <f>District!D7</f>
        <v>2011</v>
      </c>
      <c r="K5" s="135">
        <f>District!E7</f>
        <v>2012</v>
      </c>
      <c r="L5" s="135">
        <f>District!F7</f>
        <v>2013</v>
      </c>
      <c r="M5" s="135">
        <f>District!G7</f>
        <v>2014</v>
      </c>
    </row>
    <row r="6" spans="1:14" ht="13.5" customHeight="1">
      <c r="A6" s="433"/>
      <c r="B6" s="1259" t="s">
        <v>163</v>
      </c>
      <c r="C6" s="1260"/>
      <c r="D6" s="299" t="s">
        <v>164</v>
      </c>
      <c r="E6" s="225" t="s">
        <v>165</v>
      </c>
      <c r="F6" s="476" t="s">
        <v>166</v>
      </c>
      <c r="G6" s="225" t="s">
        <v>167</v>
      </c>
      <c r="H6" s="226" t="s">
        <v>168</v>
      </c>
      <c r="I6" s="225" t="s">
        <v>169</v>
      </c>
      <c r="J6" s="225" t="s">
        <v>211</v>
      </c>
      <c r="K6" s="226" t="s">
        <v>212</v>
      </c>
      <c r="L6" s="225" t="s">
        <v>213</v>
      </c>
      <c r="M6" s="224" t="s">
        <v>214</v>
      </c>
    </row>
    <row r="7" spans="1:14" ht="22.5" customHeight="1">
      <c r="A7" s="433"/>
      <c r="B7" s="1351" t="s">
        <v>218</v>
      </c>
      <c r="C7" s="1398"/>
      <c r="D7" s="465">
        <v>5</v>
      </c>
      <c r="E7" s="486">
        <v>5</v>
      </c>
      <c r="F7" s="465">
        <v>5</v>
      </c>
      <c r="G7" s="486">
        <v>5</v>
      </c>
      <c r="H7" s="465">
        <v>5</v>
      </c>
      <c r="I7" s="421">
        <v>1</v>
      </c>
      <c r="J7" s="421">
        <v>1</v>
      </c>
      <c r="K7" s="421">
        <v>1</v>
      </c>
      <c r="L7" s="421">
        <v>1</v>
      </c>
      <c r="M7" s="421">
        <v>1</v>
      </c>
      <c r="N7" s="487"/>
    </row>
    <row r="8" spans="1:14" ht="22.5" customHeight="1">
      <c r="A8" s="433"/>
      <c r="B8" s="1351" t="s">
        <v>773</v>
      </c>
      <c r="C8" s="1398"/>
      <c r="D8" s="463">
        <v>7</v>
      </c>
      <c r="E8" s="464">
        <v>7</v>
      </c>
      <c r="F8" s="463">
        <v>8</v>
      </c>
      <c r="G8" s="464">
        <v>8</v>
      </c>
      <c r="H8" s="1091">
        <v>8</v>
      </c>
      <c r="I8" s="421">
        <v>14</v>
      </c>
      <c r="J8" s="421">
        <v>14</v>
      </c>
      <c r="K8" s="421">
        <v>13</v>
      </c>
      <c r="L8" s="421">
        <v>14</v>
      </c>
      <c r="M8" s="421">
        <v>14</v>
      </c>
      <c r="N8" s="487"/>
    </row>
    <row r="9" spans="1:14" ht="22.5" customHeight="1">
      <c r="A9" s="433"/>
      <c r="B9" s="1351" t="s">
        <v>1622</v>
      </c>
      <c r="C9" s="1398"/>
      <c r="D9" s="463">
        <v>6</v>
      </c>
      <c r="E9" s="464">
        <v>6</v>
      </c>
      <c r="F9" s="463">
        <v>6</v>
      </c>
      <c r="G9" s="464">
        <v>6</v>
      </c>
      <c r="H9" s="1091">
        <v>6</v>
      </c>
      <c r="I9" s="421">
        <v>8</v>
      </c>
      <c r="J9" s="421">
        <v>8</v>
      </c>
      <c r="K9" s="421">
        <v>7</v>
      </c>
      <c r="L9" s="421">
        <v>8</v>
      </c>
      <c r="M9" s="421">
        <v>8</v>
      </c>
      <c r="N9" s="487"/>
    </row>
    <row r="10" spans="1:14" ht="22.5" customHeight="1">
      <c r="A10" s="433"/>
      <c r="B10" s="1351" t="s">
        <v>1628</v>
      </c>
      <c r="C10" s="1398"/>
      <c r="D10" s="468">
        <v>3</v>
      </c>
      <c r="E10" s="488">
        <v>3</v>
      </c>
      <c r="F10" s="468">
        <v>3</v>
      </c>
      <c r="G10" s="488">
        <v>3</v>
      </c>
      <c r="H10" s="468">
        <v>3</v>
      </c>
      <c r="I10" s="489">
        <v>5</v>
      </c>
      <c r="J10" s="489">
        <v>5</v>
      </c>
      <c r="K10" s="489">
        <v>5</v>
      </c>
      <c r="L10" s="489">
        <v>5</v>
      </c>
      <c r="M10" s="489">
        <v>5</v>
      </c>
      <c r="N10" s="487"/>
    </row>
    <row r="11" spans="1:14" ht="21" customHeight="1">
      <c r="A11" s="433"/>
      <c r="B11" s="1384" t="s">
        <v>1184</v>
      </c>
      <c r="C11" s="1386"/>
      <c r="D11" s="119">
        <f t="shared" ref="D11:M11" si="0">SUM(D7:D10)</f>
        <v>21</v>
      </c>
      <c r="E11" s="26">
        <f t="shared" si="0"/>
        <v>21</v>
      </c>
      <c r="F11" s="119">
        <f t="shared" si="0"/>
        <v>22</v>
      </c>
      <c r="G11" s="26">
        <f t="shared" si="0"/>
        <v>22</v>
      </c>
      <c r="H11" s="119">
        <f t="shared" si="0"/>
        <v>22</v>
      </c>
      <c r="I11" s="1090">
        <f t="shared" si="0"/>
        <v>28</v>
      </c>
      <c r="J11" s="130">
        <f t="shared" si="0"/>
        <v>28</v>
      </c>
      <c r="K11" s="119">
        <f t="shared" si="0"/>
        <v>26</v>
      </c>
      <c r="L11" s="130">
        <f t="shared" si="0"/>
        <v>28</v>
      </c>
      <c r="M11" s="130">
        <f t="shared" si="0"/>
        <v>28</v>
      </c>
      <c r="N11" s="420"/>
    </row>
    <row r="12" spans="1:14">
      <c r="A12" s="433"/>
      <c r="B12" s="433"/>
      <c r="M12" s="430" t="str">
        <f>CONCATENATE("Source : Superintendent of Police, ", District!$A$1)</f>
        <v>Source : Superintendent of Police, Nadia</v>
      </c>
    </row>
    <row r="14" spans="1:14" ht="13.5" customHeight="1">
      <c r="B14" s="1250" t="s">
        <v>487</v>
      </c>
      <c r="C14" s="1250"/>
      <c r="D14" s="1250"/>
      <c r="E14" s="1250"/>
      <c r="F14" s="1250"/>
      <c r="G14" s="1250"/>
      <c r="H14" s="1250"/>
      <c r="I14" s="1250"/>
      <c r="J14" s="1250"/>
      <c r="K14" s="1250"/>
      <c r="L14" s="1250"/>
      <c r="M14" s="1250"/>
    </row>
    <row r="15" spans="1:14" s="412" customFormat="1" ht="15" customHeight="1">
      <c r="A15" s="405"/>
      <c r="B15" s="1513" t="str">
        <f>CONCATENATE("Strength of Police Force by category in the district of ",District!$A$1)</f>
        <v>Strength of Police Force by category in the district of Nadia</v>
      </c>
      <c r="C15" s="1513"/>
      <c r="D15" s="1513"/>
      <c r="E15" s="1513"/>
      <c r="F15" s="1513"/>
      <c r="G15" s="1513"/>
      <c r="H15" s="1513"/>
      <c r="I15" s="1513"/>
      <c r="J15" s="1513"/>
      <c r="K15" s="1513"/>
      <c r="L15" s="1513"/>
      <c r="M15" s="1513"/>
    </row>
    <row r="16" spans="1:14" ht="12.75" customHeight="1">
      <c r="A16" s="412"/>
      <c r="B16" s="412"/>
      <c r="C16" s="412"/>
      <c r="D16" s="412"/>
      <c r="E16" s="16"/>
      <c r="F16" s="16"/>
      <c r="G16" s="16"/>
      <c r="H16" s="16"/>
      <c r="J16" s="16"/>
      <c r="K16" s="21"/>
      <c r="M16" s="491" t="s">
        <v>223</v>
      </c>
    </row>
    <row r="17" spans="2:24" s="5" customFormat="1" ht="15" customHeight="1">
      <c r="B17" s="1268" t="s">
        <v>803</v>
      </c>
      <c r="C17" s="1265"/>
      <c r="D17" s="1253">
        <f>District!C10</f>
        <v>2010</v>
      </c>
      <c r="E17" s="1252"/>
      <c r="F17" s="1253">
        <f>District!E10</f>
        <v>2011</v>
      </c>
      <c r="G17" s="1252"/>
      <c r="H17" s="1253">
        <f>District!G10</f>
        <v>2012</v>
      </c>
      <c r="I17" s="1252"/>
      <c r="J17" s="1253">
        <f>District!I10</f>
        <v>2013</v>
      </c>
      <c r="K17" s="1252"/>
      <c r="L17" s="1253">
        <f>District!K10</f>
        <v>2014</v>
      </c>
      <c r="M17" s="1252"/>
    </row>
    <row r="18" spans="2:24" ht="15" customHeight="1">
      <c r="B18" s="1259" t="s">
        <v>163</v>
      </c>
      <c r="C18" s="1327"/>
      <c r="D18" s="1259" t="s">
        <v>164</v>
      </c>
      <c r="E18" s="1260"/>
      <c r="F18" s="1327" t="s">
        <v>165</v>
      </c>
      <c r="G18" s="1327"/>
      <c r="H18" s="1654" t="s">
        <v>166</v>
      </c>
      <c r="I18" s="1655"/>
      <c r="J18" s="1259" t="s">
        <v>167</v>
      </c>
      <c r="K18" s="1260"/>
      <c r="L18" s="1327" t="s">
        <v>168</v>
      </c>
      <c r="M18" s="1260"/>
    </row>
    <row r="19" spans="2:24" ht="18" customHeight="1">
      <c r="B19" s="1268" t="s">
        <v>790</v>
      </c>
      <c r="C19" s="1266"/>
      <c r="D19" s="1410">
        <v>1</v>
      </c>
      <c r="E19" s="1411"/>
      <c r="F19" s="1410">
        <v>1</v>
      </c>
      <c r="G19" s="1411"/>
      <c r="H19" s="1410">
        <v>1</v>
      </c>
      <c r="I19" s="1411"/>
      <c r="J19" s="1410">
        <v>1</v>
      </c>
      <c r="K19" s="1411"/>
      <c r="L19" s="1410">
        <v>1</v>
      </c>
      <c r="M19" s="1411"/>
      <c r="Q19"/>
      <c r="R19"/>
      <c r="S19"/>
      <c r="T19"/>
      <c r="U19"/>
      <c r="V19"/>
      <c r="W19"/>
      <c r="X19"/>
    </row>
    <row r="20" spans="2:24" ht="18" customHeight="1">
      <c r="B20" s="1351" t="s">
        <v>994</v>
      </c>
      <c r="C20" s="1398"/>
      <c r="D20" s="1244">
        <v>1</v>
      </c>
      <c r="E20" s="1245"/>
      <c r="F20" s="1244">
        <v>1</v>
      </c>
      <c r="G20" s="1245"/>
      <c r="H20" s="1244">
        <v>1</v>
      </c>
      <c r="I20" s="1245"/>
      <c r="J20" s="1244">
        <v>1</v>
      </c>
      <c r="K20" s="1245"/>
      <c r="L20" s="1244">
        <v>1</v>
      </c>
      <c r="M20" s="1245"/>
      <c r="Q20"/>
      <c r="R20"/>
      <c r="S20"/>
      <c r="T20"/>
      <c r="U20"/>
      <c r="V20"/>
      <c r="W20"/>
      <c r="X20"/>
    </row>
    <row r="21" spans="2:24" ht="18" customHeight="1">
      <c r="B21" s="1351" t="s">
        <v>995</v>
      </c>
      <c r="C21" s="1398"/>
      <c r="D21" s="1244">
        <v>5</v>
      </c>
      <c r="E21" s="1245"/>
      <c r="F21" s="1244">
        <v>5</v>
      </c>
      <c r="G21" s="1245"/>
      <c r="H21" s="1244">
        <v>5</v>
      </c>
      <c r="I21" s="1245"/>
      <c r="J21" s="1244">
        <v>5</v>
      </c>
      <c r="K21" s="1245"/>
      <c r="L21" s="1244">
        <v>4</v>
      </c>
      <c r="M21" s="1245"/>
      <c r="Q21"/>
      <c r="R21"/>
      <c r="S21"/>
      <c r="T21"/>
      <c r="U21"/>
      <c r="V21"/>
      <c r="W21"/>
      <c r="X21"/>
    </row>
    <row r="22" spans="2:24" ht="18" customHeight="1">
      <c r="B22" s="1336" t="s">
        <v>806</v>
      </c>
      <c r="C22" s="1279"/>
      <c r="D22" s="1244">
        <v>3</v>
      </c>
      <c r="E22" s="1245"/>
      <c r="F22" s="1244">
        <v>3</v>
      </c>
      <c r="G22" s="1245"/>
      <c r="H22" s="1244">
        <v>3</v>
      </c>
      <c r="I22" s="1245"/>
      <c r="J22" s="1244">
        <v>3</v>
      </c>
      <c r="K22" s="1245"/>
      <c r="L22" s="1244">
        <v>3</v>
      </c>
      <c r="M22" s="1245"/>
      <c r="Q22"/>
      <c r="R22"/>
      <c r="S22"/>
      <c r="T22"/>
      <c r="U22"/>
      <c r="V22"/>
      <c r="W22"/>
      <c r="X22"/>
    </row>
    <row r="23" spans="2:24" ht="18" customHeight="1">
      <c r="B23" s="1336" t="s">
        <v>807</v>
      </c>
      <c r="C23" s="1279"/>
      <c r="D23" s="1244">
        <v>23</v>
      </c>
      <c r="E23" s="1245"/>
      <c r="F23" s="1244">
        <v>23</v>
      </c>
      <c r="G23" s="1245"/>
      <c r="H23" s="1244">
        <v>17</v>
      </c>
      <c r="I23" s="1245"/>
      <c r="J23" s="1244">
        <v>22</v>
      </c>
      <c r="K23" s="1245"/>
      <c r="L23" s="1244">
        <v>17</v>
      </c>
      <c r="M23" s="1245"/>
      <c r="Q23"/>
      <c r="R23"/>
      <c r="S23"/>
      <c r="T23"/>
      <c r="U23"/>
      <c r="V23"/>
      <c r="W23"/>
      <c r="X23"/>
    </row>
    <row r="24" spans="2:24" ht="18" customHeight="1">
      <c r="B24" s="1336" t="s">
        <v>808</v>
      </c>
      <c r="C24" s="1279"/>
      <c r="D24" s="1244">
        <v>168</v>
      </c>
      <c r="E24" s="1245"/>
      <c r="F24" s="1244">
        <v>182</v>
      </c>
      <c r="G24" s="1245"/>
      <c r="H24" s="1244">
        <v>160</v>
      </c>
      <c r="I24" s="1245"/>
      <c r="J24" s="1244">
        <v>161</v>
      </c>
      <c r="K24" s="1245"/>
      <c r="L24" s="1244">
        <v>169</v>
      </c>
      <c r="M24" s="1245"/>
      <c r="Q24"/>
      <c r="R24"/>
      <c r="S24"/>
      <c r="T24"/>
      <c r="U24"/>
      <c r="V24"/>
      <c r="W24"/>
      <c r="X24"/>
    </row>
    <row r="25" spans="2:24" ht="18" customHeight="1">
      <c r="B25" s="1336" t="s">
        <v>84</v>
      </c>
      <c r="C25" s="1279"/>
      <c r="D25" s="1244" t="s">
        <v>643</v>
      </c>
      <c r="E25" s="1245"/>
      <c r="F25" s="1244" t="s">
        <v>643</v>
      </c>
      <c r="G25" s="1245"/>
      <c r="H25" s="1244" t="s">
        <v>643</v>
      </c>
      <c r="I25" s="1245"/>
      <c r="J25" s="1244" t="s">
        <v>643</v>
      </c>
      <c r="K25" s="1245"/>
      <c r="L25" s="1244">
        <v>71</v>
      </c>
      <c r="M25" s="1245"/>
      <c r="Q25"/>
      <c r="R25"/>
      <c r="S25"/>
      <c r="T25"/>
      <c r="U25"/>
      <c r="V25"/>
      <c r="W25"/>
      <c r="X25"/>
    </row>
    <row r="26" spans="2:24" ht="18" customHeight="1">
      <c r="B26" s="1336" t="s">
        <v>809</v>
      </c>
      <c r="C26" s="1279"/>
      <c r="D26" s="1244" t="s">
        <v>643</v>
      </c>
      <c r="E26" s="1245"/>
      <c r="F26" s="1244" t="s">
        <v>643</v>
      </c>
      <c r="G26" s="1245"/>
      <c r="H26" s="1244" t="s">
        <v>643</v>
      </c>
      <c r="I26" s="1245"/>
      <c r="J26" s="1244" t="s">
        <v>643</v>
      </c>
      <c r="K26" s="1245"/>
      <c r="L26" s="1656" t="s">
        <v>643</v>
      </c>
      <c r="M26" s="1245"/>
      <c r="Q26"/>
      <c r="R26"/>
      <c r="S26"/>
      <c r="T26"/>
      <c r="U26"/>
      <c r="V26"/>
      <c r="W26"/>
      <c r="X26"/>
    </row>
    <row r="27" spans="2:24" ht="18" customHeight="1">
      <c r="B27" s="1336" t="s">
        <v>996</v>
      </c>
      <c r="C27" s="1279"/>
      <c r="D27" s="1244">
        <v>300</v>
      </c>
      <c r="E27" s="1245"/>
      <c r="F27" s="1244">
        <v>291</v>
      </c>
      <c r="G27" s="1245"/>
      <c r="H27" s="1244">
        <v>294</v>
      </c>
      <c r="I27" s="1245"/>
      <c r="J27" s="1244">
        <v>305</v>
      </c>
      <c r="K27" s="1245"/>
      <c r="L27" s="1244">
        <v>207</v>
      </c>
      <c r="M27" s="1245"/>
      <c r="Q27"/>
      <c r="R27"/>
      <c r="S27"/>
      <c r="T27"/>
      <c r="U27"/>
      <c r="V27"/>
      <c r="W27"/>
      <c r="X27"/>
    </row>
    <row r="28" spans="2:24" ht="18" customHeight="1">
      <c r="B28" s="1336" t="s">
        <v>1619</v>
      </c>
      <c r="C28" s="1279"/>
      <c r="D28" s="1244"/>
      <c r="E28" s="1245"/>
      <c r="F28" s="1244"/>
      <c r="G28" s="1245"/>
      <c r="H28" s="1244"/>
      <c r="I28" s="1245"/>
      <c r="J28" s="1244"/>
      <c r="K28" s="1245"/>
      <c r="L28" s="1244"/>
      <c r="M28" s="1245"/>
      <c r="Q28"/>
      <c r="R28"/>
      <c r="S28"/>
      <c r="T28"/>
      <c r="U28"/>
      <c r="V28"/>
      <c r="W28"/>
      <c r="X28"/>
    </row>
    <row r="29" spans="2:24" ht="18" customHeight="1">
      <c r="B29" s="1336" t="s">
        <v>810</v>
      </c>
      <c r="C29" s="1279"/>
      <c r="D29" s="1244" t="s">
        <v>643</v>
      </c>
      <c r="E29" s="1245"/>
      <c r="F29" s="1244" t="s">
        <v>643</v>
      </c>
      <c r="G29" s="1245"/>
      <c r="H29" s="1244" t="s">
        <v>643</v>
      </c>
      <c r="I29" s="1245"/>
      <c r="J29" s="1244" t="s">
        <v>643</v>
      </c>
      <c r="K29" s="1245"/>
      <c r="L29" s="1656" t="s">
        <v>643</v>
      </c>
      <c r="M29" s="1245"/>
      <c r="Q29"/>
      <c r="R29"/>
      <c r="S29"/>
      <c r="T29"/>
      <c r="U29"/>
      <c r="V29"/>
      <c r="W29"/>
      <c r="X29"/>
    </row>
    <row r="30" spans="2:24" ht="18" customHeight="1">
      <c r="B30" s="1334" t="s">
        <v>384</v>
      </c>
      <c r="C30" s="1280"/>
      <c r="D30" s="1246">
        <v>1451</v>
      </c>
      <c r="E30" s="1247"/>
      <c r="F30" s="1246">
        <v>1366</v>
      </c>
      <c r="G30" s="1247"/>
      <c r="H30" s="1246">
        <v>1521</v>
      </c>
      <c r="I30" s="1247"/>
      <c r="J30" s="1246">
        <v>1644</v>
      </c>
      <c r="K30" s="1247"/>
      <c r="L30" s="1246">
        <v>1677</v>
      </c>
      <c r="M30" s="1247"/>
      <c r="Q30"/>
      <c r="R30"/>
      <c r="S30"/>
      <c r="T30"/>
      <c r="U30"/>
      <c r="V30"/>
      <c r="W30"/>
      <c r="X30"/>
    </row>
    <row r="31" spans="2:24" ht="18" customHeight="1">
      <c r="B31" s="1384" t="s">
        <v>210</v>
      </c>
      <c r="C31" s="1385"/>
      <c r="D31" s="1384">
        <f>SUM(D19:D30)</f>
        <v>1952</v>
      </c>
      <c r="E31" s="1386"/>
      <c r="F31" s="1384">
        <f>SUM(F19:F30)</f>
        <v>1872</v>
      </c>
      <c r="G31" s="1386"/>
      <c r="H31" s="1384">
        <f>SUM(H19:H30)</f>
        <v>2002</v>
      </c>
      <c r="I31" s="1386"/>
      <c r="J31" s="1385">
        <f>SUM(J19:J30)</f>
        <v>2142</v>
      </c>
      <c r="K31" s="1386"/>
      <c r="L31" s="1385">
        <f>SUM(L19:L30)</f>
        <v>2150</v>
      </c>
      <c r="M31" s="1386"/>
      <c r="Q31"/>
      <c r="R31"/>
      <c r="S31"/>
      <c r="T31"/>
      <c r="U31"/>
      <c r="V31"/>
      <c r="W31"/>
      <c r="X31"/>
    </row>
    <row r="32" spans="2:24" ht="14.25" customHeight="1">
      <c r="B32" s="497" t="s">
        <v>1110</v>
      </c>
      <c r="D32" s="478"/>
      <c r="E32" s="450"/>
      <c r="F32" s="450"/>
      <c r="G32" s="30"/>
      <c r="H32" s="6"/>
      <c r="J32" s="450"/>
      <c r="K32" s="450"/>
      <c r="L32" s="450"/>
      <c r="M32" s="430" t="str">
        <f>CONCATENATE("Source : Superintendent of Police, ",District!$A$1)</f>
        <v>Source : Superintendent of Police, Nadia</v>
      </c>
    </row>
    <row r="33" spans="3:3">
      <c r="C33" s="498"/>
    </row>
  </sheetData>
  <mergeCells count="98">
    <mergeCell ref="B27:C27"/>
    <mergeCell ref="B28:C28"/>
    <mergeCell ref="F31:G31"/>
    <mergeCell ref="J31:K31"/>
    <mergeCell ref="B29:C29"/>
    <mergeCell ref="D29:E29"/>
    <mergeCell ref="D27:E28"/>
    <mergeCell ref="H27:I28"/>
    <mergeCell ref="J27:K28"/>
    <mergeCell ref="B31:C31"/>
    <mergeCell ref="B30:C30"/>
    <mergeCell ref="L31:M31"/>
    <mergeCell ref="D30:E30"/>
    <mergeCell ref="D31:E31"/>
    <mergeCell ref="F30:G30"/>
    <mergeCell ref="H30:I30"/>
    <mergeCell ref="H31:I31"/>
    <mergeCell ref="L29:M29"/>
    <mergeCell ref="J30:K30"/>
    <mergeCell ref="J29:K29"/>
    <mergeCell ref="F29:G29"/>
    <mergeCell ref="J25:K25"/>
    <mergeCell ref="L26:M26"/>
    <mergeCell ref="H26:I26"/>
    <mergeCell ref="J26:K26"/>
    <mergeCell ref="L25:M25"/>
    <mergeCell ref="F25:G25"/>
    <mergeCell ref="F26:G26"/>
    <mergeCell ref="H29:I29"/>
    <mergeCell ref="H25:I25"/>
    <mergeCell ref="F27:G28"/>
    <mergeCell ref="L27:M28"/>
    <mergeCell ref="L30:M30"/>
    <mergeCell ref="D19:E19"/>
    <mergeCell ref="D25:E25"/>
    <mergeCell ref="L20:M20"/>
    <mergeCell ref="J23:K23"/>
    <mergeCell ref="D17:E17"/>
    <mergeCell ref="J17:K17"/>
    <mergeCell ref="L24:M24"/>
    <mergeCell ref="J18:K18"/>
    <mergeCell ref="L21:M21"/>
    <mergeCell ref="L22:M22"/>
    <mergeCell ref="J22:K22"/>
    <mergeCell ref="L18:M18"/>
    <mergeCell ref="J19:K19"/>
    <mergeCell ref="L23:M23"/>
    <mergeCell ref="J24:K24"/>
    <mergeCell ref="D24:E24"/>
    <mergeCell ref="B24:C24"/>
    <mergeCell ref="B6:C6"/>
    <mergeCell ref="B7:C7"/>
    <mergeCell ref="B8:C8"/>
    <mergeCell ref="B10:C10"/>
    <mergeCell ref="B9:C9"/>
    <mergeCell ref="B23:C23"/>
    <mergeCell ref="B14:M14"/>
    <mergeCell ref="F17:G17"/>
    <mergeCell ref="H17:I17"/>
    <mergeCell ref="B19:C19"/>
    <mergeCell ref="B21:C21"/>
    <mergeCell ref="H19:I19"/>
    <mergeCell ref="F19:G19"/>
    <mergeCell ref="B20:C20"/>
    <mergeCell ref="F21:G21"/>
    <mergeCell ref="F22:G22"/>
    <mergeCell ref="F23:G23"/>
    <mergeCell ref="D22:E22"/>
    <mergeCell ref="D23:E23"/>
    <mergeCell ref="L19:M19"/>
    <mergeCell ref="D26:E26"/>
    <mergeCell ref="B25:C25"/>
    <mergeCell ref="B26:C26"/>
    <mergeCell ref="B22:C22"/>
    <mergeCell ref="H21:I21"/>
    <mergeCell ref="H22:I22"/>
    <mergeCell ref="D20:E20"/>
    <mergeCell ref="J20:K20"/>
    <mergeCell ref="H23:I23"/>
    <mergeCell ref="H24:I24"/>
    <mergeCell ref="D21:E21"/>
    <mergeCell ref="J21:K21"/>
    <mergeCell ref="H20:I20"/>
    <mergeCell ref="F24:G24"/>
    <mergeCell ref="F20:G20"/>
    <mergeCell ref="B11:C11"/>
    <mergeCell ref="B17:C17"/>
    <mergeCell ref="D18:E18"/>
    <mergeCell ref="C1:M1"/>
    <mergeCell ref="C2:M2"/>
    <mergeCell ref="D4:H4"/>
    <mergeCell ref="I4:M4"/>
    <mergeCell ref="B4:C5"/>
    <mergeCell ref="L17:M17"/>
    <mergeCell ref="H18:I18"/>
    <mergeCell ref="F18:G18"/>
    <mergeCell ref="B15:M15"/>
    <mergeCell ref="B18:C18"/>
  </mergeCells>
  <phoneticPr fontId="0" type="noConversion"/>
  <pageMargins left="0.1" right="0.1" top="0.23" bottom="0.1" header="0.5" footer="0.16"/>
  <pageSetup paperSize="9" orientation="landscape" blackAndWhite="1" r:id="rId1"/>
  <headerFooter alignWithMargins="0"/>
  <drawing r:id="rId2"/>
</worksheet>
</file>

<file path=xl/worksheets/sheet75.xml><?xml version="1.0" encoding="utf-8"?>
<worksheet xmlns="http://schemas.openxmlformats.org/spreadsheetml/2006/main" xmlns:r="http://schemas.openxmlformats.org/officeDocument/2006/relationships">
  <dimension ref="A1:Q28"/>
  <sheetViews>
    <sheetView workbookViewId="0">
      <selection activeCell="I31" sqref="I31"/>
    </sheetView>
  </sheetViews>
  <sheetFormatPr defaultRowHeight="12.75"/>
  <cols>
    <col min="1" max="1" width="1.7109375" style="405" customWidth="1"/>
    <col min="2" max="2" width="19.7109375" style="405" customWidth="1"/>
    <col min="3" max="3" width="12.7109375" style="405" customWidth="1"/>
    <col min="4" max="4" width="10.28515625" style="405" customWidth="1"/>
    <col min="5" max="5" width="8.42578125" style="405" customWidth="1"/>
    <col min="6" max="6" width="10.28515625" style="405" customWidth="1"/>
    <col min="7" max="7" width="7.85546875" style="405" customWidth="1"/>
    <col min="8" max="8" width="10.28515625" style="405" customWidth="1"/>
    <col min="9" max="9" width="8.42578125" style="405" customWidth="1"/>
    <col min="10" max="10" width="10.85546875" style="405" bestFit="1" customWidth="1"/>
    <col min="11" max="11" width="8.5703125" style="405" customWidth="1"/>
    <col min="12" max="12" width="10.42578125" style="405" customWidth="1"/>
    <col min="13" max="13" width="8.7109375" style="405" customWidth="1"/>
    <col min="14" max="14" width="10.85546875" style="405" customWidth="1"/>
    <col min="15" max="16384" width="9.140625" style="405"/>
  </cols>
  <sheetData>
    <row r="1" spans="1:17" ht="18.75" customHeight="1">
      <c r="A1" s="432"/>
      <c r="B1" s="1261" t="s">
        <v>489</v>
      </c>
      <c r="C1" s="1261"/>
      <c r="D1" s="1261"/>
      <c r="E1" s="1261"/>
      <c r="F1" s="1261"/>
      <c r="G1" s="1261"/>
      <c r="H1" s="1261"/>
      <c r="I1" s="1261"/>
      <c r="J1" s="1261"/>
      <c r="K1" s="1261"/>
      <c r="L1" s="1261"/>
      <c r="M1" s="1261"/>
      <c r="N1" s="1261"/>
    </row>
    <row r="2" spans="1:17" s="412" customFormat="1" ht="18" customHeight="1">
      <c r="A2" s="433"/>
      <c r="B2" s="1326" t="str">
        <f>CONCATENATE("Population, Receipt &amp; Expenditure of Municipalities &amp; Notified Areas in the district of ",District!$A$1)</f>
        <v>Population, Receipt &amp; Expenditure of Municipalities &amp; Notified Areas in the district of Nadia</v>
      </c>
      <c r="C2" s="1326"/>
      <c r="D2" s="1326"/>
      <c r="E2" s="1326"/>
      <c r="F2" s="1326"/>
      <c r="G2" s="1326"/>
      <c r="H2" s="1326"/>
      <c r="I2" s="1326"/>
      <c r="J2" s="1326"/>
      <c r="K2" s="1326"/>
      <c r="L2" s="1326"/>
      <c r="M2" s="1326"/>
      <c r="N2" s="1326"/>
    </row>
    <row r="3" spans="1:17" ht="12.75" customHeight="1">
      <c r="A3" s="435"/>
      <c r="B3" s="412"/>
      <c r="C3" s="436"/>
      <c r="D3" s="436"/>
      <c r="E3" s="436"/>
      <c r="F3" s="436"/>
      <c r="G3" s="436"/>
      <c r="H3" s="436"/>
      <c r="I3" s="436"/>
      <c r="J3" s="436"/>
      <c r="K3" s="436"/>
      <c r="L3" s="436"/>
      <c r="M3" s="436"/>
      <c r="N3" s="451" t="s">
        <v>1065</v>
      </c>
    </row>
    <row r="4" spans="1:17" ht="18" customHeight="1">
      <c r="A4" s="433"/>
      <c r="B4" s="1658" t="s">
        <v>825</v>
      </c>
      <c r="C4" s="1658" t="s">
        <v>830</v>
      </c>
      <c r="D4" s="1262" t="s">
        <v>1007</v>
      </c>
      <c r="E4" s="1253" t="str">
        <f>District!C11</f>
        <v>2009-10</v>
      </c>
      <c r="F4" s="1252"/>
      <c r="G4" s="1253" t="str">
        <f>District!E11</f>
        <v>2010-11</v>
      </c>
      <c r="H4" s="1252"/>
      <c r="I4" s="1253" t="str">
        <f>District!G11</f>
        <v>2011-12</v>
      </c>
      <c r="J4" s="1252"/>
      <c r="K4" s="1253" t="str">
        <f>District!I11</f>
        <v>2012-13</v>
      </c>
      <c r="L4" s="1252"/>
      <c r="M4" s="1253" t="str">
        <f>District!K11</f>
        <v>2013-14</v>
      </c>
      <c r="N4" s="1252"/>
    </row>
    <row r="5" spans="1:17" ht="21.75" customHeight="1">
      <c r="A5" s="433"/>
      <c r="B5" s="1659"/>
      <c r="C5" s="1659"/>
      <c r="D5" s="1263"/>
      <c r="E5" s="500" t="s">
        <v>831</v>
      </c>
      <c r="F5" s="501" t="s">
        <v>666</v>
      </c>
      <c r="G5" s="500" t="s">
        <v>831</v>
      </c>
      <c r="H5" s="501" t="s">
        <v>666</v>
      </c>
      <c r="I5" s="500" t="s">
        <v>831</v>
      </c>
      <c r="J5" s="501" t="s">
        <v>666</v>
      </c>
      <c r="K5" s="500" t="s">
        <v>831</v>
      </c>
      <c r="L5" s="502" t="s">
        <v>666</v>
      </c>
      <c r="M5" s="500" t="s">
        <v>831</v>
      </c>
      <c r="N5" s="502" t="s">
        <v>666</v>
      </c>
    </row>
    <row r="6" spans="1:17" ht="18" customHeight="1">
      <c r="A6" s="433"/>
      <c r="B6" s="225" t="s">
        <v>163</v>
      </c>
      <c r="C6" s="224" t="s">
        <v>164</v>
      </c>
      <c r="D6" s="224" t="s">
        <v>165</v>
      </c>
      <c r="E6" s="225" t="s">
        <v>166</v>
      </c>
      <c r="F6" s="224" t="s">
        <v>167</v>
      </c>
      <c r="G6" s="225" t="s">
        <v>168</v>
      </c>
      <c r="H6" s="224" t="s">
        <v>169</v>
      </c>
      <c r="I6" s="225" t="s">
        <v>211</v>
      </c>
      <c r="J6" s="224" t="s">
        <v>212</v>
      </c>
      <c r="K6" s="304" t="s">
        <v>213</v>
      </c>
      <c r="L6" s="481" t="s">
        <v>214</v>
      </c>
      <c r="M6" s="304" t="s">
        <v>253</v>
      </c>
      <c r="N6" s="481" t="s">
        <v>254</v>
      </c>
    </row>
    <row r="7" spans="1:17" ht="19.5" customHeight="1">
      <c r="A7" s="433"/>
      <c r="B7" s="204" t="s">
        <v>1127</v>
      </c>
      <c r="C7" s="503" t="s">
        <v>1258</v>
      </c>
      <c r="D7" s="465">
        <f>VLOOKUP(B7,'2.2'!$B$5:$D$35,3,FALSE)</f>
        <v>153062</v>
      </c>
      <c r="E7" s="465">
        <v>182558</v>
      </c>
      <c r="F7" s="493">
        <v>299390</v>
      </c>
      <c r="G7" s="504">
        <v>190026</v>
      </c>
      <c r="H7" s="440">
        <v>303647</v>
      </c>
      <c r="I7" s="442">
        <v>383477</v>
      </c>
      <c r="J7" s="504">
        <v>246019</v>
      </c>
      <c r="K7" s="442" t="s">
        <v>1170</v>
      </c>
      <c r="L7" s="504" t="s">
        <v>1170</v>
      </c>
      <c r="M7" s="442">
        <v>545820</v>
      </c>
      <c r="N7" s="504">
        <v>540841</v>
      </c>
    </row>
    <row r="8" spans="1:17" ht="19.5" customHeight="1">
      <c r="A8" s="433"/>
      <c r="B8" s="81" t="s">
        <v>768</v>
      </c>
      <c r="C8" s="503" t="s">
        <v>1259</v>
      </c>
      <c r="D8" s="463">
        <f>VLOOKUP(B8,'2.2'!$B$5:$D$35,3,FALSE)</f>
        <v>75365</v>
      </c>
      <c r="E8" s="463">
        <v>128562</v>
      </c>
      <c r="F8" s="421">
        <v>126797</v>
      </c>
      <c r="G8" s="505">
        <v>133660</v>
      </c>
      <c r="H8" s="443">
        <v>114171</v>
      </c>
      <c r="I8" s="442">
        <v>184745</v>
      </c>
      <c r="J8" s="505">
        <v>176759</v>
      </c>
      <c r="K8" s="442">
        <v>216487</v>
      </c>
      <c r="L8" s="505">
        <v>212624</v>
      </c>
      <c r="M8" s="442">
        <v>599660</v>
      </c>
      <c r="N8" s="505">
        <v>428503</v>
      </c>
      <c r="P8" s="464"/>
      <c r="Q8" s="464"/>
    </row>
    <row r="9" spans="1:17" ht="19.5" customHeight="1">
      <c r="A9" s="433"/>
      <c r="B9" s="81" t="s">
        <v>1625</v>
      </c>
      <c r="C9" s="503" t="s">
        <v>1260</v>
      </c>
      <c r="D9" s="463">
        <f>VLOOKUP(B9,'2.2'!$B$5:$D$35,3,FALSE)</f>
        <v>30799</v>
      </c>
      <c r="E9" s="463">
        <v>49048</v>
      </c>
      <c r="F9" s="421">
        <v>51618</v>
      </c>
      <c r="G9" s="505">
        <v>86732</v>
      </c>
      <c r="H9" s="443">
        <v>64333</v>
      </c>
      <c r="I9" s="442">
        <v>94777</v>
      </c>
      <c r="J9" s="505">
        <v>84187</v>
      </c>
      <c r="K9" s="442">
        <v>108144</v>
      </c>
      <c r="L9" s="505">
        <v>116048</v>
      </c>
      <c r="M9" s="442">
        <v>267289</v>
      </c>
      <c r="N9" s="505">
        <v>189247</v>
      </c>
      <c r="P9" s="469"/>
      <c r="Q9" s="464"/>
    </row>
    <row r="10" spans="1:17" ht="19.5" customHeight="1">
      <c r="A10" s="433"/>
      <c r="B10" s="81" t="s">
        <v>1133</v>
      </c>
      <c r="C10" s="503" t="s">
        <v>1261</v>
      </c>
      <c r="D10" s="463">
        <f>VLOOKUP(B10,'2.2'!$B$5:$D$35,3,FALSE)</f>
        <v>151777</v>
      </c>
      <c r="E10" s="463">
        <v>217881</v>
      </c>
      <c r="F10" s="421">
        <v>137064</v>
      </c>
      <c r="G10" s="505">
        <v>251659</v>
      </c>
      <c r="H10" s="443">
        <v>159430</v>
      </c>
      <c r="I10" s="442">
        <v>284767</v>
      </c>
      <c r="J10" s="505">
        <v>176439</v>
      </c>
      <c r="K10" s="442">
        <v>170851</v>
      </c>
      <c r="L10" s="505">
        <v>178866</v>
      </c>
      <c r="M10" s="442">
        <v>218417</v>
      </c>
      <c r="N10" s="505">
        <v>189222</v>
      </c>
      <c r="P10" s="464"/>
      <c r="Q10" s="464"/>
    </row>
    <row r="11" spans="1:17" ht="19.5" customHeight="1">
      <c r="A11" s="433"/>
      <c r="B11" s="81" t="s">
        <v>1130</v>
      </c>
      <c r="C11" s="503" t="s">
        <v>85</v>
      </c>
      <c r="D11" s="463">
        <f>VLOOKUP(B11,'2.2'!$B$5:$D$35,3,FALSE)</f>
        <v>125543</v>
      </c>
      <c r="E11" s="463">
        <v>130032</v>
      </c>
      <c r="F11" s="421">
        <v>126061</v>
      </c>
      <c r="G11" s="505">
        <v>179015</v>
      </c>
      <c r="H11" s="443">
        <v>144306</v>
      </c>
      <c r="I11" s="442">
        <v>248139</v>
      </c>
      <c r="J11" s="505">
        <v>190907</v>
      </c>
      <c r="K11" s="442">
        <v>275127</v>
      </c>
      <c r="L11" s="505">
        <v>278679</v>
      </c>
      <c r="M11" s="442">
        <v>500232</v>
      </c>
      <c r="N11" s="505">
        <v>295949</v>
      </c>
      <c r="P11" s="464"/>
      <c r="Q11" s="464"/>
    </row>
    <row r="12" spans="1:17" ht="19.5" customHeight="1">
      <c r="A12" s="433"/>
      <c r="B12" s="81" t="s">
        <v>770</v>
      </c>
      <c r="C12" s="503" t="s">
        <v>1262</v>
      </c>
      <c r="D12" s="463">
        <f>VLOOKUP(B12,'2.2'!$B$5:$D$35,3,FALSE)</f>
        <v>95203</v>
      </c>
      <c r="E12" s="463">
        <v>196850</v>
      </c>
      <c r="F12" s="421">
        <v>185825</v>
      </c>
      <c r="G12" s="505">
        <v>147570</v>
      </c>
      <c r="H12" s="443">
        <v>158968</v>
      </c>
      <c r="I12" s="442">
        <v>171627</v>
      </c>
      <c r="J12" s="505">
        <v>53230</v>
      </c>
      <c r="K12" s="442">
        <v>171638</v>
      </c>
      <c r="L12" s="505">
        <v>200067</v>
      </c>
      <c r="M12" s="442">
        <v>183423</v>
      </c>
      <c r="N12" s="505">
        <v>159466</v>
      </c>
      <c r="P12" s="464"/>
      <c r="Q12" s="464"/>
    </row>
    <row r="13" spans="1:17" ht="19.5" customHeight="1">
      <c r="A13" s="433"/>
      <c r="B13" s="81" t="s">
        <v>771</v>
      </c>
      <c r="C13" s="503" t="s">
        <v>86</v>
      </c>
      <c r="D13" s="463">
        <f>VLOOKUP(B13,'2.2'!$B$5:$D$35,3,FALSE)</f>
        <v>100575</v>
      </c>
      <c r="E13" s="463">
        <v>529476</v>
      </c>
      <c r="F13" s="421">
        <v>355906</v>
      </c>
      <c r="G13" s="505">
        <v>373911</v>
      </c>
      <c r="H13" s="443">
        <v>324314</v>
      </c>
      <c r="I13" s="442">
        <v>605611</v>
      </c>
      <c r="J13" s="505">
        <v>417528</v>
      </c>
      <c r="K13" s="442">
        <v>488178</v>
      </c>
      <c r="L13" s="505">
        <v>478012</v>
      </c>
      <c r="M13" s="442">
        <v>507002</v>
      </c>
      <c r="N13" s="505">
        <v>498687</v>
      </c>
      <c r="P13" s="464"/>
      <c r="Q13" s="464"/>
    </row>
    <row r="14" spans="1:17" ht="19.5" customHeight="1">
      <c r="A14" s="433"/>
      <c r="B14" s="81" t="s">
        <v>1629</v>
      </c>
      <c r="C14" s="503" t="s">
        <v>87</v>
      </c>
      <c r="D14" s="463">
        <f>VLOOKUP(B14,'2.2'!$B$5:$D$35,3,FALSE)</f>
        <v>58998</v>
      </c>
      <c r="E14" s="463">
        <v>150351</v>
      </c>
      <c r="F14" s="421">
        <v>298033</v>
      </c>
      <c r="G14" s="505">
        <v>240476</v>
      </c>
      <c r="H14" s="443">
        <v>206750</v>
      </c>
      <c r="I14" s="442">
        <v>271616</v>
      </c>
      <c r="J14" s="505">
        <v>99396</v>
      </c>
      <c r="K14" s="442">
        <v>105221</v>
      </c>
      <c r="L14" s="505">
        <v>206598</v>
      </c>
      <c r="M14" s="442">
        <v>248497</v>
      </c>
      <c r="N14" s="505">
        <v>75808</v>
      </c>
      <c r="P14" s="464"/>
      <c r="Q14" s="464"/>
    </row>
    <row r="15" spans="1:17" ht="19.5" customHeight="1">
      <c r="A15" s="433"/>
      <c r="B15" s="81" t="s">
        <v>1275</v>
      </c>
      <c r="C15" s="503" t="s">
        <v>88</v>
      </c>
      <c r="D15" s="463">
        <f>VLOOKUP(B15,'2.2'!$B$5:$D$35,3,FALSE)</f>
        <v>18843</v>
      </c>
      <c r="E15" s="463">
        <v>49997</v>
      </c>
      <c r="F15" s="421">
        <v>51205</v>
      </c>
      <c r="G15" s="505">
        <v>38900</v>
      </c>
      <c r="H15" s="506">
        <v>51110</v>
      </c>
      <c r="I15" s="442">
        <v>32563</v>
      </c>
      <c r="J15" s="507">
        <v>34728</v>
      </c>
      <c r="K15" s="442">
        <v>39378</v>
      </c>
      <c r="L15" s="507">
        <v>29903</v>
      </c>
      <c r="M15" s="442">
        <v>77218</v>
      </c>
      <c r="N15" s="507">
        <v>65587</v>
      </c>
      <c r="P15" s="464"/>
      <c r="Q15" s="464"/>
    </row>
    <row r="16" spans="1:17" ht="19.5" customHeight="1">
      <c r="A16" s="433"/>
      <c r="B16" s="129" t="s">
        <v>1626</v>
      </c>
      <c r="C16" s="488" t="s">
        <v>89</v>
      </c>
      <c r="D16" s="468">
        <f>VLOOKUP(B16,'2.2'!$B$5:$D$35,3,FALSE)</f>
        <v>20894</v>
      </c>
      <c r="E16" s="468">
        <v>110507</v>
      </c>
      <c r="F16" s="489">
        <v>111226</v>
      </c>
      <c r="G16" s="234">
        <v>35497</v>
      </c>
      <c r="H16" s="94">
        <v>26752</v>
      </c>
      <c r="I16" s="240">
        <v>29291</v>
      </c>
      <c r="J16" s="129">
        <v>23518</v>
      </c>
      <c r="K16" s="240">
        <v>128102</v>
      </c>
      <c r="L16" s="129">
        <v>99135</v>
      </c>
      <c r="M16" s="240">
        <v>104063</v>
      </c>
      <c r="N16" s="129">
        <v>62900</v>
      </c>
      <c r="P16" s="464"/>
      <c r="Q16" s="464"/>
    </row>
    <row r="17" spans="1:17">
      <c r="A17" s="433"/>
      <c r="E17" s="469"/>
      <c r="J17" s="6"/>
      <c r="K17" s="6"/>
      <c r="L17" s="6"/>
      <c r="M17" s="6"/>
      <c r="N17" s="280" t="str">
        <f>CONCATENATE("Sources : All Municipalites &amp; Notified Area Authorities, ",District!$A$1)</f>
        <v>Sources : All Municipalites &amp; Notified Area Authorities, Nadia</v>
      </c>
      <c r="P17" s="464"/>
      <c r="Q17" s="464"/>
    </row>
    <row r="18" spans="1:17">
      <c r="A18" s="433"/>
    </row>
    <row r="19" spans="1:17">
      <c r="A19" s="433"/>
    </row>
    <row r="20" spans="1:17">
      <c r="A20" s="433"/>
      <c r="B20" s="1250" t="s">
        <v>488</v>
      </c>
      <c r="C20" s="1250"/>
      <c r="D20" s="1250"/>
      <c r="E20" s="1250"/>
      <c r="F20" s="1250"/>
      <c r="G20" s="1250"/>
      <c r="H20" s="1250"/>
      <c r="I20" s="1250"/>
      <c r="J20" s="1250"/>
      <c r="K20" s="1250"/>
      <c r="L20" s="1250"/>
      <c r="M20" s="1250"/>
      <c r="N20" s="1250"/>
    </row>
    <row r="21" spans="1:17" s="412" customFormat="1" ht="16.5">
      <c r="A21" s="433"/>
      <c r="B21" s="1267" t="str">
        <f>CONCATENATE("Receipt &amp; Expenditure of ",District!$A$1," Zilla Parishad")</f>
        <v>Receipt &amp; Expenditure of Nadia Zilla Parishad</v>
      </c>
      <c r="C21" s="1267"/>
      <c r="D21" s="1267"/>
      <c r="E21" s="1267"/>
      <c r="F21" s="1267"/>
      <c r="G21" s="1267"/>
      <c r="H21" s="1267"/>
      <c r="I21" s="1267"/>
      <c r="J21" s="1267"/>
      <c r="K21" s="1267"/>
      <c r="L21" s="1267"/>
      <c r="M21" s="1267"/>
      <c r="N21" s="1267"/>
    </row>
    <row r="22" spans="1:17">
      <c r="A22" s="435"/>
      <c r="B22" s="412"/>
      <c r="C22" s="436"/>
      <c r="D22" s="436"/>
      <c r="E22" s="436"/>
      <c r="F22" s="436"/>
      <c r="G22" s="436"/>
      <c r="H22" s="436"/>
      <c r="I22" s="436"/>
      <c r="J22" s="436"/>
      <c r="K22" s="436"/>
      <c r="L22" s="412"/>
      <c r="M22" s="13"/>
      <c r="N22" s="451" t="s">
        <v>1065</v>
      </c>
    </row>
    <row r="23" spans="1:17" ht="18.75" customHeight="1">
      <c r="A23" s="433"/>
      <c r="B23" s="1340" t="s">
        <v>811</v>
      </c>
      <c r="C23" s="1342"/>
      <c r="D23" s="1651" t="s">
        <v>1267</v>
      </c>
      <c r="E23" s="1253" t="str">
        <f>District!C11</f>
        <v>2009-10</v>
      </c>
      <c r="F23" s="1252"/>
      <c r="G23" s="1253" t="str">
        <f>District!E11</f>
        <v>2010-11</v>
      </c>
      <c r="H23" s="1252"/>
      <c r="I23" s="1253" t="str">
        <f>District!G11</f>
        <v>2011-12</v>
      </c>
      <c r="J23" s="1252"/>
      <c r="K23" s="1253" t="str">
        <f>District!I11</f>
        <v>2012-13</v>
      </c>
      <c r="L23" s="1252"/>
      <c r="M23" s="1253" t="str">
        <f>District!K11</f>
        <v>2013-14</v>
      </c>
      <c r="N23" s="1252"/>
    </row>
    <row r="24" spans="1:17" ht="23.25" customHeight="1">
      <c r="A24" s="433"/>
      <c r="B24" s="1346"/>
      <c r="C24" s="1348"/>
      <c r="D24" s="1657"/>
      <c r="E24" s="204" t="s">
        <v>1624</v>
      </c>
      <c r="F24" s="46" t="s">
        <v>666</v>
      </c>
      <c r="G24" s="204" t="s">
        <v>1624</v>
      </c>
      <c r="H24" s="46" t="s">
        <v>666</v>
      </c>
      <c r="I24" s="204" t="s">
        <v>1624</v>
      </c>
      <c r="J24" s="46" t="s">
        <v>666</v>
      </c>
      <c r="K24" s="81" t="s">
        <v>1624</v>
      </c>
      <c r="L24" s="46" t="s">
        <v>666</v>
      </c>
      <c r="M24" s="81" t="s">
        <v>1624</v>
      </c>
      <c r="N24" s="46" t="s">
        <v>666</v>
      </c>
    </row>
    <row r="25" spans="1:17" ht="20.25" customHeight="1">
      <c r="A25" s="433"/>
      <c r="B25" s="1463" t="s">
        <v>163</v>
      </c>
      <c r="C25" s="1465"/>
      <c r="D25" s="419" t="s">
        <v>164</v>
      </c>
      <c r="E25" s="417" t="s">
        <v>165</v>
      </c>
      <c r="F25" s="419" t="s">
        <v>166</v>
      </c>
      <c r="G25" s="417" t="s">
        <v>167</v>
      </c>
      <c r="H25" s="419" t="s">
        <v>168</v>
      </c>
      <c r="I25" s="417" t="s">
        <v>169</v>
      </c>
      <c r="J25" s="419" t="s">
        <v>211</v>
      </c>
      <c r="K25" s="417" t="s">
        <v>212</v>
      </c>
      <c r="L25" s="509" t="s">
        <v>213</v>
      </c>
      <c r="M25" s="417" t="s">
        <v>214</v>
      </c>
      <c r="N25" s="509" t="s">
        <v>253</v>
      </c>
    </row>
    <row r="26" spans="1:17" ht="49.5" customHeight="1">
      <c r="A26" s="433"/>
      <c r="B26" s="1253" t="s">
        <v>1442</v>
      </c>
      <c r="C26" s="1252"/>
      <c r="D26" s="223" t="s">
        <v>1443</v>
      </c>
      <c r="E26" s="510">
        <v>1720879</v>
      </c>
      <c r="F26" s="510">
        <v>1634194</v>
      </c>
      <c r="G26" s="510">
        <v>1633612</v>
      </c>
      <c r="H26" s="510">
        <v>1751203</v>
      </c>
      <c r="I26" s="510">
        <v>1902723</v>
      </c>
      <c r="J26" s="510">
        <v>1824190</v>
      </c>
      <c r="K26" s="510">
        <v>2293668</v>
      </c>
      <c r="L26" s="510">
        <v>1942802</v>
      </c>
      <c r="M26" s="510">
        <v>3042166.22</v>
      </c>
      <c r="N26" s="510">
        <v>3033624</v>
      </c>
    </row>
    <row r="27" spans="1:17" ht="12" customHeight="1">
      <c r="A27" s="433"/>
      <c r="N27" s="280" t="s">
        <v>1380</v>
      </c>
    </row>
    <row r="28" spans="1:17">
      <c r="A28" s="433"/>
    </row>
  </sheetData>
  <mergeCells count="21">
    <mergeCell ref="B1:N1"/>
    <mergeCell ref="K4:L4"/>
    <mergeCell ref="I4:J4"/>
    <mergeCell ref="B2:N2"/>
    <mergeCell ref="C4:C5"/>
    <mergeCell ref="M4:N4"/>
    <mergeCell ref="E4:F4"/>
    <mergeCell ref="B4:B5"/>
    <mergeCell ref="D4:D5"/>
    <mergeCell ref="G4:H4"/>
    <mergeCell ref="B20:N20"/>
    <mergeCell ref="B23:C24"/>
    <mergeCell ref="M23:N23"/>
    <mergeCell ref="G23:H23"/>
    <mergeCell ref="K23:L23"/>
    <mergeCell ref="I23:J23"/>
    <mergeCell ref="B26:C26"/>
    <mergeCell ref="D23:D24"/>
    <mergeCell ref="E23:F23"/>
    <mergeCell ref="B25:C25"/>
    <mergeCell ref="B21:N21"/>
  </mergeCells>
  <phoneticPr fontId="0" type="noConversion"/>
  <conditionalFormatting sqref="A1:XFD1048576">
    <cfRule type="cellIs" dxfId="1" priority="1" stopIfTrue="1" operator="equal">
      <formula>".."</formula>
    </cfRule>
  </conditionalFormatting>
  <printOptions horizontalCentered="1"/>
  <pageMargins left="0.1" right="0.1" top="0.73" bottom="0.16" header="0.34" footer="0.16"/>
  <pageSetup paperSize="9" orientation="landscape" blackAndWhite="1" r:id="rId1"/>
  <headerFooter alignWithMargins="0"/>
</worksheet>
</file>

<file path=xl/worksheets/sheet76.xml><?xml version="1.0" encoding="utf-8"?>
<worksheet xmlns="http://schemas.openxmlformats.org/spreadsheetml/2006/main" xmlns:r="http://schemas.openxmlformats.org/officeDocument/2006/relationships">
  <dimension ref="B1:M18"/>
  <sheetViews>
    <sheetView workbookViewId="0">
      <selection activeCell="I31" sqref="I31"/>
    </sheetView>
  </sheetViews>
  <sheetFormatPr defaultRowHeight="15.95" customHeight="1"/>
  <cols>
    <col min="1" max="1" width="0.28515625" style="405" customWidth="1"/>
    <col min="2" max="2" width="13.42578125" style="405" customWidth="1"/>
    <col min="3" max="3" width="12.140625" style="405" customWidth="1"/>
    <col min="4" max="4" width="12.85546875" style="405" customWidth="1"/>
    <col min="5" max="5" width="10.85546875" style="405" customWidth="1"/>
    <col min="6" max="6" width="11.28515625" style="405" customWidth="1"/>
    <col min="7" max="7" width="12.7109375" style="405" customWidth="1"/>
    <col min="8" max="8" width="12.5703125" style="405" customWidth="1"/>
    <col min="9" max="9" width="12.42578125" style="405" customWidth="1"/>
    <col min="10" max="10" width="12.140625" style="405" customWidth="1"/>
    <col min="11" max="11" width="12.5703125" style="405" customWidth="1"/>
    <col min="12" max="12" width="10.5703125" style="405" customWidth="1"/>
    <col min="13" max="13" width="12.5703125" style="405" customWidth="1"/>
    <col min="14" max="16384" width="9.140625" style="405"/>
  </cols>
  <sheetData>
    <row r="1" spans="2:13" ht="15.75" customHeight="1">
      <c r="B1" s="1250" t="s">
        <v>490</v>
      </c>
      <c r="C1" s="1250"/>
      <c r="D1" s="1250"/>
      <c r="E1" s="1250"/>
      <c r="F1" s="1250"/>
      <c r="G1" s="1250"/>
      <c r="H1" s="1250"/>
      <c r="I1" s="1250"/>
      <c r="J1" s="1250"/>
      <c r="K1" s="1250"/>
      <c r="L1" s="1250"/>
      <c r="M1" s="1250"/>
    </row>
    <row r="2" spans="2:13" s="412" customFormat="1" ht="15.95" customHeight="1">
      <c r="B2" s="1350" t="str">
        <f>CONCATENATE("Revenue collected from different sources in the district of ",District!$A$1)</f>
        <v>Revenue collected from different sources in the district of Nadia</v>
      </c>
      <c r="C2" s="1350"/>
      <c r="D2" s="1350"/>
      <c r="E2" s="1350"/>
      <c r="F2" s="1350"/>
      <c r="G2" s="1350"/>
      <c r="H2" s="1350"/>
      <c r="I2" s="1350"/>
      <c r="J2" s="1350"/>
      <c r="K2" s="1350"/>
      <c r="L2" s="1350"/>
      <c r="M2" s="1350"/>
    </row>
    <row r="3" spans="2:13" ht="15.95" customHeight="1">
      <c r="B3" s="412"/>
      <c r="C3" s="428"/>
      <c r="D3" s="436"/>
      <c r="E3" s="436"/>
      <c r="F3" s="436"/>
      <c r="G3" s="436"/>
      <c r="H3" s="436"/>
      <c r="I3" s="436"/>
      <c r="J3" s="436"/>
      <c r="K3" s="436"/>
      <c r="L3" s="13"/>
      <c r="M3" s="451" t="s">
        <v>1065</v>
      </c>
    </row>
    <row r="4" spans="2:13" s="230" customFormat="1" ht="53.25" customHeight="1">
      <c r="B4" s="204" t="s">
        <v>107</v>
      </c>
      <c r="C4" s="400" t="s">
        <v>832</v>
      </c>
      <c r="D4" s="219" t="s">
        <v>835</v>
      </c>
      <c r="E4" s="512" t="s">
        <v>836</v>
      </c>
      <c r="F4" s="219" t="s">
        <v>1444</v>
      </c>
      <c r="G4" s="512" t="s">
        <v>838</v>
      </c>
      <c r="H4" s="219" t="s">
        <v>840</v>
      </c>
      <c r="I4" s="512" t="s">
        <v>839</v>
      </c>
      <c r="J4" s="219" t="s">
        <v>1067</v>
      </c>
      <c r="K4" s="512" t="s">
        <v>236</v>
      </c>
      <c r="L4" s="219" t="s">
        <v>1388</v>
      </c>
      <c r="M4" s="396" t="s">
        <v>210</v>
      </c>
    </row>
    <row r="5" spans="2:13" s="9" customFormat="1" ht="21" customHeight="1">
      <c r="B5" s="225" t="s">
        <v>163</v>
      </c>
      <c r="C5" s="513" t="s">
        <v>164</v>
      </c>
      <c r="D5" s="514" t="s">
        <v>165</v>
      </c>
      <c r="E5" s="513" t="s">
        <v>166</v>
      </c>
      <c r="F5" s="514" t="s">
        <v>167</v>
      </c>
      <c r="G5" s="513" t="s">
        <v>168</v>
      </c>
      <c r="H5" s="514" t="s">
        <v>169</v>
      </c>
      <c r="I5" s="513" t="s">
        <v>211</v>
      </c>
      <c r="J5" s="514" t="s">
        <v>212</v>
      </c>
      <c r="K5" s="513" t="s">
        <v>213</v>
      </c>
      <c r="L5" s="514" t="s">
        <v>214</v>
      </c>
      <c r="M5" s="515" t="s">
        <v>253</v>
      </c>
    </row>
    <row r="6" spans="2:13" ht="40.5" customHeight="1">
      <c r="B6" s="204" t="str">
        <f>District!D13</f>
        <v>2009-10</v>
      </c>
      <c r="C6" s="335">
        <v>81950</v>
      </c>
      <c r="D6" s="330">
        <v>593862</v>
      </c>
      <c r="E6" s="335">
        <v>615121</v>
      </c>
      <c r="F6" s="330">
        <v>221756</v>
      </c>
      <c r="G6" s="335">
        <v>140396</v>
      </c>
      <c r="H6" s="330">
        <v>4396</v>
      </c>
      <c r="I6" s="335">
        <v>21246</v>
      </c>
      <c r="J6" s="389" t="s">
        <v>1170</v>
      </c>
      <c r="K6" s="335">
        <v>99565</v>
      </c>
      <c r="L6" s="330">
        <v>3491388</v>
      </c>
      <c r="M6" s="308">
        <f>SUM(C6:L6)</f>
        <v>5269680</v>
      </c>
    </row>
    <row r="7" spans="2:13" ht="40.5" customHeight="1">
      <c r="B7" s="81" t="str">
        <f>District!D14</f>
        <v>2010-11</v>
      </c>
      <c r="C7" s="196">
        <v>181475</v>
      </c>
      <c r="D7" s="197">
        <v>697241</v>
      </c>
      <c r="E7" s="196">
        <v>733000</v>
      </c>
      <c r="F7" s="197">
        <v>245514</v>
      </c>
      <c r="G7" s="196">
        <v>175829</v>
      </c>
      <c r="H7" s="197">
        <v>2448</v>
      </c>
      <c r="I7" s="196">
        <v>15583</v>
      </c>
      <c r="J7" s="373" t="s">
        <v>1170</v>
      </c>
      <c r="K7" s="196">
        <v>100352</v>
      </c>
      <c r="L7" s="197">
        <v>3790623</v>
      </c>
      <c r="M7" s="191">
        <f>SUM(C7:L7)</f>
        <v>5942065</v>
      </c>
    </row>
    <row r="8" spans="2:13" ht="40.5" customHeight="1">
      <c r="B8" s="81" t="str">
        <f>District!D15</f>
        <v>2011-12</v>
      </c>
      <c r="C8" s="196">
        <v>145408</v>
      </c>
      <c r="D8" s="197">
        <v>820441</v>
      </c>
      <c r="E8" s="196" t="s">
        <v>849</v>
      </c>
      <c r="F8" s="197">
        <v>237757</v>
      </c>
      <c r="G8" s="196">
        <v>206896</v>
      </c>
      <c r="H8" s="197">
        <v>2948</v>
      </c>
      <c r="I8" s="196" t="s">
        <v>850</v>
      </c>
      <c r="J8" s="373" t="s">
        <v>1170</v>
      </c>
      <c r="K8" s="196">
        <v>107839</v>
      </c>
      <c r="L8" s="197" t="s">
        <v>851</v>
      </c>
      <c r="M8" s="191">
        <f>SUM(C8:L8)+249351+610+16056</f>
        <v>1787306</v>
      </c>
    </row>
    <row r="9" spans="2:13" s="6" customFormat="1" ht="40.5" customHeight="1">
      <c r="B9" s="81" t="str">
        <f>District!D16</f>
        <v>2012-13</v>
      </c>
      <c r="C9" s="196">
        <v>190729</v>
      </c>
      <c r="D9" s="197">
        <v>1066434</v>
      </c>
      <c r="E9" s="196">
        <v>159921</v>
      </c>
      <c r="F9" s="197">
        <v>265746</v>
      </c>
      <c r="G9" s="196">
        <v>301866</v>
      </c>
      <c r="H9" s="197">
        <v>3066</v>
      </c>
      <c r="I9" s="196">
        <v>744</v>
      </c>
      <c r="J9" s="373" t="s">
        <v>1170</v>
      </c>
      <c r="K9" s="196">
        <v>105074</v>
      </c>
      <c r="L9" s="197">
        <v>7917</v>
      </c>
      <c r="M9" s="191">
        <f>SUM(C9:L9)</f>
        <v>2101497</v>
      </c>
    </row>
    <row r="10" spans="2:13" ht="40.5" customHeight="1">
      <c r="B10" s="129" t="str">
        <f>District!D17</f>
        <v>2013-14</v>
      </c>
      <c r="C10" s="252">
        <v>504561</v>
      </c>
      <c r="D10" s="234">
        <v>1268067</v>
      </c>
      <c r="E10" s="252">
        <v>16159</v>
      </c>
      <c r="F10" s="234">
        <v>248062</v>
      </c>
      <c r="G10" s="252">
        <v>364794</v>
      </c>
      <c r="H10" s="234">
        <v>4033</v>
      </c>
      <c r="I10" s="252">
        <v>2094</v>
      </c>
      <c r="J10" s="518">
        <v>5</v>
      </c>
      <c r="K10" s="252">
        <v>101493</v>
      </c>
      <c r="L10" s="1114" t="s">
        <v>643</v>
      </c>
      <c r="M10" s="264">
        <f>SUM(C10:L10)</f>
        <v>2509268</v>
      </c>
    </row>
    <row r="11" spans="2:13" ht="15.95" customHeight="1">
      <c r="B11" s="519"/>
      <c r="C11" s="5"/>
      <c r="D11" s="5"/>
      <c r="J11" s="430" t="s">
        <v>600</v>
      </c>
      <c r="K11" s="431" t="s">
        <v>1488</v>
      </c>
      <c r="L11" s="431"/>
      <c r="M11" s="431"/>
    </row>
    <row r="12" spans="2:13" ht="15.95" customHeight="1">
      <c r="J12" s="18"/>
      <c r="K12" s="431" t="s">
        <v>1489</v>
      </c>
      <c r="L12" s="431"/>
      <c r="M12" s="431"/>
    </row>
    <row r="13" spans="2:13" ht="15.95" customHeight="1">
      <c r="J13" s="18"/>
      <c r="K13" s="431" t="s">
        <v>1490</v>
      </c>
      <c r="L13" s="431"/>
      <c r="M13" s="431"/>
    </row>
    <row r="14" spans="2:13" ht="15.95" customHeight="1">
      <c r="J14" s="18"/>
      <c r="K14" s="431" t="s">
        <v>1506</v>
      </c>
      <c r="L14" s="431"/>
      <c r="M14" s="431"/>
    </row>
    <row r="15" spans="2:13" ht="15.95" customHeight="1">
      <c r="J15" s="18"/>
      <c r="K15" s="431" t="s">
        <v>1507</v>
      </c>
      <c r="L15" s="431"/>
      <c r="M15" s="431"/>
    </row>
    <row r="16" spans="2:13" ht="15.95" customHeight="1">
      <c r="H16" s="6"/>
      <c r="J16" s="18"/>
      <c r="K16" s="1532" t="s">
        <v>997</v>
      </c>
      <c r="L16" s="1393"/>
      <c r="M16" s="1393"/>
    </row>
    <row r="17" spans="8:13" ht="10.5" customHeight="1">
      <c r="H17" s="6"/>
      <c r="J17" s="18"/>
      <c r="K17" s="1393"/>
      <c r="L17" s="1393"/>
      <c r="M17" s="1393"/>
    </row>
    <row r="18" spans="8:13" ht="15.95" customHeight="1">
      <c r="J18" s="18"/>
      <c r="K18" s="520" t="s">
        <v>1596</v>
      </c>
      <c r="L18" s="18"/>
      <c r="M18" s="18"/>
    </row>
  </sheetData>
  <mergeCells count="3">
    <mergeCell ref="B2:M2"/>
    <mergeCell ref="B1:M1"/>
    <mergeCell ref="K16:M17"/>
  </mergeCells>
  <phoneticPr fontId="0" type="noConversion"/>
  <printOptions horizontalCentered="1"/>
  <pageMargins left="0.1" right="0.1" top="1.01" bottom="0.16" header="0.24" footer="0.16"/>
  <pageSetup paperSize="9" orientation="landscape" blackAndWhite="1" r:id="rId1"/>
  <headerFooter alignWithMargins="0"/>
  <legacyDrawing r:id="rId2"/>
</worksheet>
</file>

<file path=xl/worksheets/sheet77.xml><?xml version="1.0" encoding="utf-8"?>
<worksheet xmlns="http://schemas.openxmlformats.org/spreadsheetml/2006/main" xmlns:r="http://schemas.openxmlformats.org/officeDocument/2006/relationships">
  <sheetPr codeName="Sheet41"/>
  <dimension ref="A1:B48"/>
  <sheetViews>
    <sheetView workbookViewId="0">
      <selection activeCell="K33" sqref="K33"/>
    </sheetView>
  </sheetViews>
  <sheetFormatPr defaultRowHeight="12.4" customHeight="1"/>
  <cols>
    <col min="1" max="1" width="36" style="405" customWidth="1"/>
    <col min="2" max="2" width="34.85546875" style="405" customWidth="1"/>
    <col min="3" max="16384" width="9.140625" style="405"/>
  </cols>
  <sheetData>
    <row r="1" spans="1:2" ht="16.5" customHeight="1">
      <c r="A1" s="1261" t="s">
        <v>491</v>
      </c>
      <c r="B1" s="1261"/>
    </row>
    <row r="2" spans="1:2" s="412" customFormat="1" ht="20.25" customHeight="1">
      <c r="A2" s="1297" t="str">
        <f>CONCATENATE("Net Collection from Small Savings in the district of ",District!$A$1)</f>
        <v>Net Collection from Small Savings in the district of Nadia</v>
      </c>
      <c r="B2" s="1297"/>
    </row>
    <row r="3" spans="1:2" ht="13.5" customHeight="1">
      <c r="A3" s="412"/>
      <c r="B3" s="451" t="s">
        <v>1065</v>
      </c>
    </row>
    <row r="4" spans="1:2" ht="16.5" customHeight="1">
      <c r="A4" s="219" t="s">
        <v>107</v>
      </c>
      <c r="B4" s="216" t="s">
        <v>1429</v>
      </c>
    </row>
    <row r="5" spans="1:2" ht="16.5" customHeight="1">
      <c r="A5" s="417" t="s">
        <v>163</v>
      </c>
      <c r="B5" s="419" t="s">
        <v>164</v>
      </c>
    </row>
    <row r="6" spans="1:2" ht="18" customHeight="1">
      <c r="A6" s="246" t="str">
        <f>District!D13</f>
        <v>2009-10</v>
      </c>
      <c r="B6" s="81">
        <v>3555700</v>
      </c>
    </row>
    <row r="7" spans="1:2" ht="18" customHeight="1">
      <c r="A7" s="108" t="str">
        <f>District!D14</f>
        <v>2010-11</v>
      </c>
      <c r="B7" s="463">
        <v>3796500</v>
      </c>
    </row>
    <row r="8" spans="1:2" ht="18" customHeight="1">
      <c r="A8" s="108" t="str">
        <f>District!D15</f>
        <v>2011-12</v>
      </c>
      <c r="B8" s="81">
        <v>581200</v>
      </c>
    </row>
    <row r="9" spans="1:2" ht="18" customHeight="1">
      <c r="A9" s="108" t="str">
        <f>District!D16</f>
        <v>2012-13</v>
      </c>
      <c r="B9" s="81">
        <v>711000</v>
      </c>
    </row>
    <row r="10" spans="1:2" ht="18" customHeight="1">
      <c r="A10" s="127" t="str">
        <f>District!D17</f>
        <v>2013-14</v>
      </c>
      <c r="B10" s="129">
        <f>SUM(B12,B17,B27,B37)</f>
        <v>15180000</v>
      </c>
    </row>
    <row r="11" spans="1:2" ht="18" customHeight="1">
      <c r="A11" s="522" t="s">
        <v>1</v>
      </c>
      <c r="B11" s="130" t="str">
        <f>"Year : " &amp; A10</f>
        <v>Year : 2013-14</v>
      </c>
    </row>
    <row r="12" spans="1:2" ht="18" customHeight="1">
      <c r="A12" s="523" t="s">
        <v>1098</v>
      </c>
      <c r="B12" s="44">
        <f>SUM(B13:B16)</f>
        <v>1215000</v>
      </c>
    </row>
    <row r="13" spans="1:2" ht="18" customHeight="1">
      <c r="A13" s="408" t="s">
        <v>1118</v>
      </c>
      <c r="B13" s="421">
        <v>255000</v>
      </c>
    </row>
    <row r="14" spans="1:2" ht="18" customHeight="1">
      <c r="A14" s="408" t="s">
        <v>1119</v>
      </c>
      <c r="B14" s="421">
        <v>305000</v>
      </c>
    </row>
    <row r="15" spans="1:2" ht="18" customHeight="1">
      <c r="A15" s="408" t="s">
        <v>1121</v>
      </c>
      <c r="B15" s="421">
        <v>402500</v>
      </c>
    </row>
    <row r="16" spans="1:2" ht="18" customHeight="1">
      <c r="A16" s="524" t="s">
        <v>1120</v>
      </c>
      <c r="B16" s="421">
        <v>252500</v>
      </c>
    </row>
    <row r="17" spans="1:2" ht="18" customHeight="1">
      <c r="A17" s="523" t="s">
        <v>1099</v>
      </c>
      <c r="B17" s="44">
        <f>SUM(B18:B26)</f>
        <v>5175000</v>
      </c>
    </row>
    <row r="18" spans="1:2" ht="18" customHeight="1">
      <c r="A18" s="524" t="s">
        <v>1122</v>
      </c>
      <c r="B18" s="421">
        <v>355000</v>
      </c>
    </row>
    <row r="19" spans="1:2" ht="18" customHeight="1">
      <c r="A19" s="524" t="s">
        <v>1123</v>
      </c>
      <c r="B19" s="421">
        <v>355000</v>
      </c>
    </row>
    <row r="20" spans="1:2" ht="18" customHeight="1">
      <c r="A20" s="524" t="s">
        <v>1124</v>
      </c>
      <c r="B20" s="421">
        <v>355000</v>
      </c>
    </row>
    <row r="21" spans="1:2" ht="18" customHeight="1">
      <c r="A21" s="524" t="s">
        <v>1125</v>
      </c>
      <c r="B21" s="421">
        <v>305000</v>
      </c>
    </row>
    <row r="22" spans="1:2" ht="18" customHeight="1">
      <c r="A22" s="524" t="s">
        <v>1126</v>
      </c>
      <c r="B22" s="421">
        <v>410000</v>
      </c>
    </row>
    <row r="23" spans="1:2" ht="18" customHeight="1">
      <c r="A23" s="524" t="s">
        <v>1127</v>
      </c>
      <c r="B23" s="421">
        <v>1520000</v>
      </c>
    </row>
    <row r="24" spans="1:2" ht="18" customHeight="1">
      <c r="A24" s="524" t="s">
        <v>1128</v>
      </c>
      <c r="B24" s="421">
        <v>205000</v>
      </c>
    </row>
    <row r="25" spans="1:2" ht="18" customHeight="1">
      <c r="A25" s="524" t="s">
        <v>90</v>
      </c>
      <c r="B25" s="421">
        <v>460000</v>
      </c>
    </row>
    <row r="26" spans="1:2" ht="18" customHeight="1">
      <c r="A26" s="524" t="s">
        <v>1130</v>
      </c>
      <c r="B26" s="421">
        <v>1210000</v>
      </c>
    </row>
    <row r="27" spans="1:2" ht="18" customHeight="1">
      <c r="A27" s="525" t="s">
        <v>1101</v>
      </c>
      <c r="B27" s="44">
        <f>SUM(B28:B36)</f>
        <v>5100000</v>
      </c>
    </row>
    <row r="28" spans="1:2" ht="18" customHeight="1">
      <c r="A28" s="408" t="s">
        <v>1131</v>
      </c>
      <c r="B28" s="421">
        <v>455000</v>
      </c>
    </row>
    <row r="29" spans="1:2" ht="18" customHeight="1">
      <c r="A29" s="408" t="s">
        <v>1133</v>
      </c>
      <c r="B29" s="421">
        <v>510000</v>
      </c>
    </row>
    <row r="30" spans="1:2" ht="18" customHeight="1">
      <c r="A30" s="408" t="s">
        <v>1134</v>
      </c>
      <c r="B30" s="421">
        <v>400000</v>
      </c>
    </row>
    <row r="31" spans="1:2" ht="18" customHeight="1">
      <c r="A31" s="524" t="s">
        <v>1623</v>
      </c>
      <c r="B31" s="421">
        <v>710000</v>
      </c>
    </row>
    <row r="32" spans="1:2" ht="18" customHeight="1">
      <c r="A32" s="524" t="s">
        <v>768</v>
      </c>
      <c r="B32" s="421">
        <v>1620000</v>
      </c>
    </row>
    <row r="33" spans="1:2" ht="18" customHeight="1">
      <c r="A33" s="524" t="s">
        <v>1625</v>
      </c>
      <c r="B33" s="421">
        <v>755000</v>
      </c>
    </row>
    <row r="34" spans="1:2" ht="18" customHeight="1">
      <c r="A34" s="524" t="s">
        <v>1626</v>
      </c>
      <c r="B34" s="421">
        <v>300000</v>
      </c>
    </row>
    <row r="35" spans="1:2" ht="18" customHeight="1">
      <c r="A35" s="524" t="s">
        <v>714</v>
      </c>
      <c r="B35" s="421">
        <v>300000</v>
      </c>
    </row>
    <row r="36" spans="1:2" ht="18" customHeight="1">
      <c r="A36" s="524" t="s">
        <v>815</v>
      </c>
      <c r="B36" s="421">
        <v>50000</v>
      </c>
    </row>
    <row r="37" spans="1:2" ht="18" customHeight="1">
      <c r="A37" s="523" t="s">
        <v>1100</v>
      </c>
      <c r="B37" s="44">
        <f>SUM(B38:B42)</f>
        <v>3690000</v>
      </c>
    </row>
    <row r="38" spans="1:2" ht="18" customHeight="1">
      <c r="A38" s="524" t="s">
        <v>769</v>
      </c>
      <c r="B38" s="421">
        <v>1060000</v>
      </c>
    </row>
    <row r="39" spans="1:2" ht="18" customHeight="1">
      <c r="A39" s="524" t="s">
        <v>770</v>
      </c>
      <c r="B39" s="421">
        <v>860000</v>
      </c>
    </row>
    <row r="40" spans="1:2" ht="18" customHeight="1">
      <c r="A40" s="524" t="s">
        <v>771</v>
      </c>
      <c r="B40" s="421">
        <v>855000</v>
      </c>
    </row>
    <row r="41" spans="1:2" ht="18" customHeight="1">
      <c r="A41" s="524" t="s">
        <v>1629</v>
      </c>
      <c r="B41" s="421">
        <v>305000</v>
      </c>
    </row>
    <row r="42" spans="1:2" ht="18" customHeight="1">
      <c r="A42" s="526" t="s">
        <v>772</v>
      </c>
      <c r="B42" s="468">
        <v>610000</v>
      </c>
    </row>
    <row r="43" spans="1:2" ht="15" customHeight="1">
      <c r="B43" s="527" t="s">
        <v>1598</v>
      </c>
    </row>
    <row r="44" spans="1:2" ht="12.4" customHeight="1">
      <c r="A44" s="438"/>
      <c r="B44" s="438"/>
    </row>
    <row r="47" spans="1:2" ht="12.4" customHeight="1">
      <c r="A47" s="438"/>
      <c r="B47" s="438"/>
    </row>
    <row r="48" spans="1:2" ht="12.4" customHeight="1">
      <c r="A48" s="438"/>
      <c r="B48" s="438"/>
    </row>
  </sheetData>
  <mergeCells count="2">
    <mergeCell ref="A2:B2"/>
    <mergeCell ref="A1:B1"/>
  </mergeCells>
  <phoneticPr fontId="0" type="noConversion"/>
  <printOptions horizontalCentered="1"/>
  <pageMargins left="0.1" right="0.1" top="0.64" bottom="0.1" header="0.12" footer="0.1"/>
  <pageSetup paperSize="9" orientation="portrait" blackAndWhite="1" r:id="rId1"/>
  <headerFooter alignWithMargins="0"/>
</worksheet>
</file>

<file path=xl/worksheets/sheet78.xml><?xml version="1.0" encoding="utf-8"?>
<worksheet xmlns="http://schemas.openxmlformats.org/spreadsheetml/2006/main" xmlns:r="http://schemas.openxmlformats.org/officeDocument/2006/relationships">
  <dimension ref="A1"/>
  <sheetViews>
    <sheetView topLeftCell="B1" zoomScale="75" workbookViewId="0">
      <selection activeCell="N29" sqref="N29"/>
    </sheetView>
  </sheetViews>
  <sheetFormatPr defaultRowHeight="12.75"/>
  <cols>
    <col min="1" max="1" width="107.140625" hidden="1" customWidth="1"/>
    <col min="2" max="2" width="82.42578125" customWidth="1"/>
  </cols>
  <sheetData>
    <row r="1" spans="1:1" ht="14.25" customHeight="1">
      <c r="A1" s="177" t="s">
        <v>509</v>
      </c>
    </row>
  </sheetData>
  <phoneticPr fontId="0" type="noConversion"/>
  <printOptions horizontalCentered="1" verticalCentered="1"/>
  <pageMargins left="0.75" right="0.75" top="1" bottom="1" header="0.5" footer="0.5"/>
  <pageSetup orientation="portrait" horizontalDpi="4294967295" verticalDpi="180" r:id="rId1"/>
  <headerFooter alignWithMargins="0"/>
  <drawing r:id="rId2"/>
</worksheet>
</file>

<file path=xl/worksheets/sheet79.xml><?xml version="1.0" encoding="utf-8"?>
<worksheet xmlns="http://schemas.openxmlformats.org/spreadsheetml/2006/main" xmlns:r="http://schemas.openxmlformats.org/officeDocument/2006/relationships">
  <dimension ref="A1"/>
  <sheetViews>
    <sheetView topLeftCell="A7" workbookViewId="0">
      <selection activeCell="A36" sqref="A36"/>
    </sheetView>
  </sheetViews>
  <sheetFormatPr defaultRowHeight="12.75"/>
  <cols>
    <col min="1" max="1" width="107.140625" customWidth="1"/>
  </cols>
  <sheetData>
    <row r="1" spans="1:1" ht="294" customHeight="1">
      <c r="A1" s="177" t="s">
        <v>509</v>
      </c>
    </row>
  </sheetData>
  <phoneticPr fontId="0" type="noConversion"/>
  <pageMargins left="0.75" right="0.75" top="1" bottom="1" header="0.5" footer="0.5"/>
  <pageSetup orientation="portrait" horizontalDpi="4294967295" verticalDpi="300" r:id="rId1"/>
  <headerFooter alignWithMargins="0"/>
  <drawing r:id="rId2"/>
</worksheet>
</file>

<file path=xl/worksheets/sheet8.xml><?xml version="1.0" encoding="utf-8"?>
<worksheet xmlns="http://schemas.openxmlformats.org/spreadsheetml/2006/main" xmlns:r="http://schemas.openxmlformats.org/officeDocument/2006/relationships">
  <dimension ref="A1:L56"/>
  <sheetViews>
    <sheetView topLeftCell="A7" workbookViewId="0">
      <selection activeCell="M19" sqref="M19"/>
    </sheetView>
  </sheetViews>
  <sheetFormatPr defaultRowHeight="12.75"/>
  <cols>
    <col min="1" max="1" width="12.42578125" style="405" customWidth="1"/>
    <col min="2" max="2" width="18.7109375" style="405" customWidth="1"/>
    <col min="3" max="12" width="9.7109375" style="405" customWidth="1"/>
    <col min="13" max="16384" width="9.140625" style="405"/>
  </cols>
  <sheetData>
    <row r="1" spans="1:12">
      <c r="A1" s="432"/>
      <c r="B1" s="1250" t="s">
        <v>498</v>
      </c>
      <c r="C1" s="1250"/>
      <c r="D1" s="1250"/>
      <c r="E1" s="1250"/>
      <c r="F1" s="1250"/>
      <c r="G1" s="1250"/>
      <c r="H1" s="1250"/>
      <c r="I1" s="1250"/>
      <c r="J1" s="1250"/>
      <c r="K1" s="1250"/>
      <c r="L1" s="1250"/>
    </row>
    <row r="2" spans="1:12" s="412" customFormat="1" ht="18.75" customHeight="1">
      <c r="A2" s="433"/>
      <c r="B2" s="1269" t="str">
        <f>CONCATENATE("Mean Maximum and Mean Minimum Temperature by month in the district of ",District!$A$1)</f>
        <v>Mean Maximum and Mean Minimum Temperature by month in the district of Nadia</v>
      </c>
      <c r="C2" s="1269"/>
      <c r="D2" s="1269"/>
      <c r="E2" s="1269"/>
      <c r="F2" s="1269"/>
      <c r="G2" s="1269"/>
      <c r="H2" s="1269"/>
      <c r="I2" s="1269"/>
      <c r="J2" s="1269"/>
      <c r="K2" s="1269"/>
      <c r="L2" s="1269"/>
    </row>
    <row r="3" spans="1:12" ht="14.1" customHeight="1">
      <c r="A3" s="435"/>
      <c r="B3" s="413" t="s">
        <v>1189</v>
      </c>
      <c r="D3" s="774"/>
      <c r="E3" s="774"/>
      <c r="F3" s="774"/>
      <c r="G3" s="774"/>
      <c r="H3" s="774"/>
      <c r="I3" s="774"/>
      <c r="J3" s="774"/>
      <c r="L3" s="27" t="s">
        <v>215</v>
      </c>
    </row>
    <row r="4" spans="1:12" ht="18.75" customHeight="1">
      <c r="A4" s="433"/>
      <c r="B4" s="1257" t="s">
        <v>195</v>
      </c>
      <c r="C4" s="1253">
        <f>District!C10</f>
        <v>2010</v>
      </c>
      <c r="D4" s="1252"/>
      <c r="E4" s="1253">
        <f>District!E10</f>
        <v>2011</v>
      </c>
      <c r="F4" s="1252"/>
      <c r="G4" s="1253">
        <f>District!G10</f>
        <v>2012</v>
      </c>
      <c r="H4" s="1252"/>
      <c r="I4" s="1253">
        <f>District!I10</f>
        <v>2013</v>
      </c>
      <c r="J4" s="1252"/>
      <c r="K4" s="1253">
        <f>District!K10</f>
        <v>2014</v>
      </c>
      <c r="L4" s="1252"/>
    </row>
    <row r="5" spans="1:12" ht="18.75" customHeight="1">
      <c r="A5" s="433"/>
      <c r="B5" s="1270"/>
      <c r="C5" s="45" t="s">
        <v>216</v>
      </c>
      <c r="D5" s="46" t="s">
        <v>216</v>
      </c>
      <c r="E5" s="108" t="s">
        <v>216</v>
      </c>
      <c r="F5" s="46" t="s">
        <v>216</v>
      </c>
      <c r="G5" s="108" t="s">
        <v>216</v>
      </c>
      <c r="H5" s="46" t="s">
        <v>216</v>
      </c>
      <c r="I5" s="108" t="s">
        <v>216</v>
      </c>
      <c r="J5" s="46" t="s">
        <v>216</v>
      </c>
      <c r="K5" s="108" t="s">
        <v>216</v>
      </c>
      <c r="L5" s="46" t="s">
        <v>216</v>
      </c>
    </row>
    <row r="6" spans="1:12" ht="18.75" customHeight="1">
      <c r="A6" s="433"/>
      <c r="B6" s="1258"/>
      <c r="C6" s="1033" t="s">
        <v>607</v>
      </c>
      <c r="D6" s="1034" t="s">
        <v>608</v>
      </c>
      <c r="E6" s="1035" t="s">
        <v>607</v>
      </c>
      <c r="F6" s="1034" t="s">
        <v>608</v>
      </c>
      <c r="G6" s="1035" t="s">
        <v>607</v>
      </c>
      <c r="H6" s="1034" t="s">
        <v>608</v>
      </c>
      <c r="I6" s="1035" t="s">
        <v>607</v>
      </c>
      <c r="J6" s="1034" t="s">
        <v>608</v>
      </c>
      <c r="K6" s="1035" t="s">
        <v>607</v>
      </c>
      <c r="L6" s="1034" t="s">
        <v>608</v>
      </c>
    </row>
    <row r="7" spans="1:12" ht="18.75" customHeight="1">
      <c r="A7" s="433"/>
      <c r="B7" s="605" t="s">
        <v>163</v>
      </c>
      <c r="C7" s="775" t="s">
        <v>164</v>
      </c>
      <c r="D7" s="776" t="s">
        <v>165</v>
      </c>
      <c r="E7" s="777" t="s">
        <v>166</v>
      </c>
      <c r="F7" s="776" t="s">
        <v>167</v>
      </c>
      <c r="G7" s="777" t="s">
        <v>168</v>
      </c>
      <c r="H7" s="776" t="s">
        <v>169</v>
      </c>
      <c r="I7" s="777" t="s">
        <v>211</v>
      </c>
      <c r="J7" s="776" t="s">
        <v>212</v>
      </c>
      <c r="K7" s="777" t="s">
        <v>213</v>
      </c>
      <c r="L7" s="208" t="s">
        <v>214</v>
      </c>
    </row>
    <row r="8" spans="1:12" ht="24.95" customHeight="1">
      <c r="A8" s="433"/>
      <c r="B8" s="204" t="s">
        <v>198</v>
      </c>
      <c r="C8" s="134" t="s">
        <v>1170</v>
      </c>
      <c r="D8" s="135">
        <v>9</v>
      </c>
      <c r="E8" s="494">
        <v>23</v>
      </c>
      <c r="F8" s="421">
        <v>9</v>
      </c>
      <c r="G8" s="492">
        <v>23</v>
      </c>
      <c r="H8" s="493">
        <v>12</v>
      </c>
      <c r="I8" s="492">
        <v>22</v>
      </c>
      <c r="J8" s="493">
        <v>9</v>
      </c>
      <c r="K8" s="492">
        <v>24</v>
      </c>
      <c r="L8" s="493">
        <v>11</v>
      </c>
    </row>
    <row r="9" spans="1:12" ht="24.95" customHeight="1">
      <c r="A9" s="433"/>
      <c r="B9" s="81" t="s">
        <v>199</v>
      </c>
      <c r="C9" s="134" t="s">
        <v>1170</v>
      </c>
      <c r="D9" s="135">
        <v>15</v>
      </c>
      <c r="E9" s="494">
        <v>28</v>
      </c>
      <c r="F9" s="421">
        <v>14</v>
      </c>
      <c r="G9" s="494">
        <v>29</v>
      </c>
      <c r="H9" s="421">
        <v>13</v>
      </c>
      <c r="I9" s="494" t="s">
        <v>1170</v>
      </c>
      <c r="J9" s="421" t="s">
        <v>1170</v>
      </c>
      <c r="K9" s="494">
        <v>27</v>
      </c>
      <c r="L9" s="421">
        <v>14</v>
      </c>
    </row>
    <row r="10" spans="1:12" ht="24.95" customHeight="1">
      <c r="A10" s="433"/>
      <c r="B10" s="81" t="s">
        <v>200</v>
      </c>
      <c r="C10" s="134">
        <v>35</v>
      </c>
      <c r="D10" s="135">
        <v>22</v>
      </c>
      <c r="E10" s="494">
        <v>33</v>
      </c>
      <c r="F10" s="421">
        <v>19</v>
      </c>
      <c r="G10" s="494">
        <v>34</v>
      </c>
      <c r="H10" s="421">
        <v>18</v>
      </c>
      <c r="I10" s="494" t="s">
        <v>1170</v>
      </c>
      <c r="J10" s="421" t="s">
        <v>1170</v>
      </c>
      <c r="K10" s="494">
        <v>32</v>
      </c>
      <c r="L10" s="421">
        <v>18</v>
      </c>
    </row>
    <row r="11" spans="1:12" ht="24.95" customHeight="1">
      <c r="A11" s="433"/>
      <c r="B11" s="81" t="s">
        <v>201</v>
      </c>
      <c r="C11" s="134">
        <v>37</v>
      </c>
      <c r="D11" s="135">
        <v>25</v>
      </c>
      <c r="E11" s="494">
        <v>33</v>
      </c>
      <c r="F11" s="421">
        <v>22</v>
      </c>
      <c r="G11" s="494">
        <v>35</v>
      </c>
      <c r="H11" s="421">
        <v>23</v>
      </c>
      <c r="I11" s="494" t="s">
        <v>1170</v>
      </c>
      <c r="J11" s="421" t="s">
        <v>1170</v>
      </c>
      <c r="K11" s="494">
        <v>38</v>
      </c>
      <c r="L11" s="421">
        <v>24</v>
      </c>
    </row>
    <row r="12" spans="1:12" ht="24.95" customHeight="1">
      <c r="A12" s="433"/>
      <c r="B12" s="81" t="s">
        <v>202</v>
      </c>
      <c r="C12" s="134">
        <v>34</v>
      </c>
      <c r="D12" s="135">
        <v>24</v>
      </c>
      <c r="E12" s="494">
        <v>34</v>
      </c>
      <c r="F12" s="756">
        <v>24</v>
      </c>
      <c r="G12" s="494">
        <v>36</v>
      </c>
      <c r="H12" s="756">
        <v>25</v>
      </c>
      <c r="I12" s="494" t="s">
        <v>1170</v>
      </c>
      <c r="J12" s="421" t="s">
        <v>1170</v>
      </c>
      <c r="K12" s="494">
        <v>38</v>
      </c>
      <c r="L12" s="421">
        <v>27</v>
      </c>
    </row>
    <row r="13" spans="1:12" ht="24.95" customHeight="1">
      <c r="A13" s="433"/>
      <c r="B13" s="81" t="s">
        <v>203</v>
      </c>
      <c r="C13" s="134">
        <v>34</v>
      </c>
      <c r="D13" s="135">
        <v>25</v>
      </c>
      <c r="E13" s="494">
        <v>34</v>
      </c>
      <c r="F13" s="421">
        <v>25</v>
      </c>
      <c r="G13" s="494">
        <v>35</v>
      </c>
      <c r="H13" s="421">
        <v>26</v>
      </c>
      <c r="I13" s="494" t="s">
        <v>1170</v>
      </c>
      <c r="J13" s="421" t="s">
        <v>1170</v>
      </c>
      <c r="K13" s="494">
        <v>36</v>
      </c>
      <c r="L13" s="421">
        <v>27</v>
      </c>
    </row>
    <row r="14" spans="1:12" ht="24.95" customHeight="1">
      <c r="A14" s="433"/>
      <c r="B14" s="81" t="s">
        <v>204</v>
      </c>
      <c r="C14" s="134">
        <v>32</v>
      </c>
      <c r="D14" s="135">
        <v>25</v>
      </c>
      <c r="E14" s="494">
        <v>32</v>
      </c>
      <c r="F14" s="421">
        <v>25</v>
      </c>
      <c r="G14" s="494">
        <v>32</v>
      </c>
      <c r="H14" s="421">
        <v>25</v>
      </c>
      <c r="I14" s="494" t="s">
        <v>1170</v>
      </c>
      <c r="J14" s="421" t="s">
        <v>1170</v>
      </c>
      <c r="K14" s="494">
        <v>34</v>
      </c>
      <c r="L14" s="421">
        <v>27</v>
      </c>
    </row>
    <row r="15" spans="1:12" ht="24.95" customHeight="1">
      <c r="A15" s="433"/>
      <c r="B15" s="81" t="s">
        <v>205</v>
      </c>
      <c r="C15" s="134">
        <v>32</v>
      </c>
      <c r="D15" s="135">
        <v>25</v>
      </c>
      <c r="E15" s="494">
        <v>31</v>
      </c>
      <c r="F15" s="421">
        <v>25</v>
      </c>
      <c r="G15" s="494">
        <v>32</v>
      </c>
      <c r="H15" s="421">
        <v>25</v>
      </c>
      <c r="I15" s="494">
        <v>34</v>
      </c>
      <c r="J15" s="421">
        <v>24</v>
      </c>
      <c r="K15" s="494">
        <v>34</v>
      </c>
      <c r="L15" s="421">
        <v>26</v>
      </c>
    </row>
    <row r="16" spans="1:12" ht="24.95" customHeight="1">
      <c r="A16" s="433"/>
      <c r="B16" s="81" t="s">
        <v>206</v>
      </c>
      <c r="C16" s="134">
        <v>31</v>
      </c>
      <c r="D16" s="135">
        <v>24</v>
      </c>
      <c r="E16" s="494">
        <v>32</v>
      </c>
      <c r="F16" s="421">
        <v>24</v>
      </c>
      <c r="G16" s="494" t="s">
        <v>1170</v>
      </c>
      <c r="H16" s="421" t="s">
        <v>1170</v>
      </c>
      <c r="I16" s="494">
        <v>34</v>
      </c>
      <c r="J16" s="421">
        <v>26</v>
      </c>
      <c r="K16" s="494">
        <v>34</v>
      </c>
      <c r="L16" s="421">
        <v>26</v>
      </c>
    </row>
    <row r="17" spans="1:12" ht="24.95" customHeight="1">
      <c r="A17" s="433"/>
      <c r="B17" s="81" t="s">
        <v>207</v>
      </c>
      <c r="C17" s="134">
        <v>31</v>
      </c>
      <c r="D17" s="135">
        <v>23</v>
      </c>
      <c r="E17" s="494">
        <v>33</v>
      </c>
      <c r="F17" s="421">
        <v>23</v>
      </c>
      <c r="G17" s="494">
        <v>34</v>
      </c>
      <c r="H17" s="421">
        <v>21</v>
      </c>
      <c r="I17" s="494">
        <v>32</v>
      </c>
      <c r="J17" s="421">
        <v>22</v>
      </c>
      <c r="K17" s="494">
        <v>33</v>
      </c>
      <c r="L17" s="421">
        <v>23</v>
      </c>
    </row>
    <row r="18" spans="1:12" ht="24.95" customHeight="1">
      <c r="A18" s="433"/>
      <c r="B18" s="81" t="s">
        <v>208</v>
      </c>
      <c r="C18" s="134">
        <v>30</v>
      </c>
      <c r="D18" s="135">
        <v>20</v>
      </c>
      <c r="E18" s="494">
        <v>30</v>
      </c>
      <c r="F18" s="421">
        <v>17</v>
      </c>
      <c r="G18" s="494">
        <v>29</v>
      </c>
      <c r="H18" s="421">
        <v>16</v>
      </c>
      <c r="I18" s="494">
        <v>30</v>
      </c>
      <c r="J18" s="421">
        <v>16</v>
      </c>
      <c r="K18" s="494">
        <v>30</v>
      </c>
      <c r="L18" s="421">
        <v>16</v>
      </c>
    </row>
    <row r="19" spans="1:12" ht="24.95" customHeight="1">
      <c r="A19" s="433"/>
      <c r="B19" s="129" t="s">
        <v>209</v>
      </c>
      <c r="C19" s="127">
        <v>25</v>
      </c>
      <c r="D19" s="94">
        <v>12</v>
      </c>
      <c r="E19" s="127">
        <v>25</v>
      </c>
      <c r="F19" s="489">
        <v>12</v>
      </c>
      <c r="G19" s="127">
        <v>24</v>
      </c>
      <c r="H19" s="489">
        <v>12</v>
      </c>
      <c r="I19" s="127">
        <v>26</v>
      </c>
      <c r="J19" s="421">
        <v>13</v>
      </c>
      <c r="K19" s="127">
        <v>26</v>
      </c>
      <c r="L19" s="421">
        <v>12</v>
      </c>
    </row>
    <row r="20" spans="1:12" ht="13.5" customHeight="1">
      <c r="A20" s="433"/>
      <c r="H20" s="6"/>
      <c r="J20" s="778"/>
      <c r="K20" s="779"/>
      <c r="L20" s="745" t="s">
        <v>361</v>
      </c>
    </row>
    <row r="21" spans="1:12">
      <c r="A21" s="433"/>
    </row>
    <row r="22" spans="1:12">
      <c r="A22" s="433"/>
    </row>
    <row r="23" spans="1:12">
      <c r="A23" s="433"/>
    </row>
    <row r="24" spans="1:12">
      <c r="A24" s="433"/>
    </row>
    <row r="25" spans="1:12">
      <c r="A25" s="433"/>
    </row>
    <row r="26" spans="1:12">
      <c r="A26" s="433"/>
    </row>
    <row r="27" spans="1:12">
      <c r="A27" s="433"/>
    </row>
    <row r="28" spans="1:12">
      <c r="A28" s="433"/>
    </row>
    <row r="45" spans="4:11">
      <c r="D45" s="45"/>
      <c r="E45" s="45"/>
      <c r="F45" s="183"/>
      <c r="G45" s="183"/>
      <c r="H45" s="45"/>
      <c r="I45" s="45"/>
      <c r="J45" s="183"/>
      <c r="K45" s="183"/>
    </row>
    <row r="46" spans="4:11">
      <c r="D46" s="45"/>
      <c r="E46" s="45"/>
      <c r="F46" s="183"/>
      <c r="G46" s="183"/>
      <c r="H46" s="45"/>
      <c r="I46" s="45"/>
      <c r="J46" s="183"/>
      <c r="K46" s="183"/>
    </row>
    <row r="47" spans="4:11">
      <c r="D47" s="45"/>
      <c r="E47" s="45"/>
      <c r="F47" s="183"/>
      <c r="G47" s="183"/>
      <c r="H47" s="45"/>
      <c r="I47" s="45"/>
      <c r="J47" s="183"/>
      <c r="K47" s="183"/>
    </row>
    <row r="48" spans="4:11">
      <c r="D48" s="45"/>
      <c r="E48" s="45"/>
      <c r="F48" s="183"/>
      <c r="G48" s="183"/>
      <c r="H48" s="45"/>
      <c r="I48" s="45"/>
      <c r="J48" s="183"/>
      <c r="K48" s="183"/>
    </row>
    <row r="49" spans="4:11">
      <c r="D49" s="45"/>
      <c r="E49" s="45"/>
      <c r="F49" s="183"/>
      <c r="G49" s="183"/>
      <c r="H49" s="45"/>
      <c r="I49" s="45"/>
      <c r="J49" s="183"/>
      <c r="K49" s="183"/>
    </row>
    <row r="50" spans="4:11">
      <c r="D50" s="45"/>
      <c r="E50" s="45"/>
      <c r="F50" s="183"/>
      <c r="G50" s="183"/>
      <c r="H50" s="45"/>
      <c r="I50" s="45"/>
      <c r="J50" s="183"/>
      <c r="K50" s="183"/>
    </row>
    <row r="51" spans="4:11">
      <c r="D51" s="45"/>
      <c r="E51" s="45"/>
      <c r="F51" s="183"/>
      <c r="G51" s="183"/>
      <c r="H51" s="45"/>
      <c r="I51" s="45"/>
      <c r="J51" s="183"/>
      <c r="K51" s="183"/>
    </row>
    <row r="52" spans="4:11">
      <c r="D52" s="45"/>
      <c r="E52" s="45"/>
      <c r="F52" s="183"/>
      <c r="G52" s="183"/>
      <c r="H52" s="45"/>
      <c r="I52" s="45"/>
      <c r="J52" s="183"/>
      <c r="K52" s="183"/>
    </row>
    <row r="53" spans="4:11">
      <c r="D53" s="45"/>
      <c r="E53" s="45"/>
      <c r="F53" s="183"/>
      <c r="G53" s="183"/>
      <c r="H53" s="45"/>
      <c r="I53" s="45"/>
      <c r="J53" s="183"/>
      <c r="K53" s="183"/>
    </row>
    <row r="54" spans="4:11">
      <c r="D54" s="45"/>
      <c r="E54" s="45"/>
      <c r="F54" s="183"/>
      <c r="G54" s="183"/>
      <c r="H54" s="45"/>
      <c r="I54" s="45"/>
      <c r="J54" s="183"/>
      <c r="K54" s="183"/>
    </row>
    <row r="55" spans="4:11">
      <c r="D55" s="45"/>
      <c r="E55" s="45"/>
      <c r="F55" s="183"/>
      <c r="G55" s="183"/>
      <c r="H55" s="45"/>
      <c r="I55" s="45"/>
      <c r="J55" s="183"/>
      <c r="K55" s="183"/>
    </row>
    <row r="56" spans="4:11">
      <c r="D56" s="45"/>
      <c r="E56" s="45"/>
      <c r="F56" s="45"/>
      <c r="G56" s="45"/>
      <c r="H56" s="45"/>
      <c r="I56" s="45"/>
      <c r="J56" s="45"/>
      <c r="K56" s="45"/>
    </row>
  </sheetData>
  <mergeCells count="8">
    <mergeCell ref="B1:L1"/>
    <mergeCell ref="I4:J4"/>
    <mergeCell ref="K4:L4"/>
    <mergeCell ref="B2:L2"/>
    <mergeCell ref="B4:B6"/>
    <mergeCell ref="C4:D4"/>
    <mergeCell ref="E4:F4"/>
    <mergeCell ref="G4:H4"/>
  </mergeCells>
  <phoneticPr fontId="0" type="noConversion"/>
  <conditionalFormatting sqref="A1:XFD1048576">
    <cfRule type="cellIs" dxfId="16" priority="1" stopIfTrue="1" operator="equal">
      <formula>".."</formula>
    </cfRule>
  </conditionalFormatting>
  <pageMargins left="0.1" right="0.1" top="1" bottom="0.1" header="0.5" footer="0.01"/>
  <pageSetup paperSize="9" orientation="landscape" blackAndWhite="1" r:id="rId1"/>
  <headerFooter alignWithMargins="0"/>
</worksheet>
</file>

<file path=xl/worksheets/sheet80.xml><?xml version="1.0" encoding="utf-8"?>
<worksheet xmlns="http://schemas.openxmlformats.org/spreadsheetml/2006/main" xmlns:r="http://schemas.openxmlformats.org/officeDocument/2006/relationships">
  <dimension ref="A1:L25"/>
  <sheetViews>
    <sheetView topLeftCell="A7" workbookViewId="0">
      <selection activeCell="I14" sqref="I14"/>
    </sheetView>
  </sheetViews>
  <sheetFormatPr defaultRowHeight="12.75"/>
  <cols>
    <col min="1" max="1" width="4.5703125" style="405" customWidth="1"/>
    <col min="2" max="2" width="15.5703125" style="405" customWidth="1"/>
    <col min="3" max="3" width="22.140625" style="405" customWidth="1"/>
    <col min="4" max="4" width="14.28515625" style="405" customWidth="1"/>
    <col min="5" max="6" width="14.140625" style="405" customWidth="1"/>
    <col min="7" max="7" width="26.140625" style="405" customWidth="1"/>
    <col min="8" max="16384" width="9.140625" style="405"/>
  </cols>
  <sheetData>
    <row r="1" spans="1:12" s="529" customFormat="1" ht="13.5" customHeight="1">
      <c r="A1" s="1250" t="s">
        <v>1593</v>
      </c>
      <c r="B1" s="1250"/>
      <c r="C1" s="1250"/>
      <c r="D1" s="1250"/>
      <c r="E1" s="1250"/>
      <c r="F1" s="1250"/>
      <c r="G1" s="1250"/>
      <c r="H1" s="528"/>
      <c r="I1" s="528"/>
      <c r="J1" s="528"/>
      <c r="K1" s="528"/>
      <c r="L1" s="528"/>
    </row>
    <row r="2" spans="1:12" s="412" customFormat="1" ht="16.5" customHeight="1">
      <c r="A2" s="1267" t="str">
        <f>CONCATENATE("Some Basic Statistics about the Blocks of ",District!$A$1, " for the year ",District!C3)</f>
        <v>Some Basic Statistics about the Blocks of Nadia for the year 2013-14</v>
      </c>
      <c r="B2" s="1267"/>
      <c r="C2" s="1267"/>
      <c r="D2" s="1267"/>
      <c r="E2" s="1267"/>
      <c r="F2" s="1267"/>
      <c r="G2" s="1267"/>
    </row>
    <row r="3" spans="1:12" ht="36.75" customHeight="1">
      <c r="A3" s="219" t="s">
        <v>858</v>
      </c>
      <c r="B3" s="460" t="s">
        <v>1602</v>
      </c>
      <c r="C3" s="219" t="s">
        <v>247</v>
      </c>
      <c r="D3" s="219" t="s">
        <v>258</v>
      </c>
      <c r="E3" s="219" t="s">
        <v>259</v>
      </c>
      <c r="F3" s="219" t="s">
        <v>260</v>
      </c>
      <c r="G3" s="219" t="s">
        <v>1481</v>
      </c>
    </row>
    <row r="4" spans="1:12" ht="15.75" customHeight="1">
      <c r="A4" s="304" t="s">
        <v>163</v>
      </c>
      <c r="B4" s="226" t="s">
        <v>164</v>
      </c>
      <c r="C4" s="225" t="s">
        <v>165</v>
      </c>
      <c r="D4" s="225" t="s">
        <v>166</v>
      </c>
      <c r="E4" s="225" t="s">
        <v>167</v>
      </c>
      <c r="F4" s="225" t="s">
        <v>168</v>
      </c>
      <c r="G4" s="225" t="s">
        <v>169</v>
      </c>
    </row>
    <row r="5" spans="1:12" ht="19.5" customHeight="1">
      <c r="A5" s="204">
        <v>1</v>
      </c>
      <c r="B5" s="530" t="str">
        <f>District!A6</f>
        <v>Karimpur-I</v>
      </c>
      <c r="C5" s="463">
        <v>65</v>
      </c>
      <c r="D5" s="463">
        <v>230</v>
      </c>
      <c r="E5" s="463">
        <v>27</v>
      </c>
      <c r="F5" s="463">
        <v>45</v>
      </c>
      <c r="G5" s="465">
        <v>8</v>
      </c>
    </row>
    <row r="6" spans="1:12" ht="19.5" customHeight="1">
      <c r="A6" s="81">
        <v>2</v>
      </c>
      <c r="B6" s="530" t="str">
        <f>District!A7</f>
        <v>Karimpur-II</v>
      </c>
      <c r="C6" s="463">
        <v>65</v>
      </c>
      <c r="D6" s="463">
        <v>142</v>
      </c>
      <c r="E6" s="81" t="s">
        <v>643</v>
      </c>
      <c r="F6" s="463">
        <v>59</v>
      </c>
      <c r="G6" s="463">
        <v>10</v>
      </c>
    </row>
    <row r="7" spans="1:12" ht="19.5" customHeight="1">
      <c r="A7" s="81">
        <v>3</v>
      </c>
      <c r="B7" s="530" t="str">
        <f>District!A8</f>
        <v>Tehatta-I</v>
      </c>
      <c r="C7" s="463">
        <v>55</v>
      </c>
      <c r="D7" s="463">
        <v>312</v>
      </c>
      <c r="E7" s="463" t="s">
        <v>643</v>
      </c>
      <c r="F7" s="463">
        <v>76</v>
      </c>
      <c r="G7" s="463">
        <v>11</v>
      </c>
    </row>
    <row r="8" spans="1:12" ht="19.5" customHeight="1">
      <c r="A8" s="81">
        <v>4</v>
      </c>
      <c r="B8" s="530" t="str">
        <f>District!A9</f>
        <v>Tehatta-II</v>
      </c>
      <c r="C8" s="463">
        <v>32</v>
      </c>
      <c r="D8" s="463">
        <v>212</v>
      </c>
      <c r="E8" s="463">
        <v>5</v>
      </c>
      <c r="F8" s="463">
        <v>56</v>
      </c>
      <c r="G8" s="463">
        <v>7</v>
      </c>
    </row>
    <row r="9" spans="1:12" ht="19.5" customHeight="1">
      <c r="A9" s="81">
        <v>5</v>
      </c>
      <c r="B9" s="530" t="str">
        <f>District!A11</f>
        <v>Kaliganj</v>
      </c>
      <c r="C9" s="463">
        <v>105</v>
      </c>
      <c r="D9" s="463">
        <v>178</v>
      </c>
      <c r="E9" s="463">
        <v>25</v>
      </c>
      <c r="F9" s="463">
        <v>72</v>
      </c>
      <c r="G9" s="463">
        <v>15</v>
      </c>
    </row>
    <row r="10" spans="1:12" ht="19.5" customHeight="1">
      <c r="A10" s="81">
        <v>6</v>
      </c>
      <c r="B10" s="530" t="str">
        <f>District!A12</f>
        <v>Nakashipara</v>
      </c>
      <c r="C10" s="463">
        <v>101</v>
      </c>
      <c r="D10" s="463">
        <v>262</v>
      </c>
      <c r="E10" s="463">
        <v>18</v>
      </c>
      <c r="F10" s="463">
        <v>79</v>
      </c>
      <c r="G10" s="463">
        <v>15</v>
      </c>
    </row>
    <row r="11" spans="1:12" ht="19.5" customHeight="1">
      <c r="A11" s="81">
        <v>7</v>
      </c>
      <c r="B11" s="530" t="str">
        <f>District!A13</f>
        <v>Chapra</v>
      </c>
      <c r="C11" s="463">
        <v>77</v>
      </c>
      <c r="D11" s="463">
        <v>355</v>
      </c>
      <c r="E11" s="463">
        <v>34</v>
      </c>
      <c r="F11" s="463">
        <v>65</v>
      </c>
      <c r="G11" s="463">
        <v>13</v>
      </c>
    </row>
    <row r="12" spans="1:12" ht="19.5" customHeight="1">
      <c r="A12" s="81">
        <v>8</v>
      </c>
      <c r="B12" s="530" t="str">
        <f>District!A14</f>
        <v>Krishnaganj</v>
      </c>
      <c r="C12" s="463">
        <v>52</v>
      </c>
      <c r="D12" s="463">
        <v>9</v>
      </c>
      <c r="E12" s="463">
        <v>6</v>
      </c>
      <c r="F12" s="463">
        <v>30</v>
      </c>
      <c r="G12" s="463">
        <v>7</v>
      </c>
    </row>
    <row r="13" spans="1:12" ht="19.5" customHeight="1">
      <c r="A13" s="81">
        <v>9</v>
      </c>
      <c r="B13" s="530" t="str">
        <f>District!A15</f>
        <v>Krishnanagar-I</v>
      </c>
      <c r="C13" s="463">
        <v>87</v>
      </c>
      <c r="D13" s="463">
        <v>186</v>
      </c>
      <c r="E13" s="463">
        <v>5</v>
      </c>
      <c r="F13" s="463">
        <v>118</v>
      </c>
      <c r="G13" s="463">
        <v>12</v>
      </c>
    </row>
    <row r="14" spans="1:12" ht="19.5" customHeight="1">
      <c r="A14" s="81">
        <v>10</v>
      </c>
      <c r="B14" s="530" t="str">
        <f>District!A17</f>
        <v>Krishnanagar-II</v>
      </c>
      <c r="C14" s="463">
        <v>44</v>
      </c>
      <c r="D14" s="463">
        <v>82</v>
      </c>
      <c r="E14" s="463">
        <v>12</v>
      </c>
      <c r="F14" s="463">
        <v>32</v>
      </c>
      <c r="G14" s="463">
        <v>7</v>
      </c>
    </row>
    <row r="15" spans="1:12" ht="19.5" customHeight="1">
      <c r="A15" s="81">
        <v>11</v>
      </c>
      <c r="B15" s="530" t="str">
        <f>District!A18</f>
        <v>Nabadwip</v>
      </c>
      <c r="C15" s="463">
        <v>21</v>
      </c>
      <c r="D15" s="463">
        <v>29</v>
      </c>
      <c r="E15" s="463">
        <v>3</v>
      </c>
      <c r="F15" s="463">
        <v>91</v>
      </c>
      <c r="G15" s="463">
        <v>6</v>
      </c>
    </row>
    <row r="16" spans="1:12" ht="19.5" customHeight="1">
      <c r="A16" s="81">
        <v>12</v>
      </c>
      <c r="B16" s="530" t="str">
        <f>District!A21</f>
        <v>Santipur</v>
      </c>
      <c r="C16" s="463">
        <v>54</v>
      </c>
      <c r="D16" s="463">
        <v>85</v>
      </c>
      <c r="E16" s="463">
        <v>3</v>
      </c>
      <c r="F16" s="463">
        <v>79</v>
      </c>
      <c r="G16" s="463">
        <v>10</v>
      </c>
    </row>
    <row r="17" spans="1:7" ht="19.5" customHeight="1">
      <c r="A17" s="81">
        <v>13</v>
      </c>
      <c r="B17" s="530" t="str">
        <f>District!A23</f>
        <v>Hanskhali</v>
      </c>
      <c r="C17" s="463">
        <v>76</v>
      </c>
      <c r="D17" s="463">
        <v>176</v>
      </c>
      <c r="E17" s="81">
        <v>12</v>
      </c>
      <c r="F17" s="463">
        <v>61</v>
      </c>
      <c r="G17" s="463">
        <v>13</v>
      </c>
    </row>
    <row r="18" spans="1:7" ht="19.5" customHeight="1">
      <c r="A18" s="81">
        <v>14</v>
      </c>
      <c r="B18" s="530" t="str">
        <f>District!A24</f>
        <v>Ranaghat-I</v>
      </c>
      <c r="C18" s="463">
        <v>55</v>
      </c>
      <c r="D18" s="463">
        <v>189</v>
      </c>
      <c r="E18" s="463">
        <v>1</v>
      </c>
      <c r="F18" s="463">
        <v>77</v>
      </c>
      <c r="G18" s="463">
        <v>10</v>
      </c>
    </row>
    <row r="19" spans="1:7" ht="19.5" customHeight="1">
      <c r="A19" s="81">
        <v>15</v>
      </c>
      <c r="B19" s="530" t="s">
        <v>714</v>
      </c>
      <c r="C19" s="463">
        <v>108</v>
      </c>
      <c r="D19" s="463">
        <v>196</v>
      </c>
      <c r="E19" s="463">
        <v>12</v>
      </c>
      <c r="F19" s="463">
        <v>70</v>
      </c>
      <c r="G19" s="463">
        <v>14</v>
      </c>
    </row>
    <row r="20" spans="1:7" ht="19.5" customHeight="1">
      <c r="A20" s="81">
        <v>16</v>
      </c>
      <c r="B20" s="530" t="str">
        <f>District!A31</f>
        <v>Chakdaha</v>
      </c>
      <c r="C20" s="463">
        <v>137</v>
      </c>
      <c r="D20" s="463">
        <v>220</v>
      </c>
      <c r="E20" s="463" t="s">
        <v>643</v>
      </c>
      <c r="F20" s="463">
        <v>87</v>
      </c>
      <c r="G20" s="463">
        <v>17</v>
      </c>
    </row>
    <row r="21" spans="1:7" ht="19.5" customHeight="1">
      <c r="A21" s="129">
        <v>17</v>
      </c>
      <c r="B21" s="531" t="str">
        <f>District!A35</f>
        <v>Haringhata</v>
      </c>
      <c r="C21" s="468">
        <v>82</v>
      </c>
      <c r="D21" s="468">
        <v>207</v>
      </c>
      <c r="E21" s="468">
        <v>40</v>
      </c>
      <c r="F21" s="468">
        <v>44</v>
      </c>
      <c r="G21" s="468">
        <v>10</v>
      </c>
    </row>
    <row r="22" spans="1:7">
      <c r="B22" s="429"/>
      <c r="C22" s="429"/>
      <c r="D22" s="429"/>
      <c r="E22" s="430" t="s">
        <v>600</v>
      </c>
      <c r="F22" s="18" t="s">
        <v>1068</v>
      </c>
      <c r="G22" s="429"/>
    </row>
    <row r="23" spans="1:7">
      <c r="A23" s="6"/>
      <c r="B23" s="6"/>
      <c r="C23" s="6"/>
      <c r="E23" s="18"/>
      <c r="F23" s="18" t="s">
        <v>1069</v>
      </c>
      <c r="G23" s="6"/>
    </row>
    <row r="24" spans="1:7">
      <c r="E24" s="18"/>
      <c r="F24" s="18" t="s">
        <v>1070</v>
      </c>
      <c r="G24" s="6"/>
    </row>
    <row r="25" spans="1:7">
      <c r="E25" s="18"/>
      <c r="F25" s="18" t="s">
        <v>1071</v>
      </c>
    </row>
  </sheetData>
  <mergeCells count="2">
    <mergeCell ref="A1:G1"/>
    <mergeCell ref="A2:G2"/>
  </mergeCells>
  <phoneticPr fontId="0" type="noConversion"/>
  <printOptions horizontalCentered="1" verticalCentered="1"/>
  <pageMargins left="0.1" right="0.1" top="0.38" bottom="0.16" header="0.49" footer="0.16"/>
  <pageSetup paperSize="9" orientation="landscape" blackAndWhite="1" horizontalDpi="4294967295" verticalDpi="180" r:id="rId1"/>
  <headerFooter alignWithMargins="0"/>
</worksheet>
</file>

<file path=xl/worksheets/sheet81.xml><?xml version="1.0" encoding="utf-8"?>
<worksheet xmlns="http://schemas.openxmlformats.org/spreadsheetml/2006/main" xmlns:r="http://schemas.openxmlformats.org/officeDocument/2006/relationships">
  <dimension ref="A1:T33"/>
  <sheetViews>
    <sheetView workbookViewId="0">
      <selection activeCell="I14" sqref="I14"/>
    </sheetView>
  </sheetViews>
  <sheetFormatPr defaultRowHeight="12.75"/>
  <cols>
    <col min="1" max="1" width="4" style="11" customWidth="1"/>
    <col min="2" max="2" width="13.7109375" style="11" customWidth="1"/>
    <col min="3" max="3" width="8.42578125" style="11" customWidth="1"/>
    <col min="4" max="4" width="8" style="11" customWidth="1"/>
    <col min="5" max="5" width="7.85546875" style="11" customWidth="1"/>
    <col min="6" max="6" width="7.42578125" style="11" customWidth="1"/>
    <col min="7" max="7" width="7.85546875" style="11" customWidth="1"/>
    <col min="8" max="8" width="6.140625" style="11" customWidth="1"/>
    <col min="9" max="9" width="7.85546875" style="11" customWidth="1"/>
    <col min="10" max="10" width="6.42578125" style="11" customWidth="1"/>
    <col min="11" max="11" width="7.85546875" style="11" customWidth="1"/>
    <col min="12" max="12" width="6" style="11" customWidth="1"/>
    <col min="13" max="13" width="7.85546875" style="11" customWidth="1"/>
    <col min="14" max="14" width="6.28515625" style="11" customWidth="1"/>
    <col min="15" max="15" width="6.85546875" style="11" customWidth="1"/>
    <col min="16" max="16" width="7.42578125" style="11" customWidth="1"/>
    <col min="17" max="17" width="6.85546875" style="11" customWidth="1"/>
    <col min="18" max="19" width="8" style="11" customWidth="1"/>
    <col min="20" max="20" width="8.5703125" style="11" customWidth="1"/>
    <col min="21" max="16384" width="9.140625" style="11"/>
  </cols>
  <sheetData>
    <row r="1" spans="1:20" ht="12.75" customHeight="1">
      <c r="A1" s="1250" t="s">
        <v>492</v>
      </c>
      <c r="B1" s="1250"/>
      <c r="C1" s="1250"/>
      <c r="D1" s="1250"/>
      <c r="E1" s="1250"/>
      <c r="F1" s="1250"/>
      <c r="G1" s="1250"/>
      <c r="H1" s="1250"/>
      <c r="I1" s="1250"/>
      <c r="J1" s="1250"/>
      <c r="K1" s="1250"/>
      <c r="L1" s="1250"/>
      <c r="M1" s="1250"/>
      <c r="N1" s="1250"/>
      <c r="O1" s="1250"/>
      <c r="P1" s="1250"/>
      <c r="Q1" s="1250"/>
      <c r="R1" s="1250"/>
      <c r="S1" s="1250"/>
      <c r="T1" s="532"/>
    </row>
    <row r="2" spans="1:20" ht="18.75" customHeight="1">
      <c r="A2" s="1524" t="str">
        <f>CONCATENATE("Population by religion in the Blocks of ",District!$A$1,)</f>
        <v>Population by religion in the Blocks of Nadia</v>
      </c>
      <c r="B2" s="1524"/>
      <c r="C2" s="1524"/>
      <c r="D2" s="1524"/>
      <c r="E2" s="1524"/>
      <c r="F2" s="1524"/>
      <c r="G2" s="1524"/>
      <c r="H2" s="1524"/>
      <c r="I2" s="1524"/>
      <c r="J2" s="1524"/>
      <c r="K2" s="1524"/>
      <c r="L2" s="1524"/>
      <c r="M2" s="1524"/>
      <c r="N2" s="1524"/>
      <c r="O2" s="1524"/>
      <c r="P2" s="1524"/>
      <c r="Q2" s="1524"/>
      <c r="R2" s="1524"/>
      <c r="S2" s="1524"/>
      <c r="T2" s="533"/>
    </row>
    <row r="3" spans="1:20" ht="14.25" customHeight="1">
      <c r="A3" s="1262" t="s">
        <v>858</v>
      </c>
      <c r="B3" s="1262" t="s">
        <v>1602</v>
      </c>
      <c r="C3" s="1262" t="s">
        <v>179</v>
      </c>
      <c r="D3" s="1253" t="s">
        <v>873</v>
      </c>
      <c r="E3" s="1252"/>
      <c r="F3" s="1251" t="s">
        <v>874</v>
      </c>
      <c r="G3" s="1251"/>
      <c r="H3" s="1253" t="s">
        <v>875</v>
      </c>
      <c r="I3" s="1252"/>
      <c r="J3" s="1251" t="s">
        <v>876</v>
      </c>
      <c r="K3" s="1251"/>
      <c r="L3" s="1253" t="s">
        <v>877</v>
      </c>
      <c r="M3" s="1252"/>
      <c r="N3" s="1251" t="s">
        <v>878</v>
      </c>
      <c r="O3" s="1251"/>
      <c r="P3" s="1253" t="s">
        <v>320</v>
      </c>
      <c r="Q3" s="1252"/>
      <c r="R3" s="1251" t="s">
        <v>210</v>
      </c>
      <c r="S3" s="1252"/>
      <c r="T3" s="534"/>
    </row>
    <row r="4" spans="1:20" ht="78.75" customHeight="1">
      <c r="A4" s="1263"/>
      <c r="B4" s="1263"/>
      <c r="C4" s="1263"/>
      <c r="D4" s="495" t="s">
        <v>180</v>
      </c>
      <c r="E4" s="535" t="s">
        <v>1482</v>
      </c>
      <c r="F4" s="495" t="s">
        <v>180</v>
      </c>
      <c r="G4" s="535" t="s">
        <v>1482</v>
      </c>
      <c r="H4" s="495" t="s">
        <v>180</v>
      </c>
      <c r="I4" s="535" t="s">
        <v>1482</v>
      </c>
      <c r="J4" s="495" t="s">
        <v>180</v>
      </c>
      <c r="K4" s="535" t="s">
        <v>1482</v>
      </c>
      <c r="L4" s="495" t="s">
        <v>180</v>
      </c>
      <c r="M4" s="535" t="s">
        <v>1482</v>
      </c>
      <c r="N4" s="495" t="s">
        <v>180</v>
      </c>
      <c r="O4" s="535" t="s">
        <v>1482</v>
      </c>
      <c r="P4" s="495" t="s">
        <v>180</v>
      </c>
      <c r="Q4" s="535" t="s">
        <v>1482</v>
      </c>
      <c r="R4" s="495" t="s">
        <v>180</v>
      </c>
      <c r="S4" s="535" t="s">
        <v>1482</v>
      </c>
      <c r="T4" s="536"/>
    </row>
    <row r="5" spans="1:20" ht="15" customHeight="1">
      <c r="A5" s="299" t="s">
        <v>163</v>
      </c>
      <c r="B5" s="225" t="s">
        <v>164</v>
      </c>
      <c r="C5" s="226" t="s">
        <v>165</v>
      </c>
      <c r="D5" s="537" t="s">
        <v>166</v>
      </c>
      <c r="E5" s="514" t="s">
        <v>167</v>
      </c>
      <c r="F5" s="226" t="s">
        <v>168</v>
      </c>
      <c r="G5" s="225" t="s">
        <v>169</v>
      </c>
      <c r="H5" s="299" t="s">
        <v>211</v>
      </c>
      <c r="I5" s="225" t="s">
        <v>212</v>
      </c>
      <c r="J5" s="226" t="s">
        <v>213</v>
      </c>
      <c r="K5" s="225" t="s">
        <v>214</v>
      </c>
      <c r="L5" s="299" t="s">
        <v>253</v>
      </c>
      <c r="M5" s="225" t="s">
        <v>254</v>
      </c>
      <c r="N5" s="226" t="s">
        <v>255</v>
      </c>
      <c r="O5" s="225" t="s">
        <v>256</v>
      </c>
      <c r="P5" s="299" t="s">
        <v>257</v>
      </c>
      <c r="Q5" s="225" t="s">
        <v>262</v>
      </c>
      <c r="R5" s="226" t="s">
        <v>264</v>
      </c>
      <c r="S5" s="225" t="s">
        <v>263</v>
      </c>
      <c r="T5" s="538"/>
    </row>
    <row r="6" spans="1:20" ht="15" customHeight="1">
      <c r="A6" s="1333" t="s">
        <v>581</v>
      </c>
      <c r="B6" s="1660" t="s">
        <v>1266</v>
      </c>
      <c r="C6" s="265">
        <v>2001</v>
      </c>
      <c r="D6" s="268">
        <v>195736</v>
      </c>
      <c r="E6" s="269">
        <f>IF(D6="-","-",ROUND(D6/$R6*100,2))</f>
        <v>54.57</v>
      </c>
      <c r="F6" s="270">
        <v>162357</v>
      </c>
      <c r="G6" s="269">
        <f t="shared" ref="G6:G31" si="0">IF(F6="-","-",ROUND(F6/$R6*100,2))</f>
        <v>45.27</v>
      </c>
      <c r="H6" s="268">
        <v>382</v>
      </c>
      <c r="I6" s="269">
        <f>IF(H6="-","-",ROUND(H6/$R6*100,2))-0.01</f>
        <v>0.1</v>
      </c>
      <c r="J6" s="271">
        <v>30</v>
      </c>
      <c r="K6" s="269">
        <f t="shared" ref="K6:K31" si="1">IF(J6="-","-",ROUND(J6/$R6*100,2))</f>
        <v>0.01</v>
      </c>
      <c r="L6" s="268">
        <v>37</v>
      </c>
      <c r="M6" s="269">
        <f t="shared" ref="M6:M31" si="2">IF(L6="-","-",ROUND(L6/$R6*100,2))</f>
        <v>0.01</v>
      </c>
      <c r="N6" s="270">
        <v>28</v>
      </c>
      <c r="O6" s="269">
        <f t="shared" ref="O6:O31" si="3">IF(N6="-","-",ROUND(N6/$R6*100,2))</f>
        <v>0.01</v>
      </c>
      <c r="P6" s="272">
        <v>103</v>
      </c>
      <c r="Q6" s="269">
        <f t="shared" ref="Q6:Q31" si="4">IF(P6="-","-",ROUND(P6/$R6*100,2))</f>
        <v>0.03</v>
      </c>
      <c r="R6" s="265">
        <f>SUM(D6,F6,H6,J6,L6,N6,P6)</f>
        <v>358673</v>
      </c>
      <c r="S6" s="159">
        <f>SUM(E6,G6,I6,K6,M6,O6,Q6)</f>
        <v>100.00000000000001</v>
      </c>
      <c r="T6" s="192"/>
    </row>
    <row r="7" spans="1:20" ht="15" customHeight="1">
      <c r="A7" s="1399"/>
      <c r="B7" s="1661"/>
      <c r="C7" s="212">
        <v>1991</v>
      </c>
      <c r="D7" s="237">
        <v>173914</v>
      </c>
      <c r="E7" s="273">
        <f t="shared" ref="E7:E31" si="5">IF(D7="-","-",ROUND(D7/$R7*100,2))</f>
        <v>56.65</v>
      </c>
      <c r="F7" s="155">
        <v>132729</v>
      </c>
      <c r="G7" s="273">
        <f t="shared" si="0"/>
        <v>43.24</v>
      </c>
      <c r="H7" s="237">
        <v>218</v>
      </c>
      <c r="I7" s="273">
        <f t="shared" ref="I7:I31" si="6">IF(H7="-","-",ROUND(H7/$R7*100,2))</f>
        <v>7.0000000000000007E-2</v>
      </c>
      <c r="J7" s="155">
        <v>19</v>
      </c>
      <c r="K7" s="273">
        <f t="shared" si="1"/>
        <v>0.01</v>
      </c>
      <c r="L7" s="274" t="s">
        <v>643</v>
      </c>
      <c r="M7" s="273" t="str">
        <f t="shared" si="2"/>
        <v>-</v>
      </c>
      <c r="N7" s="155">
        <v>26</v>
      </c>
      <c r="O7" s="273">
        <f t="shared" si="3"/>
        <v>0.01</v>
      </c>
      <c r="P7" s="237">
        <v>66</v>
      </c>
      <c r="Q7" s="273">
        <f t="shared" si="4"/>
        <v>0.02</v>
      </c>
      <c r="R7" s="212">
        <f t="shared" ref="R7:S31" si="7">SUM(D7,F7,H7,J7,L7,N7,P7)</f>
        <v>306972</v>
      </c>
      <c r="S7" s="160">
        <f t="shared" si="7"/>
        <v>100</v>
      </c>
      <c r="T7" s="192"/>
    </row>
    <row r="8" spans="1:20" ht="15" customHeight="1">
      <c r="A8" s="1333" t="s">
        <v>582</v>
      </c>
      <c r="B8" s="1660" t="s">
        <v>1268</v>
      </c>
      <c r="C8" s="265">
        <v>2001</v>
      </c>
      <c r="D8" s="268">
        <v>220357</v>
      </c>
      <c r="E8" s="269">
        <f t="shared" si="5"/>
        <v>62.67</v>
      </c>
      <c r="F8" s="270">
        <v>127045</v>
      </c>
      <c r="G8" s="269">
        <f t="shared" si="0"/>
        <v>36.130000000000003</v>
      </c>
      <c r="H8" s="268">
        <v>3992</v>
      </c>
      <c r="I8" s="269">
        <f t="shared" si="6"/>
        <v>1.1399999999999999</v>
      </c>
      <c r="J8" s="271">
        <v>18</v>
      </c>
      <c r="K8" s="269">
        <f t="shared" si="1"/>
        <v>0.01</v>
      </c>
      <c r="L8" s="272">
        <v>15</v>
      </c>
      <c r="M8" s="269">
        <f t="shared" si="2"/>
        <v>0</v>
      </c>
      <c r="N8" s="270">
        <v>45</v>
      </c>
      <c r="O8" s="269">
        <f t="shared" si="3"/>
        <v>0.01</v>
      </c>
      <c r="P8" s="268">
        <v>148</v>
      </c>
      <c r="Q8" s="269">
        <f t="shared" si="4"/>
        <v>0.04</v>
      </c>
      <c r="R8" s="265">
        <f t="shared" si="7"/>
        <v>351620</v>
      </c>
      <c r="S8" s="159">
        <f t="shared" si="7"/>
        <v>100.00000000000003</v>
      </c>
      <c r="T8" s="192"/>
    </row>
    <row r="9" spans="1:20" ht="15" customHeight="1">
      <c r="A9" s="1399"/>
      <c r="B9" s="1661"/>
      <c r="C9" s="212">
        <v>1991</v>
      </c>
      <c r="D9" s="237">
        <v>184404</v>
      </c>
      <c r="E9" s="273">
        <f>IF(D9="-","-",ROUND(D9/$R9*100,2))</f>
        <v>61.3</v>
      </c>
      <c r="F9" s="155">
        <v>112758</v>
      </c>
      <c r="G9" s="273">
        <f>IF(F9="-","-",ROUND(F9/$R9*100,2))+0.01</f>
        <v>37.489999999999995</v>
      </c>
      <c r="H9" s="237">
        <v>3605</v>
      </c>
      <c r="I9" s="273">
        <f t="shared" si="6"/>
        <v>1.2</v>
      </c>
      <c r="J9" s="275" t="s">
        <v>643</v>
      </c>
      <c r="K9" s="273" t="str">
        <f t="shared" si="1"/>
        <v>-</v>
      </c>
      <c r="L9" s="237">
        <v>10</v>
      </c>
      <c r="M9" s="273">
        <f t="shared" si="2"/>
        <v>0</v>
      </c>
      <c r="N9" s="155">
        <v>14</v>
      </c>
      <c r="O9" s="273">
        <f t="shared" si="3"/>
        <v>0</v>
      </c>
      <c r="P9" s="237">
        <v>20</v>
      </c>
      <c r="Q9" s="273">
        <f t="shared" si="4"/>
        <v>0.01</v>
      </c>
      <c r="R9" s="212">
        <f t="shared" si="7"/>
        <v>300811</v>
      </c>
      <c r="S9" s="160">
        <f t="shared" si="7"/>
        <v>100</v>
      </c>
      <c r="T9" s="192"/>
    </row>
    <row r="10" spans="1:20" ht="15" customHeight="1">
      <c r="A10" s="1268">
        <v>5</v>
      </c>
      <c r="B10" s="1662" t="s">
        <v>1122</v>
      </c>
      <c r="C10" s="265">
        <v>2001</v>
      </c>
      <c r="D10" s="268">
        <v>128747</v>
      </c>
      <c r="E10" s="269">
        <f t="shared" si="5"/>
        <v>44.25</v>
      </c>
      <c r="F10" s="270">
        <v>161705</v>
      </c>
      <c r="G10" s="269">
        <f>IF(F10="-","-",ROUND(F10/$R10*100,2))+0.01</f>
        <v>55.589999999999996</v>
      </c>
      <c r="H10" s="268">
        <v>71</v>
      </c>
      <c r="I10" s="269">
        <f t="shared" si="6"/>
        <v>0.02</v>
      </c>
      <c r="J10" s="270">
        <v>33</v>
      </c>
      <c r="K10" s="269">
        <f t="shared" si="1"/>
        <v>0.01</v>
      </c>
      <c r="L10" s="268">
        <v>14</v>
      </c>
      <c r="M10" s="269">
        <f t="shared" si="2"/>
        <v>0</v>
      </c>
      <c r="N10" s="271">
        <v>5</v>
      </c>
      <c r="O10" s="269">
        <f t="shared" si="3"/>
        <v>0</v>
      </c>
      <c r="P10" s="272">
        <v>382</v>
      </c>
      <c r="Q10" s="269">
        <f t="shared" si="4"/>
        <v>0.13</v>
      </c>
      <c r="R10" s="265">
        <f t="shared" si="7"/>
        <v>290957</v>
      </c>
      <c r="S10" s="159">
        <f t="shared" si="7"/>
        <v>100</v>
      </c>
      <c r="T10" s="192"/>
    </row>
    <row r="11" spans="1:20" ht="15" customHeight="1">
      <c r="A11" s="1399"/>
      <c r="B11" s="1663"/>
      <c r="C11" s="212">
        <v>1991</v>
      </c>
      <c r="D11" s="237">
        <v>114507</v>
      </c>
      <c r="E11" s="273">
        <f t="shared" si="5"/>
        <v>47.96</v>
      </c>
      <c r="F11" s="212">
        <v>124226</v>
      </c>
      <c r="G11" s="273">
        <f t="shared" si="0"/>
        <v>52.03</v>
      </c>
      <c r="H11" s="237">
        <v>7</v>
      </c>
      <c r="I11" s="273">
        <f>IF(H11="-","-",ROUND(H11/$R11*100,2))+0.01</f>
        <v>0.01</v>
      </c>
      <c r="J11" s="275" t="s">
        <v>643</v>
      </c>
      <c r="K11" s="273" t="str">
        <f t="shared" si="1"/>
        <v>-</v>
      </c>
      <c r="L11" s="237">
        <v>7</v>
      </c>
      <c r="M11" s="273">
        <f t="shared" si="2"/>
        <v>0</v>
      </c>
      <c r="N11" s="275" t="s">
        <v>643</v>
      </c>
      <c r="O11" s="273" t="str">
        <f t="shared" si="3"/>
        <v>-</v>
      </c>
      <c r="P11" s="274" t="s">
        <v>643</v>
      </c>
      <c r="Q11" s="273" t="str">
        <f t="shared" si="4"/>
        <v>-</v>
      </c>
      <c r="R11" s="212">
        <f t="shared" si="7"/>
        <v>238747</v>
      </c>
      <c r="S11" s="160">
        <f t="shared" si="7"/>
        <v>100.00000000000001</v>
      </c>
      <c r="T11" s="192"/>
    </row>
    <row r="12" spans="1:20" ht="15" customHeight="1">
      <c r="A12" s="1268">
        <v>6</v>
      </c>
      <c r="B12" s="1662" t="s">
        <v>1123</v>
      </c>
      <c r="C12" s="265">
        <v>2001</v>
      </c>
      <c r="D12" s="268">
        <v>164836</v>
      </c>
      <c r="E12" s="269">
        <f t="shared" si="5"/>
        <v>49.21</v>
      </c>
      <c r="F12" s="270">
        <v>169659</v>
      </c>
      <c r="G12" s="269">
        <f t="shared" si="0"/>
        <v>50.65</v>
      </c>
      <c r="H12" s="268">
        <v>97</v>
      </c>
      <c r="I12" s="269">
        <f t="shared" si="6"/>
        <v>0.03</v>
      </c>
      <c r="J12" s="270">
        <v>6</v>
      </c>
      <c r="K12" s="269">
        <f t="shared" si="1"/>
        <v>0</v>
      </c>
      <c r="L12" s="272">
        <v>11</v>
      </c>
      <c r="M12" s="269">
        <f t="shared" si="2"/>
        <v>0</v>
      </c>
      <c r="N12" s="270">
        <v>42</v>
      </c>
      <c r="O12" s="269">
        <f t="shared" si="3"/>
        <v>0.01</v>
      </c>
      <c r="P12" s="272">
        <v>338</v>
      </c>
      <c r="Q12" s="269">
        <f t="shared" si="4"/>
        <v>0.1</v>
      </c>
      <c r="R12" s="265">
        <f>SUM(D12,F12,H12,J12,L12,N12,P12)</f>
        <v>334989</v>
      </c>
      <c r="S12" s="159">
        <f t="shared" si="7"/>
        <v>100</v>
      </c>
      <c r="T12" s="192"/>
    </row>
    <row r="13" spans="1:20" ht="15" customHeight="1">
      <c r="A13" s="1399"/>
      <c r="B13" s="1663"/>
      <c r="C13" s="212">
        <v>1991</v>
      </c>
      <c r="D13" s="237">
        <v>138963</v>
      </c>
      <c r="E13" s="273">
        <f t="shared" si="5"/>
        <v>50.93</v>
      </c>
      <c r="F13" s="155">
        <v>133768</v>
      </c>
      <c r="G13" s="273">
        <f t="shared" si="0"/>
        <v>49.02</v>
      </c>
      <c r="H13" s="237">
        <v>55</v>
      </c>
      <c r="I13" s="273">
        <f t="shared" si="6"/>
        <v>0.02</v>
      </c>
      <c r="J13" s="155">
        <v>40</v>
      </c>
      <c r="K13" s="273">
        <f>IF(J13="-","-",ROUND(J13/$R13*100,2))+0.01</f>
        <v>0.02</v>
      </c>
      <c r="L13" s="237">
        <v>3</v>
      </c>
      <c r="M13" s="273">
        <f t="shared" si="2"/>
        <v>0</v>
      </c>
      <c r="N13" s="155">
        <v>36</v>
      </c>
      <c r="O13" s="273">
        <f t="shared" si="3"/>
        <v>0.01</v>
      </c>
      <c r="P13" s="237">
        <v>12</v>
      </c>
      <c r="Q13" s="273">
        <f t="shared" si="4"/>
        <v>0</v>
      </c>
      <c r="R13" s="212">
        <f>SUM(D13,F13,H13,J13,L13,N13,P13)</f>
        <v>272877</v>
      </c>
      <c r="S13" s="160">
        <f t="shared" si="7"/>
        <v>100</v>
      </c>
      <c r="T13" s="192"/>
    </row>
    <row r="14" spans="1:20" ht="15" customHeight="1">
      <c r="A14" s="1268">
        <v>7</v>
      </c>
      <c r="B14" s="1662" t="s">
        <v>1124</v>
      </c>
      <c r="C14" s="265">
        <v>2001</v>
      </c>
      <c r="D14" s="268">
        <v>106413</v>
      </c>
      <c r="E14" s="269">
        <f t="shared" si="5"/>
        <v>39.08</v>
      </c>
      <c r="F14" s="270">
        <v>156727</v>
      </c>
      <c r="G14" s="269">
        <f t="shared" si="0"/>
        <v>57.56</v>
      </c>
      <c r="H14" s="268">
        <v>8952</v>
      </c>
      <c r="I14" s="269">
        <f t="shared" si="6"/>
        <v>3.29</v>
      </c>
      <c r="J14" s="271">
        <v>88</v>
      </c>
      <c r="K14" s="269">
        <f t="shared" si="1"/>
        <v>0.03</v>
      </c>
      <c r="L14" s="272">
        <v>23</v>
      </c>
      <c r="M14" s="269">
        <f t="shared" si="2"/>
        <v>0.01</v>
      </c>
      <c r="N14" s="271">
        <v>6</v>
      </c>
      <c r="O14" s="269">
        <f t="shared" si="3"/>
        <v>0</v>
      </c>
      <c r="P14" s="272">
        <v>80</v>
      </c>
      <c r="Q14" s="269">
        <f t="shared" si="4"/>
        <v>0.03</v>
      </c>
      <c r="R14" s="265">
        <f t="shared" si="7"/>
        <v>272289</v>
      </c>
      <c r="S14" s="159">
        <f t="shared" si="7"/>
        <v>100.00000000000001</v>
      </c>
      <c r="T14" s="192"/>
    </row>
    <row r="15" spans="1:20" ht="15" customHeight="1">
      <c r="A15" s="1399"/>
      <c r="B15" s="1663"/>
      <c r="C15" s="212">
        <v>1991</v>
      </c>
      <c r="D15" s="237">
        <v>68347</v>
      </c>
      <c r="E15" s="273">
        <f t="shared" si="5"/>
        <v>29.82</v>
      </c>
      <c r="F15" s="155">
        <v>152072</v>
      </c>
      <c r="G15" s="273">
        <f t="shared" si="0"/>
        <v>66.34</v>
      </c>
      <c r="H15" s="237">
        <v>8633</v>
      </c>
      <c r="I15" s="273">
        <f t="shared" si="6"/>
        <v>3.77</v>
      </c>
      <c r="J15" s="155">
        <v>141</v>
      </c>
      <c r="K15" s="273">
        <f t="shared" si="1"/>
        <v>0.06</v>
      </c>
      <c r="L15" s="274" t="s">
        <v>643</v>
      </c>
      <c r="M15" s="273" t="str">
        <f t="shared" si="2"/>
        <v>-</v>
      </c>
      <c r="N15" s="275" t="s">
        <v>643</v>
      </c>
      <c r="O15" s="273" t="str">
        <f t="shared" si="3"/>
        <v>-</v>
      </c>
      <c r="P15" s="237">
        <v>31</v>
      </c>
      <c r="Q15" s="273">
        <f t="shared" si="4"/>
        <v>0.01</v>
      </c>
      <c r="R15" s="212">
        <f t="shared" si="7"/>
        <v>229224</v>
      </c>
      <c r="S15" s="160">
        <f t="shared" si="7"/>
        <v>100</v>
      </c>
      <c r="T15" s="192"/>
    </row>
    <row r="16" spans="1:20" ht="15" customHeight="1">
      <c r="A16" s="1268">
        <v>8</v>
      </c>
      <c r="B16" s="1662" t="s">
        <v>1125</v>
      </c>
      <c r="C16" s="265">
        <v>2001</v>
      </c>
      <c r="D16" s="268">
        <v>125642</v>
      </c>
      <c r="E16" s="269">
        <f t="shared" si="5"/>
        <v>94.21</v>
      </c>
      <c r="F16" s="270">
        <v>7482</v>
      </c>
      <c r="G16" s="269">
        <f t="shared" si="0"/>
        <v>5.61</v>
      </c>
      <c r="H16" s="268">
        <v>178</v>
      </c>
      <c r="I16" s="269">
        <f t="shared" si="6"/>
        <v>0.13</v>
      </c>
      <c r="J16" s="271">
        <v>27</v>
      </c>
      <c r="K16" s="269">
        <f t="shared" si="1"/>
        <v>0.02</v>
      </c>
      <c r="L16" s="272">
        <v>8</v>
      </c>
      <c r="M16" s="269">
        <f t="shared" si="2"/>
        <v>0.01</v>
      </c>
      <c r="N16" s="270">
        <v>1</v>
      </c>
      <c r="O16" s="269">
        <f t="shared" si="3"/>
        <v>0</v>
      </c>
      <c r="P16" s="272">
        <v>21</v>
      </c>
      <c r="Q16" s="269">
        <f t="shared" si="4"/>
        <v>0.02</v>
      </c>
      <c r="R16" s="265">
        <f t="shared" si="7"/>
        <v>133359</v>
      </c>
      <c r="S16" s="159">
        <f t="shared" si="7"/>
        <v>99.999999999999986</v>
      </c>
      <c r="T16" s="192"/>
    </row>
    <row r="17" spans="1:20" ht="15" customHeight="1">
      <c r="A17" s="1399"/>
      <c r="B17" s="1663"/>
      <c r="C17" s="212">
        <v>1991</v>
      </c>
      <c r="D17" s="237">
        <v>106929</v>
      </c>
      <c r="E17" s="273">
        <f t="shared" si="5"/>
        <v>94.73</v>
      </c>
      <c r="F17" s="155">
        <v>5903</v>
      </c>
      <c r="G17" s="273">
        <f t="shared" si="0"/>
        <v>5.23</v>
      </c>
      <c r="H17" s="237">
        <v>31</v>
      </c>
      <c r="I17" s="273">
        <f t="shared" si="6"/>
        <v>0.03</v>
      </c>
      <c r="J17" s="275" t="s">
        <v>643</v>
      </c>
      <c r="K17" s="273" t="str">
        <f t="shared" si="1"/>
        <v>-</v>
      </c>
      <c r="L17" s="274" t="s">
        <v>643</v>
      </c>
      <c r="M17" s="273" t="str">
        <f t="shared" si="2"/>
        <v>-</v>
      </c>
      <c r="N17" s="155">
        <v>9</v>
      </c>
      <c r="O17" s="273">
        <f t="shared" si="3"/>
        <v>0.01</v>
      </c>
      <c r="P17" s="274" t="s">
        <v>643</v>
      </c>
      <c r="Q17" s="273" t="str">
        <f t="shared" si="4"/>
        <v>-</v>
      </c>
      <c r="R17" s="212">
        <f t="shared" si="7"/>
        <v>112872</v>
      </c>
      <c r="S17" s="160">
        <f t="shared" si="7"/>
        <v>100.00000000000001</v>
      </c>
      <c r="T17" s="192"/>
    </row>
    <row r="18" spans="1:20" ht="15" customHeight="1">
      <c r="A18" s="1333" t="s">
        <v>583</v>
      </c>
      <c r="B18" s="1660" t="s">
        <v>1269</v>
      </c>
      <c r="C18" s="265">
        <v>2001</v>
      </c>
      <c r="D18" s="268">
        <v>311840</v>
      </c>
      <c r="E18" s="269">
        <f>IF(D18="-","-",ROUND(D18/$R18*100,2))+0.01</f>
        <v>77.09</v>
      </c>
      <c r="F18" s="270">
        <v>90806</v>
      </c>
      <c r="G18" s="269">
        <f t="shared" si="0"/>
        <v>22.45</v>
      </c>
      <c r="H18" s="268">
        <v>1471</v>
      </c>
      <c r="I18" s="269">
        <f t="shared" si="6"/>
        <v>0.36</v>
      </c>
      <c r="J18" s="271">
        <v>68</v>
      </c>
      <c r="K18" s="269">
        <f t="shared" si="1"/>
        <v>0.02</v>
      </c>
      <c r="L18" s="272">
        <v>135</v>
      </c>
      <c r="M18" s="269">
        <f t="shared" si="2"/>
        <v>0.03</v>
      </c>
      <c r="N18" s="270">
        <v>11</v>
      </c>
      <c r="O18" s="269">
        <f t="shared" si="3"/>
        <v>0</v>
      </c>
      <c r="P18" s="268">
        <v>214</v>
      </c>
      <c r="Q18" s="269">
        <f t="shared" si="4"/>
        <v>0.05</v>
      </c>
      <c r="R18" s="265">
        <f t="shared" si="7"/>
        <v>404545</v>
      </c>
      <c r="S18" s="159">
        <f t="shared" si="7"/>
        <v>100</v>
      </c>
      <c r="T18" s="192"/>
    </row>
    <row r="19" spans="1:20" ht="15" customHeight="1">
      <c r="A19" s="1399"/>
      <c r="B19" s="1661"/>
      <c r="C19" s="212">
        <v>1991</v>
      </c>
      <c r="D19" s="237">
        <v>255189</v>
      </c>
      <c r="E19" s="273">
        <f t="shared" si="5"/>
        <v>77.319999999999993</v>
      </c>
      <c r="F19" s="155">
        <v>73355</v>
      </c>
      <c r="G19" s="273">
        <f t="shared" si="0"/>
        <v>22.23</v>
      </c>
      <c r="H19" s="237">
        <v>1368</v>
      </c>
      <c r="I19" s="273">
        <f>IF(H19="-","-",ROUND(H19/$R19*100,2))+0.01</f>
        <v>0.42</v>
      </c>
      <c r="J19" s="275" t="s">
        <v>643</v>
      </c>
      <c r="K19" s="273" t="str">
        <f t="shared" si="1"/>
        <v>-</v>
      </c>
      <c r="L19" s="274" t="s">
        <v>643</v>
      </c>
      <c r="M19" s="273" t="str">
        <f t="shared" si="2"/>
        <v>-</v>
      </c>
      <c r="N19" s="155">
        <v>5</v>
      </c>
      <c r="O19" s="273">
        <f t="shared" si="3"/>
        <v>0</v>
      </c>
      <c r="P19" s="237">
        <v>107</v>
      </c>
      <c r="Q19" s="273">
        <f t="shared" si="4"/>
        <v>0.03</v>
      </c>
      <c r="R19" s="212">
        <f t="shared" si="7"/>
        <v>330024</v>
      </c>
      <c r="S19" s="160">
        <f t="shared" si="7"/>
        <v>100</v>
      </c>
      <c r="T19" s="192"/>
    </row>
    <row r="20" spans="1:20" ht="15" customHeight="1">
      <c r="A20" s="1268">
        <v>11</v>
      </c>
      <c r="B20" s="1662" t="s">
        <v>90</v>
      </c>
      <c r="C20" s="265">
        <v>2001</v>
      </c>
      <c r="D20" s="268">
        <v>79059</v>
      </c>
      <c r="E20" s="269">
        <f t="shared" si="5"/>
        <v>64.91</v>
      </c>
      <c r="F20" s="270">
        <v>42636</v>
      </c>
      <c r="G20" s="269">
        <f t="shared" si="0"/>
        <v>35</v>
      </c>
      <c r="H20" s="268">
        <v>8</v>
      </c>
      <c r="I20" s="269">
        <f t="shared" si="6"/>
        <v>0.01</v>
      </c>
      <c r="J20" s="271">
        <v>11</v>
      </c>
      <c r="K20" s="269">
        <f t="shared" si="1"/>
        <v>0.01</v>
      </c>
      <c r="L20" s="272">
        <v>20</v>
      </c>
      <c r="M20" s="269">
        <f>IF(L20="-","-",ROUND(L20/$R20*100,2))-0.01</f>
        <v>0.01</v>
      </c>
      <c r="N20" s="271">
        <v>1</v>
      </c>
      <c r="O20" s="269">
        <f t="shared" si="3"/>
        <v>0</v>
      </c>
      <c r="P20" s="272">
        <v>72</v>
      </c>
      <c r="Q20" s="269">
        <f t="shared" si="4"/>
        <v>0.06</v>
      </c>
      <c r="R20" s="265">
        <f t="shared" si="7"/>
        <v>121807</v>
      </c>
      <c r="S20" s="159">
        <f t="shared" si="7"/>
        <v>100.00000000000001</v>
      </c>
      <c r="T20" s="192"/>
    </row>
    <row r="21" spans="1:20" ht="15" customHeight="1">
      <c r="A21" s="1399"/>
      <c r="B21" s="1663"/>
      <c r="C21" s="212">
        <v>1991</v>
      </c>
      <c r="D21" s="237">
        <v>69549</v>
      </c>
      <c r="E21" s="273">
        <f t="shared" si="5"/>
        <v>66.53</v>
      </c>
      <c r="F21" s="155">
        <v>34961</v>
      </c>
      <c r="G21" s="273">
        <f>IF(F21="-","-",ROUND(F21/$R21*100,2))+0.01</f>
        <v>33.449999999999996</v>
      </c>
      <c r="H21" s="237">
        <v>9</v>
      </c>
      <c r="I21" s="273">
        <f t="shared" si="6"/>
        <v>0.01</v>
      </c>
      <c r="J21" s="155">
        <v>14</v>
      </c>
      <c r="K21" s="273">
        <f t="shared" si="1"/>
        <v>0.01</v>
      </c>
      <c r="L21" s="274" t="s">
        <v>643</v>
      </c>
      <c r="M21" s="273" t="str">
        <f t="shared" si="2"/>
        <v>-</v>
      </c>
      <c r="N21" s="275" t="s">
        <v>643</v>
      </c>
      <c r="O21" s="273" t="str">
        <f t="shared" si="3"/>
        <v>-</v>
      </c>
      <c r="P21" s="274" t="s">
        <v>643</v>
      </c>
      <c r="Q21" s="273" t="str">
        <f t="shared" si="4"/>
        <v>-</v>
      </c>
      <c r="R21" s="212">
        <f t="shared" si="7"/>
        <v>104533</v>
      </c>
      <c r="S21" s="160">
        <f>SUM(E21,G21,I21,K21,M21,O21,Q21)</f>
        <v>100</v>
      </c>
      <c r="T21" s="192"/>
    </row>
    <row r="22" spans="1:20" ht="15" customHeight="1">
      <c r="A22" s="1268">
        <v>12</v>
      </c>
      <c r="B22" s="1662" t="s">
        <v>1131</v>
      </c>
      <c r="C22" s="265">
        <v>2001</v>
      </c>
      <c r="D22" s="268">
        <v>193062</v>
      </c>
      <c r="E22" s="269">
        <f t="shared" si="5"/>
        <v>88.84</v>
      </c>
      <c r="F22" s="270">
        <v>23594</v>
      </c>
      <c r="G22" s="269">
        <f>IF(F22="-","-",ROUND(F22/$R22*100,2))-0.01</f>
        <v>10.85</v>
      </c>
      <c r="H22" s="268">
        <v>556</v>
      </c>
      <c r="I22" s="269">
        <f t="shared" si="6"/>
        <v>0.26</v>
      </c>
      <c r="J22" s="271">
        <v>36</v>
      </c>
      <c r="K22" s="269">
        <f t="shared" si="1"/>
        <v>0.02</v>
      </c>
      <c r="L22" s="272">
        <v>4</v>
      </c>
      <c r="M22" s="269">
        <f t="shared" si="2"/>
        <v>0</v>
      </c>
      <c r="N22" s="271" t="s">
        <v>643</v>
      </c>
      <c r="O22" s="269" t="str">
        <f t="shared" si="3"/>
        <v>-</v>
      </c>
      <c r="P22" s="272">
        <v>66</v>
      </c>
      <c r="Q22" s="269">
        <f t="shared" si="4"/>
        <v>0.03</v>
      </c>
      <c r="R22" s="265">
        <f t="shared" si="7"/>
        <v>217318</v>
      </c>
      <c r="S22" s="159">
        <f>SUM(E22,G22,I22,K22,M22,O22,Q22)</f>
        <v>100</v>
      </c>
      <c r="T22" s="192"/>
    </row>
    <row r="23" spans="1:20" ht="15" customHeight="1">
      <c r="A23" s="1399"/>
      <c r="B23" s="1663"/>
      <c r="C23" s="212">
        <v>1991</v>
      </c>
      <c r="D23" s="237">
        <v>148766</v>
      </c>
      <c r="E23" s="273">
        <f t="shared" si="5"/>
        <v>88.61</v>
      </c>
      <c r="F23" s="155">
        <v>18608</v>
      </c>
      <c r="G23" s="273">
        <f t="shared" si="0"/>
        <v>11.08</v>
      </c>
      <c r="H23" s="237">
        <v>523</v>
      </c>
      <c r="I23" s="273">
        <f t="shared" si="6"/>
        <v>0.31</v>
      </c>
      <c r="J23" s="275" t="s">
        <v>643</v>
      </c>
      <c r="K23" s="273" t="str">
        <f t="shared" si="1"/>
        <v>-</v>
      </c>
      <c r="L23" s="274" t="s">
        <v>643</v>
      </c>
      <c r="M23" s="273" t="str">
        <f t="shared" si="2"/>
        <v>-</v>
      </c>
      <c r="N23" s="275" t="s">
        <v>643</v>
      </c>
      <c r="O23" s="273" t="str">
        <f t="shared" si="3"/>
        <v>-</v>
      </c>
      <c r="P23" s="274" t="s">
        <v>643</v>
      </c>
      <c r="Q23" s="273" t="str">
        <f t="shared" si="4"/>
        <v>-</v>
      </c>
      <c r="R23" s="212">
        <f t="shared" si="7"/>
        <v>167897</v>
      </c>
      <c r="S23" s="160">
        <f t="shared" si="7"/>
        <v>100</v>
      </c>
      <c r="T23" s="192"/>
    </row>
    <row r="24" spans="1:20" ht="15" customHeight="1">
      <c r="A24" s="1268">
        <v>13</v>
      </c>
      <c r="B24" s="1662" t="s">
        <v>1270</v>
      </c>
      <c r="C24" s="265">
        <v>2001</v>
      </c>
      <c r="D24" s="246">
        <v>231466</v>
      </c>
      <c r="E24" s="269">
        <f>IF(D24="-","-",ROUND(D24/$R24*100,2))+0.01</f>
        <v>88.7</v>
      </c>
      <c r="F24" s="270">
        <v>29336</v>
      </c>
      <c r="G24" s="269">
        <f t="shared" si="0"/>
        <v>11.24</v>
      </c>
      <c r="H24" s="268">
        <v>70</v>
      </c>
      <c r="I24" s="269">
        <f t="shared" si="6"/>
        <v>0.03</v>
      </c>
      <c r="J24" s="271">
        <v>5</v>
      </c>
      <c r="K24" s="269">
        <f t="shared" si="1"/>
        <v>0</v>
      </c>
      <c r="L24" s="272">
        <v>10</v>
      </c>
      <c r="M24" s="269">
        <f t="shared" si="2"/>
        <v>0</v>
      </c>
      <c r="N24" s="271">
        <v>10</v>
      </c>
      <c r="O24" s="269">
        <f t="shared" si="3"/>
        <v>0</v>
      </c>
      <c r="P24" s="272">
        <v>72</v>
      </c>
      <c r="Q24" s="269">
        <f t="shared" si="4"/>
        <v>0.03</v>
      </c>
      <c r="R24" s="265">
        <f t="shared" si="7"/>
        <v>260969</v>
      </c>
      <c r="S24" s="159">
        <f t="shared" si="7"/>
        <v>100</v>
      </c>
      <c r="T24" s="192"/>
    </row>
    <row r="25" spans="1:20" ht="15" customHeight="1">
      <c r="A25" s="1399"/>
      <c r="B25" s="1663"/>
      <c r="C25" s="212">
        <v>1991</v>
      </c>
      <c r="D25" s="237">
        <v>191526</v>
      </c>
      <c r="E25" s="273">
        <f t="shared" si="5"/>
        <v>88.55</v>
      </c>
      <c r="F25" s="155">
        <v>24705</v>
      </c>
      <c r="G25" s="273">
        <f t="shared" si="0"/>
        <v>11.42</v>
      </c>
      <c r="H25" s="237">
        <v>51</v>
      </c>
      <c r="I25" s="273">
        <f>IF(H25="-","-",ROUND(H25/$R25*100,2))+0.01</f>
        <v>0.03</v>
      </c>
      <c r="J25" s="155">
        <v>10</v>
      </c>
      <c r="K25" s="273">
        <f t="shared" si="1"/>
        <v>0</v>
      </c>
      <c r="L25" s="274" t="s">
        <v>643</v>
      </c>
      <c r="M25" s="273" t="str">
        <f t="shared" si="2"/>
        <v>-</v>
      </c>
      <c r="N25" s="275" t="s">
        <v>643</v>
      </c>
      <c r="O25" s="273" t="str">
        <f t="shared" si="3"/>
        <v>-</v>
      </c>
      <c r="P25" s="274" t="s">
        <v>643</v>
      </c>
      <c r="Q25" s="273" t="str">
        <f t="shared" si="4"/>
        <v>-</v>
      </c>
      <c r="R25" s="212">
        <f t="shared" si="7"/>
        <v>216292</v>
      </c>
      <c r="S25" s="160">
        <f t="shared" si="7"/>
        <v>100</v>
      </c>
      <c r="T25" s="192"/>
    </row>
    <row r="26" spans="1:20" ht="15" customHeight="1">
      <c r="A26" s="1333" t="s">
        <v>584</v>
      </c>
      <c r="B26" s="1660" t="s">
        <v>580</v>
      </c>
      <c r="C26" s="265">
        <v>2001</v>
      </c>
      <c r="D26" s="268">
        <v>480008</v>
      </c>
      <c r="E26" s="269">
        <f t="shared" si="5"/>
        <v>89.28</v>
      </c>
      <c r="F26" s="270">
        <v>50640</v>
      </c>
      <c r="G26" s="269">
        <f t="shared" si="0"/>
        <v>9.42</v>
      </c>
      <c r="H26" s="268">
        <v>6734</v>
      </c>
      <c r="I26" s="269">
        <f>IF(H26="-","-",ROUND(H26/$R26*100,2))+0.01</f>
        <v>1.26</v>
      </c>
      <c r="J26" s="270">
        <v>70</v>
      </c>
      <c r="K26" s="269">
        <f t="shared" si="1"/>
        <v>0.01</v>
      </c>
      <c r="L26" s="268">
        <v>17</v>
      </c>
      <c r="M26" s="269">
        <f t="shared" si="2"/>
        <v>0</v>
      </c>
      <c r="N26" s="270">
        <v>8</v>
      </c>
      <c r="O26" s="269">
        <f t="shared" si="3"/>
        <v>0</v>
      </c>
      <c r="P26" s="272">
        <v>160</v>
      </c>
      <c r="Q26" s="269">
        <f t="shared" si="4"/>
        <v>0.03</v>
      </c>
      <c r="R26" s="265">
        <f t="shared" si="7"/>
        <v>537637</v>
      </c>
      <c r="S26" s="159">
        <f t="shared" si="7"/>
        <v>100.00000000000001</v>
      </c>
      <c r="T26" s="192"/>
    </row>
    <row r="27" spans="1:20" ht="17.25" customHeight="1">
      <c r="A27" s="1399"/>
      <c r="B27" s="1661"/>
      <c r="C27" s="212">
        <v>1991</v>
      </c>
      <c r="D27" s="237">
        <v>438924</v>
      </c>
      <c r="E27" s="273">
        <f t="shared" si="5"/>
        <v>93.5</v>
      </c>
      <c r="F27" s="155">
        <v>24349</v>
      </c>
      <c r="G27" s="273">
        <f t="shared" si="0"/>
        <v>5.19</v>
      </c>
      <c r="H27" s="237">
        <v>5804</v>
      </c>
      <c r="I27" s="273">
        <f t="shared" si="6"/>
        <v>1.24</v>
      </c>
      <c r="J27" s="155">
        <v>19</v>
      </c>
      <c r="K27" s="273">
        <f t="shared" si="1"/>
        <v>0</v>
      </c>
      <c r="L27" s="237">
        <v>23</v>
      </c>
      <c r="M27" s="273">
        <f t="shared" si="2"/>
        <v>0</v>
      </c>
      <c r="N27" s="275" t="s">
        <v>643</v>
      </c>
      <c r="O27" s="273" t="str">
        <f t="shared" si="3"/>
        <v>-</v>
      </c>
      <c r="P27" s="237">
        <v>304</v>
      </c>
      <c r="Q27" s="273">
        <f>IF(P27="-","-",ROUND(P27/$R27*100,2))+0.01</f>
        <v>6.9999999999999993E-2</v>
      </c>
      <c r="R27" s="212">
        <f t="shared" si="7"/>
        <v>469423</v>
      </c>
      <c r="S27" s="160">
        <f t="shared" si="7"/>
        <v>99.999999999999986</v>
      </c>
      <c r="T27" s="192"/>
    </row>
    <row r="28" spans="1:20" ht="15" customHeight="1">
      <c r="A28" s="1268">
        <v>16</v>
      </c>
      <c r="B28" s="1662" t="s">
        <v>769</v>
      </c>
      <c r="C28" s="265">
        <v>2001</v>
      </c>
      <c r="D28" s="268">
        <v>306028</v>
      </c>
      <c r="E28" s="269">
        <f t="shared" si="5"/>
        <v>84.31</v>
      </c>
      <c r="F28" s="270">
        <v>51790</v>
      </c>
      <c r="G28" s="269">
        <f t="shared" si="0"/>
        <v>14.27</v>
      </c>
      <c r="H28" s="268">
        <v>1522</v>
      </c>
      <c r="I28" s="269">
        <f t="shared" si="6"/>
        <v>0.42</v>
      </c>
      <c r="J28" s="271">
        <v>49</v>
      </c>
      <c r="K28" s="269">
        <f t="shared" si="1"/>
        <v>0.01</v>
      </c>
      <c r="L28" s="268">
        <v>44</v>
      </c>
      <c r="M28" s="269">
        <f t="shared" si="2"/>
        <v>0.01</v>
      </c>
      <c r="N28" s="270">
        <v>2</v>
      </c>
      <c r="O28" s="269">
        <f>IF(N28="-","-",ROUND(N28/$R28*100,2))</f>
        <v>0</v>
      </c>
      <c r="P28" s="272">
        <v>3548</v>
      </c>
      <c r="Q28" s="269">
        <f t="shared" si="4"/>
        <v>0.98</v>
      </c>
      <c r="R28" s="265">
        <f t="shared" si="7"/>
        <v>362983</v>
      </c>
      <c r="S28" s="159">
        <f t="shared" si="7"/>
        <v>100.00000000000001</v>
      </c>
      <c r="T28" s="192"/>
    </row>
    <row r="29" spans="1:20" ht="15" customHeight="1">
      <c r="A29" s="1399"/>
      <c r="B29" s="1663"/>
      <c r="C29" s="212">
        <v>1991</v>
      </c>
      <c r="D29" s="237">
        <v>257794</v>
      </c>
      <c r="E29" s="273">
        <f t="shared" si="5"/>
        <v>84.94</v>
      </c>
      <c r="F29" s="155">
        <v>44514</v>
      </c>
      <c r="G29" s="273">
        <f t="shared" si="0"/>
        <v>14.67</v>
      </c>
      <c r="H29" s="237">
        <v>1114</v>
      </c>
      <c r="I29" s="273">
        <f t="shared" si="6"/>
        <v>0.37</v>
      </c>
      <c r="J29" s="155">
        <v>40</v>
      </c>
      <c r="K29" s="273">
        <f t="shared" si="1"/>
        <v>0.01</v>
      </c>
      <c r="L29" s="237">
        <v>6</v>
      </c>
      <c r="M29" s="273">
        <f t="shared" si="2"/>
        <v>0</v>
      </c>
      <c r="N29" s="155">
        <v>4</v>
      </c>
      <c r="O29" s="273">
        <f t="shared" si="3"/>
        <v>0</v>
      </c>
      <c r="P29" s="237">
        <v>16</v>
      </c>
      <c r="Q29" s="273">
        <f t="shared" si="4"/>
        <v>0.01</v>
      </c>
      <c r="R29" s="212">
        <f t="shared" si="7"/>
        <v>303488</v>
      </c>
      <c r="S29" s="160">
        <f t="shared" si="7"/>
        <v>100.00000000000001</v>
      </c>
      <c r="T29" s="192"/>
    </row>
    <row r="30" spans="1:20" ht="15" customHeight="1">
      <c r="A30" s="1351">
        <v>17</v>
      </c>
      <c r="B30" s="1664" t="s">
        <v>772</v>
      </c>
      <c r="C30" s="265">
        <v>2001</v>
      </c>
      <c r="D30" s="184">
        <v>151379</v>
      </c>
      <c r="E30" s="276">
        <f t="shared" si="5"/>
        <v>72.790000000000006</v>
      </c>
      <c r="F30" s="209">
        <v>55885</v>
      </c>
      <c r="G30" s="276">
        <f t="shared" si="0"/>
        <v>26.87</v>
      </c>
      <c r="H30" s="184">
        <v>400</v>
      </c>
      <c r="I30" s="276">
        <f t="shared" si="6"/>
        <v>0.19</v>
      </c>
      <c r="J30" s="209">
        <v>88</v>
      </c>
      <c r="K30" s="276">
        <f>IF(J30="-","-",ROUND(J30/$R30*100,2))+0.01</f>
        <v>0.05</v>
      </c>
      <c r="L30" s="184">
        <v>25</v>
      </c>
      <c r="M30" s="276">
        <f t="shared" si="2"/>
        <v>0.01</v>
      </c>
      <c r="N30" s="277">
        <v>6</v>
      </c>
      <c r="O30" s="276">
        <f t="shared" si="3"/>
        <v>0</v>
      </c>
      <c r="P30" s="278">
        <v>193</v>
      </c>
      <c r="Q30" s="276">
        <f t="shared" si="4"/>
        <v>0.09</v>
      </c>
      <c r="R30" s="45">
        <f t="shared" si="7"/>
        <v>207976</v>
      </c>
      <c r="S30" s="151">
        <f t="shared" si="7"/>
        <v>100.00000000000001</v>
      </c>
      <c r="T30" s="192"/>
    </row>
    <row r="31" spans="1:20" ht="15" customHeight="1">
      <c r="A31" s="1399"/>
      <c r="B31" s="1663"/>
      <c r="C31" s="212">
        <v>1991</v>
      </c>
      <c r="D31" s="237">
        <v>130125</v>
      </c>
      <c r="E31" s="273">
        <f t="shared" si="5"/>
        <v>73.19</v>
      </c>
      <c r="F31" s="155">
        <v>47284</v>
      </c>
      <c r="G31" s="273">
        <f t="shared" si="0"/>
        <v>26.6</v>
      </c>
      <c r="H31" s="237">
        <v>298</v>
      </c>
      <c r="I31" s="273">
        <f t="shared" si="6"/>
        <v>0.17</v>
      </c>
      <c r="J31" s="155">
        <v>17</v>
      </c>
      <c r="K31" s="273">
        <f t="shared" si="1"/>
        <v>0.01</v>
      </c>
      <c r="L31" s="237">
        <v>6</v>
      </c>
      <c r="M31" s="273">
        <f t="shared" si="2"/>
        <v>0</v>
      </c>
      <c r="N31" s="275" t="s">
        <v>643</v>
      </c>
      <c r="O31" s="273" t="str">
        <f t="shared" si="3"/>
        <v>-</v>
      </c>
      <c r="P31" s="237">
        <v>51</v>
      </c>
      <c r="Q31" s="273">
        <f t="shared" si="4"/>
        <v>0.03</v>
      </c>
      <c r="R31" s="212">
        <f t="shared" si="7"/>
        <v>177781</v>
      </c>
      <c r="S31" s="160">
        <f t="shared" si="7"/>
        <v>100</v>
      </c>
      <c r="T31" s="192"/>
    </row>
    <row r="32" spans="1:20">
      <c r="A32" s="24"/>
      <c r="B32" s="24"/>
      <c r="C32" s="24"/>
      <c r="D32" s="24"/>
      <c r="E32" s="24"/>
      <c r="H32" s="83"/>
      <c r="S32" s="430" t="s">
        <v>1454</v>
      </c>
      <c r="T32" s="541"/>
    </row>
    <row r="33" spans="8:8">
      <c r="H33" s="83"/>
    </row>
  </sheetData>
  <mergeCells count="39">
    <mergeCell ref="B18:B19"/>
    <mergeCell ref="B28:B29"/>
    <mergeCell ref="B30:B31"/>
    <mergeCell ref="B20:B21"/>
    <mergeCell ref="B22:B23"/>
    <mergeCell ref="B24:B25"/>
    <mergeCell ref="B26:B27"/>
    <mergeCell ref="A1:S1"/>
    <mergeCell ref="A2:S2"/>
    <mergeCell ref="A3:A4"/>
    <mergeCell ref="D3:E3"/>
    <mergeCell ref="F3:G3"/>
    <mergeCell ref="H3:I3"/>
    <mergeCell ref="R3:S3"/>
    <mergeCell ref="P3:Q3"/>
    <mergeCell ref="C3:C4"/>
    <mergeCell ref="J3:K3"/>
    <mergeCell ref="L3:M3"/>
    <mergeCell ref="N3:O3"/>
    <mergeCell ref="B3:B4"/>
    <mergeCell ref="B6:B7"/>
    <mergeCell ref="B8:B9"/>
    <mergeCell ref="A6:A7"/>
    <mergeCell ref="A14:A15"/>
    <mergeCell ref="A16:A17"/>
    <mergeCell ref="B12:B13"/>
    <mergeCell ref="A10:A11"/>
    <mergeCell ref="B10:B11"/>
    <mergeCell ref="A12:A13"/>
    <mergeCell ref="A8:A9"/>
    <mergeCell ref="B14:B15"/>
    <mergeCell ref="B16:B17"/>
    <mergeCell ref="A18:A19"/>
    <mergeCell ref="A28:A29"/>
    <mergeCell ref="A30:A31"/>
    <mergeCell ref="A20:A21"/>
    <mergeCell ref="A22:A23"/>
    <mergeCell ref="A24:A25"/>
    <mergeCell ref="A26:A27"/>
  </mergeCells>
  <phoneticPr fontId="0" type="noConversion"/>
  <printOptions horizontalCentered="1"/>
  <pageMargins left="0.1" right="0.1" top="0.15" bottom="0.16" header="0.15" footer="0.16"/>
  <pageSetup paperSize="9" orientation="landscape" blackAndWhite="1" horizontalDpi="4294967295" verticalDpi="180" r:id="rId1"/>
  <headerFooter alignWithMargins="0"/>
  <drawing r:id="rId2"/>
</worksheet>
</file>

<file path=xl/worksheets/sheet82.xml><?xml version="1.0" encoding="utf-8"?>
<worksheet xmlns="http://schemas.openxmlformats.org/spreadsheetml/2006/main" xmlns:r="http://schemas.openxmlformats.org/officeDocument/2006/relationships">
  <dimension ref="A1:S33"/>
  <sheetViews>
    <sheetView topLeftCell="A13" workbookViewId="0">
      <selection activeCell="F15" sqref="F15"/>
    </sheetView>
  </sheetViews>
  <sheetFormatPr defaultRowHeight="12.75"/>
  <cols>
    <col min="1" max="1" width="9.140625" style="405"/>
    <col min="2" max="2" width="5" style="405" customWidth="1"/>
    <col min="3" max="3" width="14.85546875" style="405" customWidth="1"/>
    <col min="4" max="4" width="10.5703125" style="405" customWidth="1"/>
    <col min="5" max="5" width="9.5703125" style="405" customWidth="1"/>
    <col min="6" max="6" width="10" style="405" customWidth="1"/>
    <col min="7" max="7" width="11.28515625" style="405" customWidth="1"/>
    <col min="8" max="8" width="19.7109375" style="405" customWidth="1"/>
    <col min="9" max="16384" width="9.140625" style="405"/>
  </cols>
  <sheetData>
    <row r="1" spans="2:10">
      <c r="B1" s="1261" t="s">
        <v>493</v>
      </c>
      <c r="C1" s="1261"/>
      <c r="D1" s="1261"/>
      <c r="E1" s="1261"/>
      <c r="F1" s="1261"/>
      <c r="G1" s="1261"/>
      <c r="H1" s="1261"/>
    </row>
    <row r="2" spans="2:10" ht="37.5" customHeight="1">
      <c r="B2" s="1323" t="str">
        <f>CONCATENATE("Persons Engaged in Agriculture 
in the Blocks of ", District!$A$1, " for the year ",District!C3)</f>
        <v>Persons Engaged in Agriculture 
in the Blocks of Nadia for the year 2013-14</v>
      </c>
      <c r="C2" s="1323"/>
      <c r="D2" s="1323"/>
      <c r="E2" s="1323"/>
      <c r="F2" s="1323"/>
      <c r="G2" s="1323"/>
      <c r="H2" s="1323"/>
      <c r="I2" s="5"/>
    </row>
    <row r="3" spans="2:10">
      <c r="B3" s="410"/>
      <c r="C3" s="542"/>
      <c r="D3" s="542"/>
      <c r="E3" s="542"/>
      <c r="F3" s="542"/>
      <c r="G3" s="542"/>
      <c r="H3" s="543" t="s">
        <v>1175</v>
      </c>
    </row>
    <row r="4" spans="2:10" ht="16.5" customHeight="1">
      <c r="B4" s="204" t="s">
        <v>1176</v>
      </c>
      <c r="C4" s="1257" t="s">
        <v>1174</v>
      </c>
      <c r="D4" s="1268" t="s">
        <v>1177</v>
      </c>
      <c r="E4" s="204" t="s">
        <v>1178</v>
      </c>
      <c r="F4" s="265" t="s">
        <v>542</v>
      </c>
      <c r="G4" s="204" t="s">
        <v>541</v>
      </c>
      <c r="H4" s="216" t="s">
        <v>766</v>
      </c>
    </row>
    <row r="5" spans="2:10" ht="15.75" customHeight="1">
      <c r="B5" s="129" t="s">
        <v>225</v>
      </c>
      <c r="C5" s="1258"/>
      <c r="D5" s="1399"/>
      <c r="E5" s="129" t="s">
        <v>1179</v>
      </c>
      <c r="F5" s="212" t="s">
        <v>1180</v>
      </c>
      <c r="G5" s="129" t="s">
        <v>1180</v>
      </c>
      <c r="H5" s="94" t="s">
        <v>1008</v>
      </c>
    </row>
    <row r="6" spans="2:10" ht="16.5" customHeight="1">
      <c r="B6" s="225" t="s">
        <v>163</v>
      </c>
      <c r="C6" s="225" t="s">
        <v>164</v>
      </c>
      <c r="D6" s="226" t="s">
        <v>165</v>
      </c>
      <c r="E6" s="225" t="s">
        <v>166</v>
      </c>
      <c r="F6" s="226" t="s">
        <v>167</v>
      </c>
      <c r="G6" s="225" t="s">
        <v>168</v>
      </c>
      <c r="H6" s="224" t="s">
        <v>169</v>
      </c>
      <c r="I6" s="36"/>
      <c r="J6" s="427"/>
    </row>
    <row r="7" spans="2:10" ht="30" customHeight="1">
      <c r="B7" s="81">
        <v>1</v>
      </c>
      <c r="C7" s="407" t="str">
        <f>District!A6</f>
        <v>Karimpur-I</v>
      </c>
      <c r="D7" s="503">
        <v>4545</v>
      </c>
      <c r="E7" s="463">
        <v>4747</v>
      </c>
      <c r="F7" s="503">
        <v>2448</v>
      </c>
      <c r="G7" s="463">
        <v>10568</v>
      </c>
      <c r="H7" s="158">
        <f>VLOOKUP(C7,'2.7'!$B$8:$G$45,6,FALSE)</f>
        <v>30844</v>
      </c>
      <c r="I7" s="36"/>
      <c r="J7" s="36"/>
    </row>
    <row r="8" spans="2:10" ht="30" customHeight="1">
      <c r="B8" s="81">
        <v>2</v>
      </c>
      <c r="C8" s="408" t="str">
        <f>District!A7</f>
        <v>Karimpur-II</v>
      </c>
      <c r="D8" s="503">
        <v>6148</v>
      </c>
      <c r="E8" s="463">
        <v>6952</v>
      </c>
      <c r="F8" s="503">
        <v>5204</v>
      </c>
      <c r="G8" s="463">
        <v>18446</v>
      </c>
      <c r="H8" s="421">
        <f>VLOOKUP(C8,'2.7'!$B$8:$G$45,6,FALSE)</f>
        <v>40544</v>
      </c>
      <c r="I8" s="36"/>
      <c r="J8" s="36"/>
    </row>
    <row r="9" spans="2:10" ht="30" customHeight="1">
      <c r="B9" s="81">
        <v>3</v>
      </c>
      <c r="C9" s="408" t="str">
        <f>District!A8</f>
        <v>Tehatta-I</v>
      </c>
      <c r="D9" s="503">
        <v>5134</v>
      </c>
      <c r="E9" s="463">
        <v>11549</v>
      </c>
      <c r="F9" s="503">
        <v>5795</v>
      </c>
      <c r="G9" s="463">
        <v>22661</v>
      </c>
      <c r="H9" s="421">
        <f>VLOOKUP(C9,'2.7'!$B$8:$G$45,6,FALSE)</f>
        <v>34935</v>
      </c>
      <c r="I9" s="36"/>
      <c r="J9" s="36"/>
    </row>
    <row r="10" spans="2:10" ht="30" customHeight="1">
      <c r="B10" s="81">
        <v>4</v>
      </c>
      <c r="C10" s="408" t="s">
        <v>1120</v>
      </c>
      <c r="D10" s="503">
        <v>2388</v>
      </c>
      <c r="E10" s="463">
        <v>7327</v>
      </c>
      <c r="F10" s="503">
        <v>5088</v>
      </c>
      <c r="G10" s="463">
        <v>16651</v>
      </c>
      <c r="H10" s="421">
        <f>VLOOKUP(C10,'2.7'!$B$8:$G$45,6,FALSE)</f>
        <v>20474</v>
      </c>
      <c r="I10" s="427"/>
      <c r="J10" s="36"/>
    </row>
    <row r="11" spans="2:10" ht="30" customHeight="1">
      <c r="B11" s="81">
        <v>5</v>
      </c>
      <c r="C11" s="408" t="str">
        <f>District!A11</f>
        <v>Kaliganj</v>
      </c>
      <c r="D11" s="503">
        <v>6431</v>
      </c>
      <c r="E11" s="463">
        <v>8758</v>
      </c>
      <c r="F11" s="503">
        <v>7952</v>
      </c>
      <c r="G11" s="463">
        <v>30726</v>
      </c>
      <c r="H11" s="421">
        <f>VLOOKUP(C11,'2.7'!$B$8:$G$45,6,FALSE)</f>
        <v>49299</v>
      </c>
      <c r="I11" s="36"/>
      <c r="J11" s="36"/>
    </row>
    <row r="12" spans="2:10" ht="30" customHeight="1">
      <c r="B12" s="81">
        <v>6</v>
      </c>
      <c r="C12" s="408" t="str">
        <f>District!A12</f>
        <v>Nakashipara</v>
      </c>
      <c r="D12" s="503">
        <v>6131</v>
      </c>
      <c r="E12" s="463">
        <v>8651</v>
      </c>
      <c r="F12" s="503">
        <v>4251</v>
      </c>
      <c r="G12" s="463">
        <v>27581</v>
      </c>
      <c r="H12" s="421">
        <f>VLOOKUP(C12,'2.7'!$B$8:$G$45,6,FALSE)</f>
        <v>58048</v>
      </c>
      <c r="I12" s="36"/>
      <c r="J12" s="36"/>
    </row>
    <row r="13" spans="2:10" ht="30" customHeight="1">
      <c r="B13" s="81">
        <v>7</v>
      </c>
      <c r="C13" s="408" t="str">
        <f>District!A13</f>
        <v>Chapra</v>
      </c>
      <c r="D13" s="47">
        <v>6150</v>
      </c>
      <c r="E13" s="463">
        <v>9062</v>
      </c>
      <c r="F13" s="503">
        <v>7709</v>
      </c>
      <c r="G13" s="463">
        <v>28033</v>
      </c>
      <c r="H13" s="421">
        <f>VLOOKUP(C13,'2.7'!$B$8:$G$45,6,FALSE)</f>
        <v>47002</v>
      </c>
      <c r="I13" s="36"/>
      <c r="J13" s="36"/>
    </row>
    <row r="14" spans="2:10" ht="30" customHeight="1">
      <c r="B14" s="81">
        <v>8</v>
      </c>
      <c r="C14" s="408" t="str">
        <f>District!A14</f>
        <v>Krishnaganj</v>
      </c>
      <c r="D14" s="503">
        <v>3008</v>
      </c>
      <c r="E14" s="463">
        <v>4646</v>
      </c>
      <c r="F14" s="503">
        <v>2770</v>
      </c>
      <c r="G14" s="463">
        <v>13341</v>
      </c>
      <c r="H14" s="421">
        <f>VLOOKUP(C14,'2.7'!$B$8:$G$45,6,FALSE)</f>
        <v>19844</v>
      </c>
      <c r="I14" s="1223" t="s">
        <v>1216</v>
      </c>
      <c r="J14" s="36"/>
    </row>
    <row r="15" spans="2:10" ht="30" customHeight="1">
      <c r="B15" s="81">
        <v>9</v>
      </c>
      <c r="C15" s="408" t="s">
        <v>1126</v>
      </c>
      <c r="D15" s="503">
        <v>4343</v>
      </c>
      <c r="E15" s="463">
        <v>6705</v>
      </c>
      <c r="F15" s="503">
        <v>3875</v>
      </c>
      <c r="G15" s="463">
        <v>17756</v>
      </c>
      <c r="H15" s="421">
        <f>VLOOKUP(C15,'2.7'!$B$8:$G$45,6,FALSE)</f>
        <v>38888</v>
      </c>
      <c r="I15" s="36"/>
      <c r="J15" s="36"/>
    </row>
    <row r="16" spans="2:10" ht="30" customHeight="1">
      <c r="B16" s="81">
        <v>10</v>
      </c>
      <c r="C16" s="408" t="str">
        <f>District!A17</f>
        <v>Krishnanagar-II</v>
      </c>
      <c r="D16" s="503">
        <v>2670</v>
      </c>
      <c r="E16" s="463">
        <v>4358</v>
      </c>
      <c r="F16" s="503">
        <v>3916</v>
      </c>
      <c r="G16" s="463">
        <v>16985</v>
      </c>
      <c r="H16" s="421">
        <f>VLOOKUP(C16,'2.7'!$B$8:$G$45,6,FALSE)</f>
        <v>18764</v>
      </c>
      <c r="I16" s="36"/>
      <c r="J16" s="36"/>
    </row>
    <row r="17" spans="1:19" ht="30" customHeight="1">
      <c r="B17" s="81">
        <v>11</v>
      </c>
      <c r="C17" s="408" t="s">
        <v>90</v>
      </c>
      <c r="D17" s="503">
        <v>1724</v>
      </c>
      <c r="E17" s="463">
        <v>7564</v>
      </c>
      <c r="F17" s="503">
        <v>750</v>
      </c>
      <c r="G17" s="463">
        <v>6597</v>
      </c>
      <c r="H17" s="421">
        <f>VLOOKUP(C17,'2.7'!$B$8:$G$45,6,FALSE)</f>
        <v>8909</v>
      </c>
      <c r="I17" s="36"/>
      <c r="J17" s="36"/>
    </row>
    <row r="18" spans="1:19" ht="30" customHeight="1">
      <c r="B18" s="81">
        <v>12</v>
      </c>
      <c r="C18" s="408" t="s">
        <v>1131</v>
      </c>
      <c r="D18" s="503">
        <v>3368</v>
      </c>
      <c r="E18" s="463">
        <v>5955</v>
      </c>
      <c r="F18" s="503">
        <v>3005</v>
      </c>
      <c r="G18" s="463">
        <v>19302</v>
      </c>
      <c r="H18" s="421">
        <f>VLOOKUP(C18,'2.7'!$B$8:$G$45,6,FALSE)</f>
        <v>21254</v>
      </c>
      <c r="I18" s="36"/>
      <c r="J18" s="36"/>
    </row>
    <row r="19" spans="1:19" ht="30" customHeight="1">
      <c r="B19" s="81">
        <v>13</v>
      </c>
      <c r="C19" s="408" t="str">
        <f>District!A23</f>
        <v>Hanskhali</v>
      </c>
      <c r="D19" s="503">
        <v>4973</v>
      </c>
      <c r="E19" s="463">
        <v>6652</v>
      </c>
      <c r="F19" s="503">
        <v>3913</v>
      </c>
      <c r="G19" s="463">
        <v>20635</v>
      </c>
      <c r="H19" s="421">
        <f>VLOOKUP(C19,'2.7'!$B$8:$G$45,6,FALSE)</f>
        <v>30222</v>
      </c>
      <c r="I19" s="36"/>
      <c r="J19" s="36"/>
    </row>
    <row r="20" spans="1:19" ht="30" customHeight="1">
      <c r="B20" s="81">
        <v>14</v>
      </c>
      <c r="C20" s="408" t="s">
        <v>1623</v>
      </c>
      <c r="D20" s="503">
        <v>1854</v>
      </c>
      <c r="E20" s="463">
        <v>6020</v>
      </c>
      <c r="F20" s="503">
        <v>2238</v>
      </c>
      <c r="G20" s="463">
        <v>16457</v>
      </c>
      <c r="H20" s="421">
        <f>VLOOKUP(C20,'2.7'!$B$8:$G$45,6,FALSE)</f>
        <v>17805</v>
      </c>
      <c r="I20" s="427"/>
      <c r="J20" s="36"/>
    </row>
    <row r="21" spans="1:19" ht="30" customHeight="1">
      <c r="B21" s="81">
        <v>15</v>
      </c>
      <c r="C21" s="408" t="s">
        <v>714</v>
      </c>
      <c r="D21" s="503">
        <v>2904</v>
      </c>
      <c r="E21" s="463">
        <v>7568</v>
      </c>
      <c r="F21" s="503">
        <v>6148</v>
      </c>
      <c r="G21" s="463">
        <v>31245</v>
      </c>
      <c r="H21" s="421">
        <f>VLOOKUP(C21,'2.7'!$B$8:$G$45,6,FALSE)</f>
        <v>40018</v>
      </c>
      <c r="I21" s="36"/>
      <c r="J21" s="36"/>
    </row>
    <row r="22" spans="1:19" ht="30" customHeight="1">
      <c r="B22" s="81">
        <v>16</v>
      </c>
      <c r="C22" s="408" t="s">
        <v>769</v>
      </c>
      <c r="D22" s="503">
        <v>2119</v>
      </c>
      <c r="E22" s="463">
        <v>8259</v>
      </c>
      <c r="F22" s="503">
        <v>4418</v>
      </c>
      <c r="G22" s="463">
        <v>20907</v>
      </c>
      <c r="H22" s="421">
        <f>VLOOKUP(C22,'2.7'!$B$8:$G$45,6,FALSE)</f>
        <v>42654</v>
      </c>
      <c r="I22" s="36"/>
      <c r="J22" s="36"/>
    </row>
    <row r="23" spans="1:19" ht="30" customHeight="1">
      <c r="B23" s="129">
        <v>17</v>
      </c>
      <c r="C23" s="544" t="s">
        <v>772</v>
      </c>
      <c r="D23" s="488">
        <v>1500</v>
      </c>
      <c r="E23" s="468">
        <v>4877</v>
      </c>
      <c r="F23" s="488">
        <v>3794</v>
      </c>
      <c r="G23" s="468">
        <v>20584</v>
      </c>
      <c r="H23" s="489">
        <f>VLOOKUP(C23,'2.7'!$B$8:$G$45,6,FALSE)</f>
        <v>30628</v>
      </c>
      <c r="I23" s="36"/>
      <c r="J23" s="36"/>
    </row>
    <row r="24" spans="1:19" ht="12.75" customHeight="1">
      <c r="A24" s="376"/>
      <c r="B24" s="281" t="s">
        <v>998</v>
      </c>
      <c r="C24" s="1665" t="s">
        <v>1579</v>
      </c>
      <c r="D24" s="1665"/>
      <c r="E24" s="1665"/>
      <c r="F24" s="1665"/>
      <c r="G24" s="545" t="s">
        <v>1576</v>
      </c>
      <c r="H24" s="331" t="s">
        <v>1009</v>
      </c>
      <c r="I24" s="375"/>
      <c r="J24" s="282"/>
      <c r="K24" s="412"/>
      <c r="L24" s="412"/>
      <c r="M24" s="412"/>
      <c r="N24" s="412"/>
      <c r="O24" s="18"/>
      <c r="P24" s="30"/>
      <c r="Q24" s="30"/>
      <c r="R24" s="30"/>
      <c r="S24" s="30"/>
    </row>
    <row r="25" spans="1:19" s="412" customFormat="1" ht="12.75" customHeight="1">
      <c r="A25" s="282"/>
      <c r="B25" s="546"/>
      <c r="C25" s="1666"/>
      <c r="D25" s="1666"/>
      <c r="E25" s="1666"/>
      <c r="F25" s="1666"/>
      <c r="G25" s="281" t="s">
        <v>1248</v>
      </c>
      <c r="H25" s="547" t="s">
        <v>1577</v>
      </c>
      <c r="I25" s="375"/>
      <c r="J25" s="375"/>
      <c r="O25" s="548"/>
      <c r="P25" s="548"/>
      <c r="Q25" s="548"/>
      <c r="R25" s="548"/>
      <c r="S25" s="548"/>
    </row>
    <row r="26" spans="1:19" s="552" customFormat="1" ht="13.5" customHeight="1">
      <c r="A26" s="282"/>
      <c r="B26" s="285" t="s">
        <v>999</v>
      </c>
      <c r="C26" s="1666" t="s">
        <v>1575</v>
      </c>
      <c r="D26" s="1666"/>
      <c r="E26" s="1666"/>
      <c r="F26" s="549"/>
      <c r="G26" s="550" t="s">
        <v>137</v>
      </c>
      <c r="H26" s="547" t="s">
        <v>1578</v>
      </c>
      <c r="I26" s="375"/>
      <c r="J26" s="551"/>
      <c r="N26" s="553"/>
      <c r="O26" s="553"/>
      <c r="P26" s="553"/>
      <c r="Q26" s="553"/>
      <c r="R26" s="553"/>
      <c r="S26" s="553"/>
    </row>
    <row r="27" spans="1:19" s="412" customFormat="1">
      <c r="A27" s="282"/>
      <c r="B27" s="282"/>
      <c r="C27" s="1666"/>
      <c r="D27" s="1666"/>
      <c r="E27" s="1666"/>
      <c r="F27" s="549"/>
      <c r="G27" s="549"/>
      <c r="H27" s="282" t="s">
        <v>1339</v>
      </c>
      <c r="I27" s="375"/>
      <c r="J27" s="282"/>
    </row>
    <row r="28" spans="1:19" s="412" customFormat="1">
      <c r="A28" s="282"/>
      <c r="B28" s="282"/>
      <c r="C28" s="1667"/>
      <c r="D28" s="1667"/>
      <c r="E28" s="1667"/>
      <c r="F28" s="282"/>
      <c r="G28" s="282"/>
      <c r="H28" s="282"/>
      <c r="I28" s="375"/>
      <c r="J28" s="375"/>
    </row>
    <row r="29" spans="1:19" s="412" customFormat="1">
      <c r="A29" s="282"/>
      <c r="B29" s="555" t="s">
        <v>1072</v>
      </c>
      <c r="C29" s="282"/>
      <c r="D29" s="282"/>
      <c r="E29" s="282"/>
      <c r="F29" s="282"/>
      <c r="G29" s="282"/>
      <c r="H29" s="282"/>
      <c r="I29" s="551"/>
      <c r="J29" s="375"/>
    </row>
    <row r="30" spans="1:19">
      <c r="A30" s="412"/>
      <c r="B30" s="412"/>
      <c r="C30" s="6"/>
      <c r="D30" s="6"/>
      <c r="E30" s="6"/>
      <c r="F30" s="519"/>
      <c r="G30" s="6"/>
      <c r="H30" s="6"/>
      <c r="I30" s="36"/>
      <c r="J30" s="36"/>
    </row>
    <row r="31" spans="1:19">
      <c r="I31" s="36"/>
    </row>
    <row r="32" spans="1:19">
      <c r="I32" s="36"/>
    </row>
    <row r="33" spans="9:9">
      <c r="I33" s="36"/>
    </row>
  </sheetData>
  <mergeCells count="6">
    <mergeCell ref="C24:F25"/>
    <mergeCell ref="C26:E28"/>
    <mergeCell ref="B2:H2"/>
    <mergeCell ref="B1:H1"/>
    <mergeCell ref="C4:C5"/>
    <mergeCell ref="D4:D5"/>
  </mergeCells>
  <phoneticPr fontId="0" type="noConversion"/>
  <printOptions horizontalCentered="1"/>
  <pageMargins left="0.1" right="0.1" top="0.74" bottom="0.1" header="0.38" footer="0.1"/>
  <pageSetup paperSize="9" orientation="portrait" blackAndWhite="1" horizontalDpi="4294967295" verticalDpi="180" r:id="rId1"/>
  <headerFooter alignWithMargins="0"/>
</worksheet>
</file>

<file path=xl/worksheets/sheet83.xml><?xml version="1.0" encoding="utf-8"?>
<worksheet xmlns="http://schemas.openxmlformats.org/spreadsheetml/2006/main" xmlns:r="http://schemas.openxmlformats.org/officeDocument/2006/relationships">
  <dimension ref="B1:AZ27"/>
  <sheetViews>
    <sheetView topLeftCell="N1" workbookViewId="0">
      <selection activeCell="AG14" sqref="AG14"/>
    </sheetView>
  </sheetViews>
  <sheetFormatPr defaultRowHeight="13.5"/>
  <cols>
    <col min="1" max="1" width="5.28515625" style="64" customWidth="1"/>
    <col min="2" max="2" width="3.42578125" style="64" customWidth="1"/>
    <col min="3" max="3" width="14" style="64" customWidth="1"/>
    <col min="4" max="4" width="6.7109375" style="64" customWidth="1"/>
    <col min="5" max="5" width="7.85546875" style="64" customWidth="1"/>
    <col min="6" max="6" width="9.42578125" style="64" customWidth="1"/>
    <col min="7" max="7" width="8.42578125" style="64" customWidth="1"/>
    <col min="8" max="8" width="8" style="64" customWidth="1"/>
    <col min="9" max="9" width="9.140625" style="64"/>
    <col min="10" max="10" width="7.85546875" style="64" customWidth="1"/>
    <col min="11" max="11" width="8.28515625" style="64" customWidth="1"/>
    <col min="12" max="12" width="8.85546875" style="64" customWidth="1"/>
    <col min="13" max="13" width="7.85546875" style="64" customWidth="1"/>
    <col min="14" max="14" width="8.7109375" style="64" customWidth="1"/>
    <col min="15" max="15" width="9" style="64" customWidth="1"/>
    <col min="16" max="16" width="5.42578125" style="64" customWidth="1"/>
    <col min="17" max="17" width="7.28515625" style="64" customWidth="1"/>
    <col min="18" max="18" width="8.28515625" style="64" customWidth="1"/>
    <col min="19" max="19" width="7.28515625" style="64" customWidth="1"/>
    <col min="20" max="20" width="3.42578125" style="64" customWidth="1"/>
    <col min="21" max="21" width="14.28515625" style="64" customWidth="1"/>
    <col min="22" max="22" width="7.5703125" style="64" customWidth="1"/>
    <col min="23" max="23" width="9.42578125" style="64" customWidth="1"/>
    <col min="24" max="24" width="7.42578125" style="64" customWidth="1"/>
    <col min="25" max="25" width="5.85546875" style="64" customWidth="1"/>
    <col min="26" max="26" width="6.42578125" style="64" customWidth="1"/>
    <col min="27" max="27" width="8.140625" style="64" customWidth="1"/>
    <col min="28" max="28" width="6.28515625" style="64" customWidth="1"/>
    <col min="29" max="29" width="8.28515625" style="64" customWidth="1"/>
    <col min="30" max="30" width="8.7109375" style="64" customWidth="1"/>
    <col min="31" max="31" width="6.7109375" style="64" customWidth="1"/>
    <col min="32" max="32" width="7.7109375" style="64" customWidth="1"/>
    <col min="33" max="33" width="8.42578125" style="64" customWidth="1"/>
    <col min="34" max="34" width="7.42578125" style="64" customWidth="1"/>
    <col min="35" max="35" width="8.28515625" style="64" customWidth="1"/>
    <col min="36" max="36" width="8.7109375" style="64" customWidth="1"/>
    <col min="37" max="37" width="10.5703125" style="64" customWidth="1"/>
    <col min="38" max="38" width="4.28515625" style="64" customWidth="1"/>
    <col min="39" max="39" width="15.7109375" style="64" customWidth="1"/>
    <col min="40" max="40" width="8" style="64" customWidth="1"/>
    <col min="41" max="41" width="9.7109375" style="64" customWidth="1"/>
    <col min="42" max="42" width="10.140625" style="64" customWidth="1"/>
    <col min="43" max="43" width="8.42578125" style="64" customWidth="1"/>
    <col min="44" max="44" width="9.7109375" style="64" customWidth="1"/>
    <col min="45" max="45" width="10.140625" style="64" customWidth="1"/>
    <col min="46" max="46" width="8.42578125" style="64" customWidth="1"/>
    <col min="47" max="47" width="9.7109375" style="64" customWidth="1"/>
    <col min="48" max="48" width="10.28515625" style="64" customWidth="1"/>
    <col min="49" max="49" width="8.42578125" style="64" customWidth="1"/>
    <col min="50" max="50" width="9.7109375" style="64" customWidth="1"/>
    <col min="51" max="51" width="10.140625" style="64" customWidth="1"/>
    <col min="52" max="16384" width="9.140625" style="64"/>
  </cols>
  <sheetData>
    <row r="1" spans="2:52" ht="15" customHeight="1">
      <c r="B1" s="1435" t="s">
        <v>415</v>
      </c>
      <c r="C1" s="1435"/>
      <c r="D1" s="1435"/>
      <c r="E1" s="1435"/>
      <c r="F1" s="1435"/>
      <c r="G1" s="1435"/>
      <c r="H1" s="1435"/>
      <c r="I1" s="1435"/>
      <c r="J1" s="1435"/>
      <c r="K1" s="1435"/>
      <c r="L1" s="1435"/>
      <c r="M1" s="1435"/>
      <c r="N1" s="1435"/>
      <c r="O1" s="1435"/>
      <c r="P1" s="1435"/>
      <c r="Q1" s="1435"/>
      <c r="R1" s="1435"/>
      <c r="S1" s="427"/>
      <c r="T1" s="165"/>
      <c r="X1" s="556"/>
      <c r="AP1" s="405"/>
      <c r="AQ1" s="405"/>
      <c r="AR1" s="405"/>
    </row>
    <row r="2" spans="2:52" ht="19.5" customHeight="1">
      <c r="B2" s="1323" t="str">
        <f>CONCATENATE("Area, Production and Yield rate of Major Crops in the Blocks of ", District!$A$1," for the year ",District!C3)</f>
        <v>Area, Production and Yield rate of Major Crops in the Blocks of Nadia for the year 2013-14</v>
      </c>
      <c r="C2" s="1323"/>
      <c r="D2" s="1323"/>
      <c r="E2" s="1323"/>
      <c r="F2" s="1323"/>
      <c r="G2" s="1323"/>
      <c r="H2" s="1323"/>
      <c r="I2" s="1323"/>
      <c r="J2" s="1323"/>
      <c r="K2" s="1323"/>
      <c r="L2" s="1323"/>
      <c r="M2" s="1323"/>
      <c r="N2" s="1323"/>
      <c r="O2" s="1323"/>
      <c r="P2" s="1323"/>
      <c r="Q2" s="1323"/>
      <c r="R2" s="1323"/>
      <c r="S2" s="521"/>
      <c r="T2" s="1435" t="s">
        <v>1112</v>
      </c>
      <c r="U2" s="1435"/>
      <c r="V2" s="1435"/>
      <c r="W2" s="1435"/>
      <c r="X2" s="1435"/>
      <c r="Y2" s="1435"/>
      <c r="Z2" s="1435"/>
      <c r="AA2" s="1435"/>
      <c r="AB2" s="1435"/>
      <c r="AC2" s="1435"/>
      <c r="AD2" s="1435"/>
      <c r="AE2" s="1435"/>
      <c r="AF2" s="1435"/>
      <c r="AG2" s="1435"/>
      <c r="AH2" s="1435"/>
      <c r="AI2" s="1435"/>
      <c r="AJ2" s="1435"/>
      <c r="AK2" s="63"/>
      <c r="AL2" s="1435" t="s">
        <v>1111</v>
      </c>
      <c r="AM2" s="1435"/>
      <c r="AN2" s="1435"/>
      <c r="AO2" s="1435"/>
      <c r="AP2" s="1435"/>
      <c r="AQ2" s="1435"/>
      <c r="AR2" s="1435"/>
      <c r="AS2" s="1435"/>
      <c r="AT2" s="1435"/>
      <c r="AU2" s="1435"/>
      <c r="AV2" s="1435"/>
      <c r="AW2" s="1435"/>
      <c r="AX2" s="1435"/>
      <c r="AY2" s="1435"/>
    </row>
    <row r="3" spans="2:52" ht="12.75" customHeight="1">
      <c r="S3" s="114"/>
    </row>
    <row r="4" spans="2:52" ht="18" customHeight="1">
      <c r="B4" s="1262" t="s">
        <v>1195</v>
      </c>
      <c r="C4" s="1262" t="s">
        <v>1602</v>
      </c>
      <c r="D4" s="1253" t="s">
        <v>565</v>
      </c>
      <c r="E4" s="1251"/>
      <c r="F4" s="1252"/>
      <c r="G4" s="1253" t="s">
        <v>566</v>
      </c>
      <c r="H4" s="1251"/>
      <c r="I4" s="1252"/>
      <c r="J4" s="1253" t="s">
        <v>567</v>
      </c>
      <c r="K4" s="1251"/>
      <c r="L4" s="1252"/>
      <c r="M4" s="1253" t="s">
        <v>568</v>
      </c>
      <c r="N4" s="1251"/>
      <c r="O4" s="1252"/>
      <c r="P4" s="1251" t="s">
        <v>570</v>
      </c>
      <c r="Q4" s="1251"/>
      <c r="R4" s="1252"/>
      <c r="S4" s="557"/>
      <c r="T4" s="1262" t="s">
        <v>1195</v>
      </c>
      <c r="U4" s="1262" t="s">
        <v>1602</v>
      </c>
      <c r="V4" s="1253" t="s">
        <v>587</v>
      </c>
      <c r="W4" s="1251"/>
      <c r="X4" s="1252"/>
      <c r="Y4" s="1253" t="s">
        <v>1163</v>
      </c>
      <c r="Z4" s="1251"/>
      <c r="AA4" s="1252"/>
      <c r="AB4" s="1253" t="s">
        <v>1196</v>
      </c>
      <c r="AC4" s="1251"/>
      <c r="AD4" s="1252"/>
      <c r="AE4" s="1253" t="s">
        <v>56</v>
      </c>
      <c r="AF4" s="1251"/>
      <c r="AG4" s="1252"/>
      <c r="AH4" s="1253" t="s">
        <v>221</v>
      </c>
      <c r="AI4" s="1251"/>
      <c r="AJ4" s="1252"/>
      <c r="AK4" s="557"/>
      <c r="AL4" s="1262" t="s">
        <v>1195</v>
      </c>
      <c r="AM4" s="1262" t="s">
        <v>1602</v>
      </c>
      <c r="AN4" s="1253" t="s">
        <v>1197</v>
      </c>
      <c r="AO4" s="1251"/>
      <c r="AP4" s="1252"/>
      <c r="AQ4" s="1253" t="s">
        <v>1430</v>
      </c>
      <c r="AR4" s="1251"/>
      <c r="AS4" s="1252"/>
      <c r="AT4" s="1253" t="s">
        <v>593</v>
      </c>
      <c r="AU4" s="1251"/>
      <c r="AV4" s="1252"/>
      <c r="AW4" s="1253" t="s">
        <v>592</v>
      </c>
      <c r="AX4" s="1251"/>
      <c r="AY4" s="1252"/>
    </row>
    <row r="5" spans="2:52" ht="18" customHeight="1">
      <c r="B5" s="1300"/>
      <c r="C5" s="1270"/>
      <c r="D5" s="1162" t="s">
        <v>1215</v>
      </c>
      <c r="E5" s="1165" t="s">
        <v>1199</v>
      </c>
      <c r="F5" s="1163" t="s">
        <v>1211</v>
      </c>
      <c r="G5" s="1162" t="s">
        <v>1215</v>
      </c>
      <c r="H5" s="1165" t="s">
        <v>1199</v>
      </c>
      <c r="I5" s="1163" t="s">
        <v>1211</v>
      </c>
      <c r="J5" s="1162" t="s">
        <v>1215</v>
      </c>
      <c r="K5" s="1165" t="s">
        <v>1199</v>
      </c>
      <c r="L5" s="1163" t="s">
        <v>1211</v>
      </c>
      <c r="M5" s="1162" t="s">
        <v>1215</v>
      </c>
      <c r="N5" s="1165" t="s">
        <v>1199</v>
      </c>
      <c r="O5" s="1163" t="s">
        <v>1211</v>
      </c>
      <c r="P5" s="1165" t="s">
        <v>1215</v>
      </c>
      <c r="Q5" s="1165" t="s">
        <v>1199</v>
      </c>
      <c r="R5" s="1163" t="s">
        <v>1211</v>
      </c>
      <c r="S5" s="45"/>
      <c r="T5" s="1263"/>
      <c r="U5" s="1258"/>
      <c r="V5" s="1137" t="s">
        <v>1215</v>
      </c>
      <c r="W5" s="1125" t="s">
        <v>1212</v>
      </c>
      <c r="X5" s="1127" t="s">
        <v>1213</v>
      </c>
      <c r="Y5" s="1137" t="s">
        <v>1215</v>
      </c>
      <c r="Z5" s="1125" t="s">
        <v>1199</v>
      </c>
      <c r="AA5" s="1118" t="s">
        <v>1211</v>
      </c>
      <c r="AB5" s="1137" t="s">
        <v>1215</v>
      </c>
      <c r="AC5" s="1125" t="s">
        <v>1199</v>
      </c>
      <c r="AD5" s="1127" t="s">
        <v>1211</v>
      </c>
      <c r="AE5" s="1137" t="s">
        <v>1215</v>
      </c>
      <c r="AF5" s="1125" t="s">
        <v>1199</v>
      </c>
      <c r="AG5" s="1127" t="s">
        <v>1211</v>
      </c>
      <c r="AH5" s="1137" t="s">
        <v>1215</v>
      </c>
      <c r="AI5" s="1125" t="s">
        <v>1199</v>
      </c>
      <c r="AJ5" s="1127" t="s">
        <v>1211</v>
      </c>
      <c r="AK5" s="45"/>
      <c r="AL5" s="1263"/>
      <c r="AM5" s="1258"/>
      <c r="AN5" s="1164" t="s">
        <v>1215</v>
      </c>
      <c r="AO5" s="1159" t="s">
        <v>1199</v>
      </c>
      <c r="AP5" s="1160" t="s">
        <v>1211</v>
      </c>
      <c r="AQ5" s="1164" t="s">
        <v>1215</v>
      </c>
      <c r="AR5" s="1159" t="s">
        <v>1199</v>
      </c>
      <c r="AS5" s="1160" t="s">
        <v>1211</v>
      </c>
      <c r="AT5" s="1164" t="s">
        <v>1215</v>
      </c>
      <c r="AU5" s="1159" t="s">
        <v>1199</v>
      </c>
      <c r="AV5" s="1160" t="s">
        <v>1211</v>
      </c>
      <c r="AW5" s="1164" t="s">
        <v>1215</v>
      </c>
      <c r="AX5" s="1159" t="s">
        <v>1199</v>
      </c>
      <c r="AY5" s="1160" t="s">
        <v>1211</v>
      </c>
    </row>
    <row r="6" spans="2:52" ht="18" customHeight="1">
      <c r="B6" s="514" t="s">
        <v>163</v>
      </c>
      <c r="C6" s="225" t="s">
        <v>164</v>
      </c>
      <c r="D6" s="1154" t="s">
        <v>165</v>
      </c>
      <c r="E6" s="1161" t="s">
        <v>166</v>
      </c>
      <c r="F6" s="1155" t="s">
        <v>167</v>
      </c>
      <c r="G6" s="1154" t="s">
        <v>168</v>
      </c>
      <c r="H6" s="1161" t="s">
        <v>169</v>
      </c>
      <c r="I6" s="1155" t="s">
        <v>211</v>
      </c>
      <c r="J6" s="1154" t="s">
        <v>212</v>
      </c>
      <c r="K6" s="1161" t="s">
        <v>213</v>
      </c>
      <c r="L6" s="1155" t="s">
        <v>214</v>
      </c>
      <c r="M6" s="1154" t="s">
        <v>253</v>
      </c>
      <c r="N6" s="1161" t="s">
        <v>254</v>
      </c>
      <c r="O6" s="1155" t="s">
        <v>255</v>
      </c>
      <c r="P6" s="1161" t="s">
        <v>256</v>
      </c>
      <c r="Q6" s="1161" t="s">
        <v>257</v>
      </c>
      <c r="R6" s="1155" t="s">
        <v>262</v>
      </c>
      <c r="S6" s="352"/>
      <c r="T6" s="514" t="s">
        <v>163</v>
      </c>
      <c r="U6" s="225" t="s">
        <v>164</v>
      </c>
      <c r="V6" s="1128" t="s">
        <v>264</v>
      </c>
      <c r="W6" s="1128" t="s">
        <v>263</v>
      </c>
      <c r="X6" s="1122" t="s">
        <v>516</v>
      </c>
      <c r="Y6" s="1128" t="s">
        <v>517</v>
      </c>
      <c r="Z6" s="1128" t="s">
        <v>518</v>
      </c>
      <c r="AA6" s="1122" t="s">
        <v>1141</v>
      </c>
      <c r="AB6" s="1128" t="s">
        <v>1142</v>
      </c>
      <c r="AC6" s="1128" t="s">
        <v>1143</v>
      </c>
      <c r="AD6" s="1122" t="s">
        <v>1144</v>
      </c>
      <c r="AE6" s="1128" t="s">
        <v>1145</v>
      </c>
      <c r="AF6" s="1128" t="s">
        <v>1146</v>
      </c>
      <c r="AG6" s="1122" t="s">
        <v>1147</v>
      </c>
      <c r="AH6" s="1121" t="s">
        <v>1148</v>
      </c>
      <c r="AI6" s="1128" t="s">
        <v>1149</v>
      </c>
      <c r="AJ6" s="1122" t="s">
        <v>1150</v>
      </c>
      <c r="AK6" s="352"/>
      <c r="AL6" s="514" t="s">
        <v>163</v>
      </c>
      <c r="AM6" s="225" t="s">
        <v>164</v>
      </c>
      <c r="AN6" s="1161" t="s">
        <v>1151</v>
      </c>
      <c r="AO6" s="1161" t="s">
        <v>1152</v>
      </c>
      <c r="AP6" s="1155" t="s">
        <v>1153</v>
      </c>
      <c r="AQ6" s="1161" t="s">
        <v>1154</v>
      </c>
      <c r="AR6" s="1161" t="s">
        <v>1156</v>
      </c>
      <c r="AS6" s="1155" t="s">
        <v>1155</v>
      </c>
      <c r="AT6" s="1161" t="s">
        <v>1157</v>
      </c>
      <c r="AU6" s="1161" t="s">
        <v>1158</v>
      </c>
      <c r="AV6" s="1155" t="s">
        <v>1159</v>
      </c>
      <c r="AW6" s="1161" t="s">
        <v>1164</v>
      </c>
      <c r="AX6" s="1161" t="s">
        <v>1165</v>
      </c>
      <c r="AY6" s="1155" t="s">
        <v>1166</v>
      </c>
    </row>
    <row r="7" spans="2:52" ht="21.95" customHeight="1">
      <c r="B7" s="1157">
        <v>1</v>
      </c>
      <c r="C7" s="1158" t="s">
        <v>1118</v>
      </c>
      <c r="D7" s="1162">
        <v>752</v>
      </c>
      <c r="E7" s="1165">
        <v>1.528</v>
      </c>
      <c r="F7" s="1163">
        <v>2032.01</v>
      </c>
      <c r="G7" s="1166">
        <v>2902</v>
      </c>
      <c r="H7" s="248">
        <v>7.5780000000000003</v>
      </c>
      <c r="I7" s="1167">
        <v>2611.2399999999998</v>
      </c>
      <c r="J7" s="1166">
        <v>276</v>
      </c>
      <c r="K7" s="248">
        <v>1.0209999999999999</v>
      </c>
      <c r="L7" s="1167">
        <v>3697.85</v>
      </c>
      <c r="M7" s="1166">
        <v>8268</v>
      </c>
      <c r="N7" s="248">
        <v>25.591999999999999</v>
      </c>
      <c r="O7" s="1167">
        <v>3095.26</v>
      </c>
      <c r="P7" s="1165" t="s">
        <v>643</v>
      </c>
      <c r="Q7" s="1165" t="s">
        <v>643</v>
      </c>
      <c r="R7" s="1163" t="s">
        <v>643</v>
      </c>
      <c r="S7" s="1171"/>
      <c r="T7" s="1119">
        <v>1</v>
      </c>
      <c r="U7" s="1124" t="s">
        <v>1118</v>
      </c>
      <c r="V7" s="196">
        <v>14127</v>
      </c>
      <c r="W7" s="248">
        <v>321.67200000000003</v>
      </c>
      <c r="X7" s="1141">
        <v>22.77</v>
      </c>
      <c r="Y7" s="196">
        <v>3650</v>
      </c>
      <c r="Z7" s="248">
        <v>3.7370000000000001</v>
      </c>
      <c r="AA7" s="1139">
        <v>1023.93</v>
      </c>
      <c r="AB7" s="196">
        <v>644</v>
      </c>
      <c r="AC7" s="248">
        <v>0.60799999999999998</v>
      </c>
      <c r="AD7" s="1139">
        <v>943.89</v>
      </c>
      <c r="AE7" s="313">
        <v>31</v>
      </c>
      <c r="AF7" s="249">
        <v>2.5999999999999999E-2</v>
      </c>
      <c r="AG7" s="308">
        <v>833.53</v>
      </c>
      <c r="AH7" s="196">
        <v>124</v>
      </c>
      <c r="AI7" s="248">
        <v>0.124</v>
      </c>
      <c r="AJ7" s="308">
        <v>996.96</v>
      </c>
      <c r="AK7" s="309"/>
      <c r="AL7" s="1152">
        <v>1</v>
      </c>
      <c r="AM7" s="1158" t="s">
        <v>1118</v>
      </c>
      <c r="AN7" s="196">
        <v>3160</v>
      </c>
      <c r="AO7" s="248">
        <v>3.3889999999999998</v>
      </c>
      <c r="AP7" s="1167">
        <v>1072.32</v>
      </c>
      <c r="AQ7" s="196">
        <v>1476</v>
      </c>
      <c r="AR7" s="248">
        <v>2.6840000000000002</v>
      </c>
      <c r="AS7" s="1167">
        <v>1818.71</v>
      </c>
      <c r="AT7" s="196" t="s">
        <v>643</v>
      </c>
      <c r="AU7" s="196" t="s">
        <v>643</v>
      </c>
      <c r="AV7" s="196" t="s">
        <v>643</v>
      </c>
      <c r="AW7" s="1156" t="s">
        <v>643</v>
      </c>
      <c r="AX7" s="1165" t="s">
        <v>643</v>
      </c>
      <c r="AY7" s="1163" t="s">
        <v>643</v>
      </c>
    </row>
    <row r="8" spans="2:52" ht="21.95" customHeight="1">
      <c r="B8" s="1157">
        <v>2</v>
      </c>
      <c r="C8" s="1158" t="s">
        <v>1119</v>
      </c>
      <c r="D8" s="1166">
        <v>203</v>
      </c>
      <c r="E8" s="248">
        <v>0.53200000000000003</v>
      </c>
      <c r="F8" s="1167">
        <v>2620.11</v>
      </c>
      <c r="G8" s="1166">
        <v>2139</v>
      </c>
      <c r="H8" s="248">
        <v>6.4560000000000004</v>
      </c>
      <c r="I8" s="1167">
        <v>3018.05</v>
      </c>
      <c r="J8" s="1166">
        <v>1441</v>
      </c>
      <c r="K8" s="248">
        <v>5.5119999999999996</v>
      </c>
      <c r="L8" s="1167">
        <v>3825.35</v>
      </c>
      <c r="M8" s="1166">
        <v>6324</v>
      </c>
      <c r="N8" s="248">
        <v>20.669</v>
      </c>
      <c r="O8" s="1167">
        <v>3268.32</v>
      </c>
      <c r="P8" s="1165" t="s">
        <v>643</v>
      </c>
      <c r="Q8" s="1165" t="s">
        <v>643</v>
      </c>
      <c r="R8" s="1163" t="s">
        <v>643</v>
      </c>
      <c r="S8" s="1171"/>
      <c r="T8" s="1123">
        <v>2</v>
      </c>
      <c r="U8" s="1124" t="s">
        <v>1119</v>
      </c>
      <c r="V8" s="196">
        <v>10323</v>
      </c>
      <c r="W8" s="248">
        <v>145.864</v>
      </c>
      <c r="X8" s="1141">
        <v>14.13</v>
      </c>
      <c r="Y8" s="196">
        <v>563</v>
      </c>
      <c r="Z8" s="248">
        <v>0.499</v>
      </c>
      <c r="AA8" s="1139">
        <v>885.75</v>
      </c>
      <c r="AB8" s="196">
        <v>183</v>
      </c>
      <c r="AC8" s="248">
        <v>0.16400000000000001</v>
      </c>
      <c r="AD8" s="1139">
        <v>898.59</v>
      </c>
      <c r="AE8" s="1138">
        <v>54</v>
      </c>
      <c r="AF8" s="248">
        <v>4.4999999999999998E-2</v>
      </c>
      <c r="AG8" s="1139">
        <v>840.07</v>
      </c>
      <c r="AH8" s="196">
        <v>146</v>
      </c>
      <c r="AI8" s="248">
        <v>0.121</v>
      </c>
      <c r="AJ8" s="1139">
        <v>828.77</v>
      </c>
      <c r="AK8" s="309"/>
      <c r="AL8" s="1157">
        <v>2</v>
      </c>
      <c r="AM8" s="1158" t="s">
        <v>1119</v>
      </c>
      <c r="AN8" s="196">
        <v>5180</v>
      </c>
      <c r="AO8" s="248">
        <v>6.3010000000000002</v>
      </c>
      <c r="AP8" s="1167">
        <v>1216.45</v>
      </c>
      <c r="AQ8" s="196">
        <v>426</v>
      </c>
      <c r="AR8" s="248">
        <v>0.48499999999999999</v>
      </c>
      <c r="AS8" s="1167">
        <v>1138.69</v>
      </c>
      <c r="AT8" s="196">
        <v>70</v>
      </c>
      <c r="AU8" s="248">
        <v>2.1070000000000002</v>
      </c>
      <c r="AV8" s="1167">
        <v>30100</v>
      </c>
      <c r="AW8" s="1162">
        <v>3</v>
      </c>
      <c r="AX8" s="248">
        <v>0.30099999999999999</v>
      </c>
      <c r="AY8" s="1167">
        <v>100231.77</v>
      </c>
    </row>
    <row r="9" spans="2:52" ht="21.95" customHeight="1">
      <c r="B9" s="1157">
        <v>3</v>
      </c>
      <c r="C9" s="1158" t="s">
        <v>1121</v>
      </c>
      <c r="D9" s="1166">
        <v>1378</v>
      </c>
      <c r="E9" s="248">
        <v>3.2389999999999999</v>
      </c>
      <c r="F9" s="1167">
        <v>2350.48</v>
      </c>
      <c r="G9" s="1166">
        <v>875</v>
      </c>
      <c r="H9" s="248">
        <v>2.0529999999999999</v>
      </c>
      <c r="I9" s="1167">
        <v>2346.1</v>
      </c>
      <c r="J9" s="1166">
        <v>3769</v>
      </c>
      <c r="K9" s="248">
        <v>13.221</v>
      </c>
      <c r="L9" s="1167">
        <v>3507.84</v>
      </c>
      <c r="M9" s="1166">
        <v>6231</v>
      </c>
      <c r="N9" s="248">
        <v>20.965</v>
      </c>
      <c r="O9" s="1167">
        <v>3364.57</v>
      </c>
      <c r="P9" s="1165" t="s">
        <v>643</v>
      </c>
      <c r="Q9" s="1165" t="s">
        <v>643</v>
      </c>
      <c r="R9" s="1163" t="s">
        <v>643</v>
      </c>
      <c r="S9" s="1171"/>
      <c r="T9" s="1123">
        <v>3</v>
      </c>
      <c r="U9" s="1124" t="s">
        <v>1121</v>
      </c>
      <c r="V9" s="196">
        <v>10868</v>
      </c>
      <c r="W9" s="248">
        <v>166.28</v>
      </c>
      <c r="X9" s="1141">
        <v>15.3</v>
      </c>
      <c r="Y9" s="196">
        <v>4371</v>
      </c>
      <c r="Z9" s="248">
        <v>4.4749999999999996</v>
      </c>
      <c r="AA9" s="1139">
        <v>1023.81</v>
      </c>
      <c r="AB9" s="196">
        <v>984</v>
      </c>
      <c r="AC9" s="248">
        <v>0.877</v>
      </c>
      <c r="AD9" s="1139">
        <v>890.89</v>
      </c>
      <c r="AE9" s="1138">
        <v>560</v>
      </c>
      <c r="AF9" s="248">
        <v>0.47699999999999998</v>
      </c>
      <c r="AG9" s="1139">
        <v>851.83</v>
      </c>
      <c r="AH9" s="196">
        <v>1749</v>
      </c>
      <c r="AI9" s="248">
        <v>2.1309999999999998</v>
      </c>
      <c r="AJ9" s="1139">
        <v>1218.45</v>
      </c>
      <c r="AK9" s="309"/>
      <c r="AL9" s="1157">
        <v>3</v>
      </c>
      <c r="AM9" s="1158" t="s">
        <v>1121</v>
      </c>
      <c r="AN9" s="196">
        <v>6182</v>
      </c>
      <c r="AO9" s="248">
        <v>6.806</v>
      </c>
      <c r="AP9" s="1167">
        <v>1100.98</v>
      </c>
      <c r="AQ9" s="196">
        <v>4261</v>
      </c>
      <c r="AR9" s="248">
        <v>5.1470000000000002</v>
      </c>
      <c r="AS9" s="1167">
        <v>1207.97</v>
      </c>
      <c r="AT9" s="196">
        <v>85</v>
      </c>
      <c r="AU9" s="248">
        <v>2.423</v>
      </c>
      <c r="AV9" s="1167">
        <v>28500</v>
      </c>
      <c r="AW9" s="1165" t="s">
        <v>643</v>
      </c>
      <c r="AX9" s="1165" t="s">
        <v>643</v>
      </c>
      <c r="AY9" s="1163" t="s">
        <v>643</v>
      </c>
    </row>
    <row r="10" spans="2:52" ht="21.95" customHeight="1">
      <c r="B10" s="1157">
        <v>4</v>
      </c>
      <c r="C10" s="1158" t="s">
        <v>1120</v>
      </c>
      <c r="D10" s="1166">
        <v>2652</v>
      </c>
      <c r="E10" s="248">
        <v>5.24</v>
      </c>
      <c r="F10" s="1167">
        <v>1975.77</v>
      </c>
      <c r="G10" s="1166">
        <v>2038</v>
      </c>
      <c r="H10" s="248">
        <v>5.3129999999999997</v>
      </c>
      <c r="I10" s="1167">
        <v>2606.87</v>
      </c>
      <c r="J10" s="1166">
        <v>2171</v>
      </c>
      <c r="K10" s="248">
        <v>8.3109999999999999</v>
      </c>
      <c r="L10" s="1167">
        <v>3827.97</v>
      </c>
      <c r="M10" s="1166">
        <v>3896</v>
      </c>
      <c r="N10" s="248">
        <v>14.997</v>
      </c>
      <c r="O10" s="1167">
        <v>3849.3</v>
      </c>
      <c r="P10" s="1165" t="s">
        <v>643</v>
      </c>
      <c r="Q10" s="1165" t="s">
        <v>643</v>
      </c>
      <c r="R10" s="1163" t="s">
        <v>643</v>
      </c>
      <c r="S10" s="1171"/>
      <c r="T10" s="1123">
        <v>4</v>
      </c>
      <c r="U10" s="1124" t="s">
        <v>1120</v>
      </c>
      <c r="V10" s="196">
        <v>9792</v>
      </c>
      <c r="W10" s="248">
        <v>161.76400000000001</v>
      </c>
      <c r="X10" s="1141">
        <v>16.52</v>
      </c>
      <c r="Y10" s="196">
        <v>3897</v>
      </c>
      <c r="Z10" s="248">
        <v>4.1870000000000003</v>
      </c>
      <c r="AA10" s="1139">
        <v>1074.49</v>
      </c>
      <c r="AB10" s="196">
        <v>215</v>
      </c>
      <c r="AC10" s="248">
        <v>0.154</v>
      </c>
      <c r="AD10" s="1139">
        <v>715.39</v>
      </c>
      <c r="AE10" s="1138">
        <v>9</v>
      </c>
      <c r="AF10" s="248">
        <v>8.0000000000000002E-3</v>
      </c>
      <c r="AG10" s="1139">
        <v>840.97</v>
      </c>
      <c r="AH10" s="196">
        <v>1518</v>
      </c>
      <c r="AI10" s="248">
        <v>1.7350000000000001</v>
      </c>
      <c r="AJ10" s="1139">
        <v>1142.72</v>
      </c>
      <c r="AK10" s="309"/>
      <c r="AL10" s="1157">
        <v>4</v>
      </c>
      <c r="AM10" s="1158" t="s">
        <v>1120</v>
      </c>
      <c r="AN10" s="196">
        <v>3794</v>
      </c>
      <c r="AO10" s="248">
        <v>4.6109999999999998</v>
      </c>
      <c r="AP10" s="1167">
        <v>1215.3499999999999</v>
      </c>
      <c r="AQ10" s="196">
        <v>1381</v>
      </c>
      <c r="AR10" s="248">
        <v>1.6080000000000001</v>
      </c>
      <c r="AS10" s="1167">
        <v>1164.1099999999999</v>
      </c>
      <c r="AT10" s="196">
        <v>181</v>
      </c>
      <c r="AU10" s="248">
        <v>5.4660000000000002</v>
      </c>
      <c r="AV10" s="1167">
        <v>30200</v>
      </c>
      <c r="AW10" s="1166">
        <v>94</v>
      </c>
      <c r="AX10" s="248">
        <v>9.4220000000000006</v>
      </c>
      <c r="AY10" s="1167">
        <v>100231.77</v>
      </c>
    </row>
    <row r="11" spans="2:52" ht="21.95" customHeight="1">
      <c r="B11" s="1157">
        <v>5</v>
      </c>
      <c r="C11" s="1158" t="s">
        <v>1122</v>
      </c>
      <c r="D11" s="1166">
        <v>4797</v>
      </c>
      <c r="E11" s="248">
        <v>12.497</v>
      </c>
      <c r="F11" s="1167">
        <v>2605.21</v>
      </c>
      <c r="G11" s="1166">
        <v>9361</v>
      </c>
      <c r="H11" s="248">
        <v>25.125</v>
      </c>
      <c r="I11" s="1167">
        <v>2684.05</v>
      </c>
      <c r="J11" s="1166">
        <v>8013</v>
      </c>
      <c r="K11" s="248">
        <v>32.210999999999999</v>
      </c>
      <c r="L11" s="1167">
        <v>4019.85</v>
      </c>
      <c r="M11" s="1166">
        <v>2923</v>
      </c>
      <c r="N11" s="248">
        <v>11.028</v>
      </c>
      <c r="O11" s="1167">
        <v>3772.74</v>
      </c>
      <c r="P11" s="1165" t="s">
        <v>643</v>
      </c>
      <c r="Q11" s="1165" t="s">
        <v>643</v>
      </c>
      <c r="R11" s="1163" t="s">
        <v>643</v>
      </c>
      <c r="S11" s="1171"/>
      <c r="T11" s="1123">
        <v>5</v>
      </c>
      <c r="U11" s="1124" t="s">
        <v>1122</v>
      </c>
      <c r="V11" s="196">
        <v>8428</v>
      </c>
      <c r="W11" s="248">
        <v>152.125</v>
      </c>
      <c r="X11" s="1141">
        <v>18.05</v>
      </c>
      <c r="Y11" s="196">
        <v>2543</v>
      </c>
      <c r="Z11" s="248">
        <v>2.31</v>
      </c>
      <c r="AA11" s="1139">
        <v>908.45</v>
      </c>
      <c r="AB11" s="196">
        <v>839</v>
      </c>
      <c r="AC11" s="248">
        <v>0.77400000000000002</v>
      </c>
      <c r="AD11" s="1139">
        <v>922.24</v>
      </c>
      <c r="AE11" s="1138">
        <v>61</v>
      </c>
      <c r="AF11" s="248">
        <v>4.2999999999999997E-2</v>
      </c>
      <c r="AG11" s="1139">
        <v>699.21</v>
      </c>
      <c r="AH11" s="196">
        <v>1042</v>
      </c>
      <c r="AI11" s="248">
        <v>1.115</v>
      </c>
      <c r="AJ11" s="1139">
        <v>1069.74</v>
      </c>
      <c r="AK11" s="309"/>
      <c r="AL11" s="1157">
        <v>5</v>
      </c>
      <c r="AM11" s="1158" t="s">
        <v>1122</v>
      </c>
      <c r="AN11" s="196">
        <v>1560</v>
      </c>
      <c r="AO11" s="248">
        <v>1.5249999999999999</v>
      </c>
      <c r="AP11" s="1167">
        <v>977.6</v>
      </c>
      <c r="AQ11" s="196">
        <v>3252</v>
      </c>
      <c r="AR11" s="248">
        <v>3.78</v>
      </c>
      <c r="AS11" s="1167">
        <v>1162.3499999999999</v>
      </c>
      <c r="AT11" s="196">
        <v>251</v>
      </c>
      <c r="AU11" s="248">
        <v>7.7309999999999999</v>
      </c>
      <c r="AV11" s="1167">
        <v>30800</v>
      </c>
      <c r="AW11" s="1166">
        <v>1784</v>
      </c>
      <c r="AX11" s="248">
        <v>178.81299999999999</v>
      </c>
      <c r="AY11" s="1167">
        <v>100231.77</v>
      </c>
      <c r="AZ11" s="114"/>
    </row>
    <row r="12" spans="2:52" ht="21.95" customHeight="1">
      <c r="B12" s="1157">
        <v>6</v>
      </c>
      <c r="C12" s="1158" t="s">
        <v>1123</v>
      </c>
      <c r="D12" s="1166">
        <v>6739</v>
      </c>
      <c r="E12" s="248">
        <v>16.823</v>
      </c>
      <c r="F12" s="1167">
        <v>2496.41</v>
      </c>
      <c r="G12" s="1166">
        <v>2813</v>
      </c>
      <c r="H12" s="248">
        <v>7.34</v>
      </c>
      <c r="I12" s="1167">
        <v>2609.29</v>
      </c>
      <c r="J12" s="1166">
        <v>11922</v>
      </c>
      <c r="K12" s="248">
        <v>48.698</v>
      </c>
      <c r="L12" s="1167">
        <v>4084.75</v>
      </c>
      <c r="M12" s="1166">
        <v>2712</v>
      </c>
      <c r="N12" s="248">
        <v>7.9649999999999999</v>
      </c>
      <c r="O12" s="1167">
        <v>2936.84</v>
      </c>
      <c r="P12" s="1165" t="s">
        <v>643</v>
      </c>
      <c r="Q12" s="1165" t="s">
        <v>643</v>
      </c>
      <c r="R12" s="1163" t="s">
        <v>643</v>
      </c>
      <c r="S12" s="1171"/>
      <c r="T12" s="1123">
        <v>6</v>
      </c>
      <c r="U12" s="1124" t="s">
        <v>1123</v>
      </c>
      <c r="V12" s="196">
        <v>13416</v>
      </c>
      <c r="W12" s="248">
        <v>235.31700000000001</v>
      </c>
      <c r="X12" s="1141">
        <v>17.54</v>
      </c>
      <c r="Y12" s="196">
        <v>485</v>
      </c>
      <c r="Z12" s="248">
        <v>0.47499999999999998</v>
      </c>
      <c r="AA12" s="1139">
        <v>979.12</v>
      </c>
      <c r="AB12" s="196">
        <v>188</v>
      </c>
      <c r="AC12" s="248">
        <v>0.121</v>
      </c>
      <c r="AD12" s="1139">
        <v>643.72</v>
      </c>
      <c r="AE12" s="1138">
        <v>11</v>
      </c>
      <c r="AF12" s="248">
        <v>8.0000000000000002E-3</v>
      </c>
      <c r="AG12" s="1139">
        <v>699.21</v>
      </c>
      <c r="AH12" s="196">
        <v>659</v>
      </c>
      <c r="AI12" s="248">
        <v>0.63500000000000001</v>
      </c>
      <c r="AJ12" s="1139">
        <v>964.28</v>
      </c>
      <c r="AK12" s="309"/>
      <c r="AL12" s="1157">
        <v>6</v>
      </c>
      <c r="AM12" s="1158" t="s">
        <v>1123</v>
      </c>
      <c r="AN12" s="196">
        <v>1539</v>
      </c>
      <c r="AO12" s="248">
        <v>1.4890000000000001</v>
      </c>
      <c r="AP12" s="1167">
        <v>967.58</v>
      </c>
      <c r="AQ12" s="196">
        <v>2455</v>
      </c>
      <c r="AR12" s="248">
        <v>2.1520000000000001</v>
      </c>
      <c r="AS12" s="1167">
        <v>876.54</v>
      </c>
      <c r="AT12" s="196">
        <v>2564</v>
      </c>
      <c r="AU12" s="248">
        <v>80.073999999999998</v>
      </c>
      <c r="AV12" s="196">
        <v>31230</v>
      </c>
      <c r="AW12" s="1162" t="s">
        <v>643</v>
      </c>
      <c r="AX12" s="1165" t="s">
        <v>643</v>
      </c>
      <c r="AY12" s="1163" t="s">
        <v>643</v>
      </c>
    </row>
    <row r="13" spans="2:52" ht="21.95" customHeight="1">
      <c r="B13" s="1157">
        <v>7</v>
      </c>
      <c r="C13" s="1158" t="s">
        <v>1124</v>
      </c>
      <c r="D13" s="1166">
        <v>5384</v>
      </c>
      <c r="E13" s="248">
        <v>13.212</v>
      </c>
      <c r="F13" s="1167">
        <v>2453.9699999999998</v>
      </c>
      <c r="G13" s="1166">
        <v>20658</v>
      </c>
      <c r="H13" s="248">
        <v>57.747</v>
      </c>
      <c r="I13" s="1167">
        <v>2795.4</v>
      </c>
      <c r="J13" s="1166">
        <v>13744</v>
      </c>
      <c r="K13" s="248">
        <v>44.097999999999999</v>
      </c>
      <c r="L13" s="1167">
        <v>3208.55</v>
      </c>
      <c r="M13" s="1166">
        <v>871</v>
      </c>
      <c r="N13" s="248">
        <v>2.2050000000000001</v>
      </c>
      <c r="O13" s="1167">
        <v>2532.12</v>
      </c>
      <c r="P13" s="1165" t="s">
        <v>643</v>
      </c>
      <c r="Q13" s="1165" t="s">
        <v>643</v>
      </c>
      <c r="R13" s="1163" t="s">
        <v>643</v>
      </c>
      <c r="S13" s="1171"/>
      <c r="T13" s="1123">
        <v>7</v>
      </c>
      <c r="U13" s="1124" t="s">
        <v>1124</v>
      </c>
      <c r="V13" s="196">
        <v>7489</v>
      </c>
      <c r="W13" s="248">
        <v>126.19</v>
      </c>
      <c r="X13" s="1141">
        <v>16.850000000000001</v>
      </c>
      <c r="Y13" s="196">
        <v>432</v>
      </c>
      <c r="Z13" s="248">
        <v>0.24099999999999999</v>
      </c>
      <c r="AA13" s="1139">
        <v>558.64</v>
      </c>
      <c r="AB13" s="196">
        <v>2639</v>
      </c>
      <c r="AC13" s="248">
        <v>1.907</v>
      </c>
      <c r="AD13" s="1139">
        <v>722.78</v>
      </c>
      <c r="AE13" s="1129" t="s">
        <v>643</v>
      </c>
      <c r="AF13" s="248" t="s">
        <v>643</v>
      </c>
      <c r="AG13" s="1141" t="s">
        <v>643</v>
      </c>
      <c r="AH13" s="196">
        <v>180</v>
      </c>
      <c r="AI13" s="248">
        <v>0.13500000000000001</v>
      </c>
      <c r="AJ13" s="1139">
        <v>749.97</v>
      </c>
      <c r="AK13" s="309"/>
      <c r="AL13" s="1157">
        <v>7</v>
      </c>
      <c r="AM13" s="1158" t="s">
        <v>1124</v>
      </c>
      <c r="AN13" s="196">
        <v>8641</v>
      </c>
      <c r="AO13" s="248">
        <v>9.1440000000000001</v>
      </c>
      <c r="AP13" s="1167">
        <v>1058.22</v>
      </c>
      <c r="AQ13" s="196">
        <v>2251</v>
      </c>
      <c r="AR13" s="248">
        <v>1.921</v>
      </c>
      <c r="AS13" s="1167">
        <v>853.33</v>
      </c>
      <c r="AT13" s="196">
        <v>25</v>
      </c>
      <c r="AU13" s="248">
        <v>0.63800000000000001</v>
      </c>
      <c r="AV13" s="196">
        <v>25510</v>
      </c>
      <c r="AW13" s="1162" t="s">
        <v>643</v>
      </c>
      <c r="AX13" s="1165" t="s">
        <v>643</v>
      </c>
      <c r="AY13" s="1163" t="s">
        <v>643</v>
      </c>
    </row>
    <row r="14" spans="2:52" ht="21.95" customHeight="1">
      <c r="B14" s="1157">
        <v>8</v>
      </c>
      <c r="C14" s="1158" t="s">
        <v>1125</v>
      </c>
      <c r="D14" s="1162">
        <v>931</v>
      </c>
      <c r="E14" s="1165">
        <v>2.1379999999999999</v>
      </c>
      <c r="F14" s="1167">
        <v>2295.9899999999998</v>
      </c>
      <c r="G14" s="1166">
        <v>991</v>
      </c>
      <c r="H14" s="248">
        <v>2.488</v>
      </c>
      <c r="I14" s="1167">
        <v>2510.9699999999998</v>
      </c>
      <c r="J14" s="1162">
        <v>1486</v>
      </c>
      <c r="K14" s="1165">
        <v>5.2859999999999996</v>
      </c>
      <c r="L14" s="1167">
        <v>3557.14</v>
      </c>
      <c r="M14" s="1166">
        <v>415</v>
      </c>
      <c r="N14" s="248">
        <v>1.252</v>
      </c>
      <c r="O14" s="1167">
        <v>3017.37</v>
      </c>
      <c r="P14" s="1165" t="s">
        <v>643</v>
      </c>
      <c r="Q14" s="1165" t="s">
        <v>643</v>
      </c>
      <c r="R14" s="1163" t="s">
        <v>643</v>
      </c>
      <c r="S14" s="1171"/>
      <c r="T14" s="1123">
        <v>8</v>
      </c>
      <c r="U14" s="1124" t="s">
        <v>1125</v>
      </c>
      <c r="V14" s="196">
        <v>3808</v>
      </c>
      <c r="W14" s="248">
        <v>61.195</v>
      </c>
      <c r="X14" s="1141">
        <v>16.07</v>
      </c>
      <c r="Y14" s="196">
        <v>707</v>
      </c>
      <c r="Z14" s="248">
        <v>0.49299999999999999</v>
      </c>
      <c r="AA14" s="1139">
        <v>697.61</v>
      </c>
      <c r="AB14" s="196">
        <v>484</v>
      </c>
      <c r="AC14" s="248">
        <v>0.314</v>
      </c>
      <c r="AD14" s="1139">
        <v>648.24</v>
      </c>
      <c r="AE14" s="1129">
        <v>43</v>
      </c>
      <c r="AF14" s="248">
        <v>0.03</v>
      </c>
      <c r="AG14" s="1214">
        <v>699.21</v>
      </c>
      <c r="AH14" s="196">
        <v>82</v>
      </c>
      <c r="AI14" s="248">
        <v>5.8000000000000003E-2</v>
      </c>
      <c r="AJ14" s="1139">
        <v>706.58</v>
      </c>
      <c r="AK14" s="309"/>
      <c r="AL14" s="1157">
        <v>8</v>
      </c>
      <c r="AM14" s="1158" t="s">
        <v>1125</v>
      </c>
      <c r="AN14" s="196">
        <v>2197</v>
      </c>
      <c r="AO14" s="248">
        <v>2.5739999999999998</v>
      </c>
      <c r="AP14" s="1167">
        <v>1171.74</v>
      </c>
      <c r="AQ14" s="196">
        <v>1740</v>
      </c>
      <c r="AR14" s="248">
        <v>3.3490000000000002</v>
      </c>
      <c r="AS14" s="1167">
        <v>1924.8</v>
      </c>
      <c r="AT14" s="196">
        <v>40</v>
      </c>
      <c r="AU14" s="248">
        <v>1.24</v>
      </c>
      <c r="AV14" s="196">
        <v>31000</v>
      </c>
      <c r="AW14" s="1162" t="s">
        <v>643</v>
      </c>
      <c r="AX14" s="1165" t="s">
        <v>643</v>
      </c>
      <c r="AY14" s="1163" t="s">
        <v>643</v>
      </c>
    </row>
    <row r="15" spans="2:52" ht="21.95" customHeight="1">
      <c r="B15" s="1157">
        <v>9</v>
      </c>
      <c r="C15" s="1158" t="s">
        <v>1126</v>
      </c>
      <c r="D15" s="1166">
        <v>3370</v>
      </c>
      <c r="E15" s="248">
        <v>7.4569999999999999</v>
      </c>
      <c r="F15" s="1167">
        <v>2212.79</v>
      </c>
      <c r="G15" s="1166">
        <v>15162</v>
      </c>
      <c r="H15" s="248">
        <v>42.036999999999999</v>
      </c>
      <c r="I15" s="1167">
        <v>2772.53</v>
      </c>
      <c r="J15" s="1166">
        <v>6251</v>
      </c>
      <c r="K15" s="248">
        <v>23.789000000000001</v>
      </c>
      <c r="L15" s="1167">
        <v>3805.61</v>
      </c>
      <c r="M15" s="1166">
        <v>1241</v>
      </c>
      <c r="N15" s="248">
        <v>3.94</v>
      </c>
      <c r="O15" s="1167">
        <v>3174.56</v>
      </c>
      <c r="P15" s="1165" t="s">
        <v>643</v>
      </c>
      <c r="Q15" s="1165" t="s">
        <v>643</v>
      </c>
      <c r="R15" s="1163" t="s">
        <v>643</v>
      </c>
      <c r="S15" s="1171"/>
      <c r="T15" s="1123">
        <v>9</v>
      </c>
      <c r="U15" s="1124" t="s">
        <v>1126</v>
      </c>
      <c r="V15" s="196">
        <v>7069</v>
      </c>
      <c r="W15" s="248">
        <v>115.649</v>
      </c>
      <c r="X15" s="1141">
        <v>16.36</v>
      </c>
      <c r="Y15" s="196">
        <v>414</v>
      </c>
      <c r="Z15" s="248">
        <v>0.27900000000000003</v>
      </c>
      <c r="AA15" s="1139">
        <v>675.07</v>
      </c>
      <c r="AB15" s="196">
        <v>453</v>
      </c>
      <c r="AC15" s="248">
        <v>0.34699999999999998</v>
      </c>
      <c r="AD15" s="1139">
        <v>765.27</v>
      </c>
      <c r="AE15" s="1138">
        <v>1</v>
      </c>
      <c r="AF15" s="248">
        <v>1E-3</v>
      </c>
      <c r="AG15" s="1139">
        <v>682.31</v>
      </c>
      <c r="AH15" s="196">
        <v>122</v>
      </c>
      <c r="AI15" s="248">
        <v>0.114</v>
      </c>
      <c r="AJ15" s="1139">
        <v>932.55</v>
      </c>
      <c r="AK15" s="309"/>
      <c r="AL15" s="1157">
        <v>9</v>
      </c>
      <c r="AM15" s="1158" t="s">
        <v>1126</v>
      </c>
      <c r="AN15" s="196">
        <v>12992</v>
      </c>
      <c r="AO15" s="248">
        <v>16.686</v>
      </c>
      <c r="AP15" s="1167">
        <v>1284.31</v>
      </c>
      <c r="AQ15" s="196">
        <v>2067</v>
      </c>
      <c r="AR15" s="248">
        <v>2.2370000000000001</v>
      </c>
      <c r="AS15" s="1167">
        <v>1082.1400000000001</v>
      </c>
      <c r="AT15" s="196">
        <v>215</v>
      </c>
      <c r="AU15" s="248">
        <v>6.2460000000000004</v>
      </c>
      <c r="AV15" s="1167">
        <v>29050</v>
      </c>
      <c r="AW15" s="1166">
        <v>19</v>
      </c>
      <c r="AX15" s="248">
        <v>1.9039999999999999</v>
      </c>
      <c r="AY15" s="1167">
        <v>100231.77</v>
      </c>
    </row>
    <row r="16" spans="2:52" ht="21.95" customHeight="1">
      <c r="B16" s="1157">
        <v>10</v>
      </c>
      <c r="C16" s="1158" t="s">
        <v>1128</v>
      </c>
      <c r="D16" s="1166">
        <v>2586</v>
      </c>
      <c r="E16" s="248">
        <v>6.0620000000000003</v>
      </c>
      <c r="F16" s="1167">
        <v>2344.3200000000002</v>
      </c>
      <c r="G16" s="1166">
        <v>3426</v>
      </c>
      <c r="H16" s="248">
        <v>9.0640000000000001</v>
      </c>
      <c r="I16" s="1167">
        <v>2645.52</v>
      </c>
      <c r="J16" s="1166">
        <v>3265</v>
      </c>
      <c r="K16" s="248">
        <v>12.906000000000001</v>
      </c>
      <c r="L16" s="1167">
        <v>3952.95</v>
      </c>
      <c r="M16" s="1166">
        <v>1070</v>
      </c>
      <c r="N16" s="248">
        <v>3.7639999999999998</v>
      </c>
      <c r="O16" s="1167">
        <v>3518.06</v>
      </c>
      <c r="P16" s="1165" t="s">
        <v>643</v>
      </c>
      <c r="Q16" s="1165" t="s">
        <v>643</v>
      </c>
      <c r="R16" s="1163" t="s">
        <v>643</v>
      </c>
      <c r="S16" s="1171"/>
      <c r="T16" s="1123">
        <v>10</v>
      </c>
      <c r="U16" s="1124" t="s">
        <v>1128</v>
      </c>
      <c r="V16" s="196">
        <v>4172</v>
      </c>
      <c r="W16" s="248">
        <v>69.713999999999999</v>
      </c>
      <c r="X16" s="1141">
        <v>16.71</v>
      </c>
      <c r="Y16" s="196">
        <v>1161</v>
      </c>
      <c r="Z16" s="248">
        <v>0.874</v>
      </c>
      <c r="AA16" s="1139">
        <v>752.94</v>
      </c>
      <c r="AB16" s="196">
        <v>1368</v>
      </c>
      <c r="AC16" s="248">
        <v>1.0780000000000001</v>
      </c>
      <c r="AD16" s="1139">
        <v>788.04</v>
      </c>
      <c r="AE16" s="1129">
        <v>120</v>
      </c>
      <c r="AF16" s="248">
        <v>8.5000000000000006E-2</v>
      </c>
      <c r="AG16" s="1139">
        <v>706.71</v>
      </c>
      <c r="AH16" s="253">
        <v>38</v>
      </c>
      <c r="AI16" s="250">
        <v>0.03</v>
      </c>
      <c r="AJ16" s="307">
        <v>789.74</v>
      </c>
      <c r="AK16" s="309"/>
      <c r="AL16" s="1157">
        <v>10</v>
      </c>
      <c r="AM16" s="1158" t="s">
        <v>1128</v>
      </c>
      <c r="AN16" s="196">
        <v>4485</v>
      </c>
      <c r="AO16" s="248">
        <v>4.6500000000000004</v>
      </c>
      <c r="AP16" s="1167">
        <v>1036.8800000000001</v>
      </c>
      <c r="AQ16" s="196">
        <v>2522</v>
      </c>
      <c r="AR16" s="248">
        <v>2.7509999999999999</v>
      </c>
      <c r="AS16" s="1167">
        <v>1090.7</v>
      </c>
      <c r="AT16" s="196">
        <v>325</v>
      </c>
      <c r="AU16" s="248">
        <v>9.7829999999999995</v>
      </c>
      <c r="AV16" s="1167">
        <v>30100</v>
      </c>
      <c r="AW16" s="1162">
        <v>20</v>
      </c>
      <c r="AX16" s="248">
        <v>2.0049999999999999</v>
      </c>
      <c r="AY16" s="1167">
        <v>100231.77</v>
      </c>
    </row>
    <row r="17" spans="2:51" ht="21.95" customHeight="1">
      <c r="B17" s="1157">
        <v>11</v>
      </c>
      <c r="C17" s="1158" t="s">
        <v>90</v>
      </c>
      <c r="D17" s="1166">
        <v>1187</v>
      </c>
      <c r="E17" s="248">
        <v>2.5670000000000002</v>
      </c>
      <c r="F17" s="1167">
        <v>2162.4699999999998</v>
      </c>
      <c r="G17" s="1166">
        <v>888</v>
      </c>
      <c r="H17" s="248">
        <v>2.1640000000000001</v>
      </c>
      <c r="I17" s="1167">
        <v>2437.33</v>
      </c>
      <c r="J17" s="1166">
        <v>2164</v>
      </c>
      <c r="K17" s="248">
        <v>8.1340000000000003</v>
      </c>
      <c r="L17" s="1167">
        <v>3758.99</v>
      </c>
      <c r="M17" s="1166">
        <v>4307</v>
      </c>
      <c r="N17" s="248">
        <v>17.585000000000001</v>
      </c>
      <c r="O17" s="1167">
        <v>4082.9</v>
      </c>
      <c r="P17" s="1165">
        <v>752</v>
      </c>
      <c r="Q17" s="248">
        <v>1.9430000000000001</v>
      </c>
      <c r="R17" s="1167">
        <v>2584.16</v>
      </c>
      <c r="S17" s="172"/>
      <c r="T17" s="1123">
        <v>11</v>
      </c>
      <c r="U17" s="1124" t="s">
        <v>90</v>
      </c>
      <c r="V17" s="196">
        <v>3632</v>
      </c>
      <c r="W17" s="248">
        <v>56.295999999999999</v>
      </c>
      <c r="X17" s="1141">
        <v>15.5</v>
      </c>
      <c r="Y17" s="196">
        <v>641</v>
      </c>
      <c r="Z17" s="248">
        <v>0.6</v>
      </c>
      <c r="AA17" s="1139">
        <v>936.62</v>
      </c>
      <c r="AB17" s="196">
        <v>59</v>
      </c>
      <c r="AC17" s="248">
        <v>4.5999999999999999E-2</v>
      </c>
      <c r="AD17" s="1139">
        <v>783.69</v>
      </c>
      <c r="AE17" s="1138">
        <v>87</v>
      </c>
      <c r="AF17" s="248">
        <v>6.0999999999999999E-2</v>
      </c>
      <c r="AG17" s="1139">
        <v>699.21</v>
      </c>
      <c r="AH17" s="253">
        <v>120</v>
      </c>
      <c r="AI17" s="250">
        <v>0.112</v>
      </c>
      <c r="AJ17" s="307">
        <v>937.06</v>
      </c>
      <c r="AK17" s="309"/>
      <c r="AL17" s="1157">
        <v>11</v>
      </c>
      <c r="AM17" s="1158" t="s">
        <v>90</v>
      </c>
      <c r="AN17" s="196">
        <v>952</v>
      </c>
      <c r="AO17" s="248">
        <v>0.81100000000000005</v>
      </c>
      <c r="AP17" s="1167">
        <v>851.81</v>
      </c>
      <c r="AQ17" s="196">
        <v>1045</v>
      </c>
      <c r="AR17" s="248">
        <v>0.97699999999999998</v>
      </c>
      <c r="AS17" s="1167">
        <v>935.38</v>
      </c>
      <c r="AT17" s="196">
        <v>371</v>
      </c>
      <c r="AU17" s="248">
        <v>11.204000000000001</v>
      </c>
      <c r="AV17" s="196">
        <v>30200</v>
      </c>
      <c r="AW17" s="1162" t="s">
        <v>643</v>
      </c>
      <c r="AX17" s="1165" t="s">
        <v>643</v>
      </c>
      <c r="AY17" s="1163" t="s">
        <v>643</v>
      </c>
    </row>
    <row r="18" spans="2:51" ht="21.95" customHeight="1">
      <c r="B18" s="1157">
        <v>12</v>
      </c>
      <c r="C18" s="1158" t="s">
        <v>1131</v>
      </c>
      <c r="D18" s="1166">
        <v>3398</v>
      </c>
      <c r="E18" s="248">
        <v>7.2720000000000002</v>
      </c>
      <c r="F18" s="1167">
        <v>2140.17</v>
      </c>
      <c r="G18" s="1166">
        <v>4672</v>
      </c>
      <c r="H18" s="248">
        <v>12.752000000000001</v>
      </c>
      <c r="I18" s="1167">
        <v>2729.41</v>
      </c>
      <c r="J18" s="1166">
        <v>3934</v>
      </c>
      <c r="K18" s="248">
        <v>13.004</v>
      </c>
      <c r="L18" s="1167">
        <v>3305.51</v>
      </c>
      <c r="M18" s="1166">
        <v>1435</v>
      </c>
      <c r="N18" s="248">
        <v>4.4809999999999999</v>
      </c>
      <c r="O18" s="1167">
        <v>3122.58</v>
      </c>
      <c r="P18" s="1165">
        <v>7</v>
      </c>
      <c r="Q18" s="248">
        <v>1.7999999999999999E-2</v>
      </c>
      <c r="R18" s="1167">
        <v>2584.16</v>
      </c>
      <c r="S18" s="192"/>
      <c r="T18" s="1123">
        <v>12</v>
      </c>
      <c r="U18" s="1124" t="s">
        <v>1131</v>
      </c>
      <c r="V18" s="196">
        <v>3913</v>
      </c>
      <c r="W18" s="248">
        <v>62.491</v>
      </c>
      <c r="X18" s="1141">
        <v>15.97</v>
      </c>
      <c r="Y18" s="196">
        <v>968</v>
      </c>
      <c r="Z18" s="248">
        <v>0.90100000000000002</v>
      </c>
      <c r="AA18" s="1139">
        <v>931.3</v>
      </c>
      <c r="AB18" s="196">
        <v>797</v>
      </c>
      <c r="AC18" s="248">
        <v>0.65400000000000003</v>
      </c>
      <c r="AD18" s="1139">
        <v>820.64</v>
      </c>
      <c r="AE18" s="1138" t="s">
        <v>643</v>
      </c>
      <c r="AF18" s="248" t="s">
        <v>643</v>
      </c>
      <c r="AG18" s="1139" t="s">
        <v>643</v>
      </c>
      <c r="AH18" s="196">
        <v>185</v>
      </c>
      <c r="AI18" s="248">
        <v>0.153</v>
      </c>
      <c r="AJ18" s="1139">
        <v>826.63</v>
      </c>
      <c r="AK18" s="309"/>
      <c r="AL18" s="1157">
        <v>12</v>
      </c>
      <c r="AM18" s="1158" t="s">
        <v>1131</v>
      </c>
      <c r="AN18" s="196">
        <v>12539</v>
      </c>
      <c r="AO18" s="248">
        <v>16.103999999999999</v>
      </c>
      <c r="AP18" s="1167">
        <v>1284.29</v>
      </c>
      <c r="AQ18" s="196">
        <v>576</v>
      </c>
      <c r="AR18" s="248">
        <v>0.98</v>
      </c>
      <c r="AS18" s="1167">
        <v>1701.38</v>
      </c>
      <c r="AT18" s="196">
        <v>106</v>
      </c>
      <c r="AU18" s="248">
        <v>3.3919999999999999</v>
      </c>
      <c r="AV18" s="196">
        <v>32000</v>
      </c>
      <c r="AW18" s="1162" t="s">
        <v>643</v>
      </c>
      <c r="AX18" s="1165" t="s">
        <v>643</v>
      </c>
      <c r="AY18" s="1163" t="s">
        <v>643</v>
      </c>
    </row>
    <row r="19" spans="2:51" ht="21.95" customHeight="1">
      <c r="B19" s="1157">
        <v>13</v>
      </c>
      <c r="C19" s="1158" t="s">
        <v>1134</v>
      </c>
      <c r="D19" s="1166">
        <v>3140</v>
      </c>
      <c r="E19" s="248">
        <v>7.2210000000000001</v>
      </c>
      <c r="F19" s="1167">
        <v>2299.66</v>
      </c>
      <c r="G19" s="1166">
        <v>690</v>
      </c>
      <c r="H19" s="248">
        <v>1.68</v>
      </c>
      <c r="I19" s="1167">
        <v>2434.5700000000002</v>
      </c>
      <c r="J19" s="1166">
        <v>6667</v>
      </c>
      <c r="K19" s="248">
        <v>23.178999999999998</v>
      </c>
      <c r="L19" s="1167">
        <v>3476.64</v>
      </c>
      <c r="M19" s="1166">
        <v>1464</v>
      </c>
      <c r="N19" s="248">
        <v>4.1680000000000001</v>
      </c>
      <c r="O19" s="1167">
        <v>2847.03</v>
      </c>
      <c r="P19" s="1165" t="s">
        <v>643</v>
      </c>
      <c r="Q19" s="1165" t="s">
        <v>643</v>
      </c>
      <c r="R19" s="1163" t="s">
        <v>643</v>
      </c>
      <c r="S19" s="1171"/>
      <c r="T19" s="1123">
        <v>13</v>
      </c>
      <c r="U19" s="1124" t="s">
        <v>1134</v>
      </c>
      <c r="V19" s="196">
        <v>5423</v>
      </c>
      <c r="W19" s="248">
        <v>80.856999999999999</v>
      </c>
      <c r="X19" s="1141">
        <v>14.91</v>
      </c>
      <c r="Y19" s="196">
        <v>354</v>
      </c>
      <c r="Z19" s="248">
        <v>0.29899999999999999</v>
      </c>
      <c r="AA19" s="1139">
        <v>844.93</v>
      </c>
      <c r="AB19" s="196">
        <v>1837</v>
      </c>
      <c r="AC19" s="248">
        <v>1.204</v>
      </c>
      <c r="AD19" s="1139">
        <v>655.23</v>
      </c>
      <c r="AE19" s="1138">
        <v>18</v>
      </c>
      <c r="AF19" s="248">
        <v>1.4999999999999999E-2</v>
      </c>
      <c r="AG19" s="1139">
        <v>818.57</v>
      </c>
      <c r="AH19" s="196">
        <v>109</v>
      </c>
      <c r="AI19" s="248">
        <v>8.1000000000000003E-2</v>
      </c>
      <c r="AJ19" s="1139">
        <v>742.08</v>
      </c>
      <c r="AK19" s="309"/>
      <c r="AL19" s="1157">
        <v>13</v>
      </c>
      <c r="AM19" s="1158" t="s">
        <v>1134</v>
      </c>
      <c r="AN19" s="196">
        <v>5626</v>
      </c>
      <c r="AO19" s="248">
        <v>6.9649999999999999</v>
      </c>
      <c r="AP19" s="1167">
        <v>1238.01</v>
      </c>
      <c r="AQ19" s="196">
        <v>1792</v>
      </c>
      <c r="AR19" s="248">
        <v>1.752</v>
      </c>
      <c r="AS19" s="1167">
        <v>977.46</v>
      </c>
      <c r="AT19" s="196">
        <v>176</v>
      </c>
      <c r="AU19" s="248">
        <v>4.7519999999999998</v>
      </c>
      <c r="AV19" s="196">
        <v>27000</v>
      </c>
      <c r="AW19" s="1162" t="s">
        <v>643</v>
      </c>
      <c r="AX19" s="1165" t="s">
        <v>643</v>
      </c>
      <c r="AY19" s="1163" t="s">
        <v>643</v>
      </c>
    </row>
    <row r="20" spans="2:51" ht="21.95" customHeight="1">
      <c r="B20" s="1157">
        <v>14</v>
      </c>
      <c r="C20" s="1158" t="s">
        <v>1623</v>
      </c>
      <c r="D20" s="1162">
        <v>4120</v>
      </c>
      <c r="E20" s="248">
        <v>11.159000000000001</v>
      </c>
      <c r="F20" s="1167">
        <v>2708.54</v>
      </c>
      <c r="G20" s="1166">
        <v>3810</v>
      </c>
      <c r="H20" s="248">
        <v>10.255000000000001</v>
      </c>
      <c r="I20" s="1167">
        <v>2691.59</v>
      </c>
      <c r="J20" s="1166">
        <v>3518</v>
      </c>
      <c r="K20" s="248">
        <v>12.416</v>
      </c>
      <c r="L20" s="1167">
        <v>3529.21</v>
      </c>
      <c r="M20" s="1166">
        <v>93</v>
      </c>
      <c r="N20" s="248">
        <v>0.252</v>
      </c>
      <c r="O20" s="1167">
        <v>2715</v>
      </c>
      <c r="P20" s="1165" t="s">
        <v>643</v>
      </c>
      <c r="Q20" s="1165" t="s">
        <v>643</v>
      </c>
      <c r="R20" s="1163" t="s">
        <v>643</v>
      </c>
      <c r="S20" s="1171"/>
      <c r="T20" s="1123">
        <v>14</v>
      </c>
      <c r="U20" s="1124" t="s">
        <v>1623</v>
      </c>
      <c r="V20" s="196">
        <v>3230</v>
      </c>
      <c r="W20" s="248">
        <v>67.959000000000003</v>
      </c>
      <c r="X20" s="1141">
        <v>21.04</v>
      </c>
      <c r="Y20" s="196">
        <v>791</v>
      </c>
      <c r="Z20" s="248">
        <v>0.7</v>
      </c>
      <c r="AA20" s="1139">
        <v>885.32</v>
      </c>
      <c r="AB20" s="196">
        <v>1</v>
      </c>
      <c r="AC20" s="248">
        <v>1E-3</v>
      </c>
      <c r="AD20" s="1139">
        <v>642.34</v>
      </c>
      <c r="AE20" s="1129" t="s">
        <v>643</v>
      </c>
      <c r="AF20" s="248" t="s">
        <v>643</v>
      </c>
      <c r="AG20" s="1139" t="s">
        <v>643</v>
      </c>
      <c r="AH20" s="196">
        <v>129</v>
      </c>
      <c r="AI20" s="248">
        <v>0.129</v>
      </c>
      <c r="AJ20" s="1139">
        <v>1003.26</v>
      </c>
      <c r="AK20" s="309"/>
      <c r="AL20" s="1157">
        <v>14</v>
      </c>
      <c r="AM20" s="1158" t="s">
        <v>1623</v>
      </c>
      <c r="AN20" s="196">
        <v>950</v>
      </c>
      <c r="AO20" s="248">
        <v>1.1200000000000001</v>
      </c>
      <c r="AP20" s="1167">
        <v>1179.1500000000001</v>
      </c>
      <c r="AQ20" s="196">
        <v>911</v>
      </c>
      <c r="AR20" s="248">
        <v>0.99199999999999999</v>
      </c>
      <c r="AS20" s="1167">
        <v>1088.6199999999999</v>
      </c>
      <c r="AT20" s="196">
        <v>3</v>
      </c>
      <c r="AU20" s="248">
        <v>8.5000000000000006E-2</v>
      </c>
      <c r="AV20" s="196">
        <v>28250</v>
      </c>
      <c r="AW20" s="1162" t="s">
        <v>643</v>
      </c>
      <c r="AX20" s="1165" t="s">
        <v>643</v>
      </c>
      <c r="AY20" s="1163" t="s">
        <v>643</v>
      </c>
    </row>
    <row r="21" spans="2:51" ht="21.95" customHeight="1">
      <c r="B21" s="1157">
        <v>15</v>
      </c>
      <c r="C21" s="1158" t="s">
        <v>714</v>
      </c>
      <c r="D21" s="1166">
        <v>4235</v>
      </c>
      <c r="E21" s="248">
        <v>9.9450000000000003</v>
      </c>
      <c r="F21" s="1167">
        <v>2348.1999999999998</v>
      </c>
      <c r="G21" s="1166">
        <v>342</v>
      </c>
      <c r="H21" s="248">
        <v>0.76300000000000001</v>
      </c>
      <c r="I21" s="1167">
        <v>2231.11</v>
      </c>
      <c r="J21" s="1166">
        <v>7056</v>
      </c>
      <c r="K21" s="248">
        <v>27.145</v>
      </c>
      <c r="L21" s="1167">
        <v>3847.11</v>
      </c>
      <c r="M21" s="1166">
        <v>1388</v>
      </c>
      <c r="N21" s="248">
        <v>5.0519999999999996</v>
      </c>
      <c r="O21" s="1167">
        <v>3639.43</v>
      </c>
      <c r="P21" s="1165" t="s">
        <v>643</v>
      </c>
      <c r="Q21" s="1165" t="s">
        <v>643</v>
      </c>
      <c r="R21" s="1163" t="s">
        <v>643</v>
      </c>
      <c r="S21" s="1171"/>
      <c r="T21" s="1123">
        <v>15</v>
      </c>
      <c r="U21" s="1124" t="s">
        <v>714</v>
      </c>
      <c r="V21" s="196">
        <v>5438</v>
      </c>
      <c r="W21" s="248">
        <v>99.896000000000001</v>
      </c>
      <c r="X21" s="1141">
        <v>18.37</v>
      </c>
      <c r="Y21" s="196">
        <v>1780</v>
      </c>
      <c r="Z21" s="248">
        <v>1.7689999999999999</v>
      </c>
      <c r="AA21" s="1139">
        <v>994.05</v>
      </c>
      <c r="AB21" s="196">
        <v>1325</v>
      </c>
      <c r="AC21" s="248">
        <v>1.07</v>
      </c>
      <c r="AD21" s="1139">
        <v>807.82</v>
      </c>
      <c r="AE21" s="1129">
        <v>21</v>
      </c>
      <c r="AF21" s="248">
        <v>1.7000000000000001E-2</v>
      </c>
      <c r="AG21" s="1139">
        <v>818.57</v>
      </c>
      <c r="AH21" s="196">
        <v>408</v>
      </c>
      <c r="AI21" s="248">
        <v>0.433</v>
      </c>
      <c r="AJ21" s="1139">
        <v>1061.57</v>
      </c>
      <c r="AK21" s="309"/>
      <c r="AL21" s="1157">
        <v>15</v>
      </c>
      <c r="AM21" s="1158" t="s">
        <v>714</v>
      </c>
      <c r="AN21" s="196">
        <v>3919</v>
      </c>
      <c r="AO21" s="248">
        <v>4.6429999999999998</v>
      </c>
      <c r="AP21" s="1167">
        <v>1184.6400000000001</v>
      </c>
      <c r="AQ21" s="196">
        <v>1427</v>
      </c>
      <c r="AR21" s="248">
        <v>1.7709999999999999</v>
      </c>
      <c r="AS21" s="1167">
        <v>1241.27</v>
      </c>
      <c r="AT21" s="196">
        <v>44</v>
      </c>
      <c r="AU21" s="248">
        <v>1.0780000000000001</v>
      </c>
      <c r="AV21" s="196">
        <v>24500</v>
      </c>
      <c r="AW21" s="1162" t="s">
        <v>643</v>
      </c>
      <c r="AX21" s="1165" t="s">
        <v>643</v>
      </c>
      <c r="AY21" s="1163" t="s">
        <v>643</v>
      </c>
    </row>
    <row r="22" spans="2:51" ht="21.95" customHeight="1">
      <c r="B22" s="1157">
        <v>16</v>
      </c>
      <c r="C22" s="1158" t="s">
        <v>769</v>
      </c>
      <c r="D22" s="1166">
        <v>811</v>
      </c>
      <c r="E22" s="248">
        <v>2.226</v>
      </c>
      <c r="F22" s="1167">
        <v>2744.99</v>
      </c>
      <c r="G22" s="1166">
        <v>1297</v>
      </c>
      <c r="H22" s="248">
        <v>3.181</v>
      </c>
      <c r="I22" s="1167">
        <v>2452.33</v>
      </c>
      <c r="J22" s="1166">
        <v>12934</v>
      </c>
      <c r="K22" s="248">
        <v>51.744999999999997</v>
      </c>
      <c r="L22" s="1167">
        <v>4000.66</v>
      </c>
      <c r="M22" s="1166">
        <v>316</v>
      </c>
      <c r="N22" s="248">
        <v>0.78900000000000003</v>
      </c>
      <c r="O22" s="1167">
        <v>2497.9299999999998</v>
      </c>
      <c r="P22" s="1165" t="s">
        <v>643</v>
      </c>
      <c r="Q22" s="1165" t="s">
        <v>643</v>
      </c>
      <c r="R22" s="1163" t="s">
        <v>643</v>
      </c>
      <c r="S22" s="1171"/>
      <c r="T22" s="1123">
        <v>16</v>
      </c>
      <c r="U22" s="1124" t="s">
        <v>769</v>
      </c>
      <c r="V22" s="196">
        <v>6644</v>
      </c>
      <c r="W22" s="248">
        <v>121.652</v>
      </c>
      <c r="X22" s="1141">
        <v>18.309999999999999</v>
      </c>
      <c r="Y22" s="196">
        <v>621</v>
      </c>
      <c r="Z22" s="248">
        <v>0.314</v>
      </c>
      <c r="AA22" s="1139">
        <v>505.03</v>
      </c>
      <c r="AB22" s="196">
        <v>265</v>
      </c>
      <c r="AC22" s="248">
        <v>0.193</v>
      </c>
      <c r="AD22" s="1139">
        <v>729.38</v>
      </c>
      <c r="AE22" s="1138">
        <v>37</v>
      </c>
      <c r="AF22" s="248">
        <v>0.03</v>
      </c>
      <c r="AG22" s="1139">
        <v>818.57</v>
      </c>
      <c r="AH22" s="196">
        <v>150</v>
      </c>
      <c r="AI22" s="248">
        <v>0.157</v>
      </c>
      <c r="AJ22" s="1139">
        <v>1047.92</v>
      </c>
      <c r="AK22" s="309"/>
      <c r="AL22" s="1157">
        <v>16</v>
      </c>
      <c r="AM22" s="1158" t="s">
        <v>769</v>
      </c>
      <c r="AN22" s="196">
        <v>845</v>
      </c>
      <c r="AO22" s="248">
        <v>0.749</v>
      </c>
      <c r="AP22" s="1167">
        <v>886.06</v>
      </c>
      <c r="AQ22" s="196">
        <v>944</v>
      </c>
      <c r="AR22" s="248">
        <v>0.86299999999999999</v>
      </c>
      <c r="AS22" s="1167">
        <v>913.84</v>
      </c>
      <c r="AT22" s="196">
        <v>42</v>
      </c>
      <c r="AU22" s="248">
        <v>1.155</v>
      </c>
      <c r="AV22" s="1167">
        <v>27500</v>
      </c>
      <c r="AW22" s="1162">
        <v>3</v>
      </c>
      <c r="AX22" s="248">
        <v>0.30099999999999999</v>
      </c>
      <c r="AY22" s="1170">
        <v>100231.77</v>
      </c>
    </row>
    <row r="23" spans="2:51" ht="21.95" customHeight="1">
      <c r="B23" s="1153">
        <v>17</v>
      </c>
      <c r="C23" s="526" t="s">
        <v>772</v>
      </c>
      <c r="D23" s="1168">
        <v>2013</v>
      </c>
      <c r="E23" s="251">
        <v>5.4130000000000003</v>
      </c>
      <c r="F23" s="1169">
        <v>2689</v>
      </c>
      <c r="G23" s="1168">
        <v>24942</v>
      </c>
      <c r="H23" s="251">
        <v>72.866</v>
      </c>
      <c r="I23" s="1169">
        <v>2921.43</v>
      </c>
      <c r="J23" s="1168">
        <v>5720</v>
      </c>
      <c r="K23" s="251">
        <v>20.347999999999999</v>
      </c>
      <c r="L23" s="1169">
        <v>3557.32</v>
      </c>
      <c r="M23" s="1168">
        <v>1315</v>
      </c>
      <c r="N23" s="251">
        <v>4.3170000000000002</v>
      </c>
      <c r="O23" s="1169">
        <v>3282.85</v>
      </c>
      <c r="P23" s="1159" t="s">
        <v>643</v>
      </c>
      <c r="Q23" s="1159" t="s">
        <v>643</v>
      </c>
      <c r="R23" s="1160" t="s">
        <v>643</v>
      </c>
      <c r="S23" s="1171"/>
      <c r="T23" s="1120">
        <v>17</v>
      </c>
      <c r="U23" s="526" t="s">
        <v>772</v>
      </c>
      <c r="V23" s="252">
        <v>2383</v>
      </c>
      <c r="W23" s="251">
        <v>42.798999999999999</v>
      </c>
      <c r="X23" s="1142">
        <v>17.96</v>
      </c>
      <c r="Y23" s="252">
        <v>2224</v>
      </c>
      <c r="Z23" s="251">
        <v>2.4780000000000002</v>
      </c>
      <c r="AA23" s="1140">
        <v>1114.07</v>
      </c>
      <c r="AB23" s="252">
        <v>103</v>
      </c>
      <c r="AC23" s="251">
        <v>7.9000000000000001E-2</v>
      </c>
      <c r="AD23" s="1140">
        <v>769.84</v>
      </c>
      <c r="AE23" s="1137" t="s">
        <v>643</v>
      </c>
      <c r="AF23" s="251" t="s">
        <v>643</v>
      </c>
      <c r="AG23" s="1140" t="s">
        <v>643</v>
      </c>
      <c r="AH23" s="252">
        <v>27</v>
      </c>
      <c r="AI23" s="251">
        <v>2.8000000000000001E-2</v>
      </c>
      <c r="AJ23" s="1140">
        <v>1047.92</v>
      </c>
      <c r="AK23" s="309"/>
      <c r="AL23" s="1153">
        <v>17</v>
      </c>
      <c r="AM23" s="526" t="s">
        <v>772</v>
      </c>
      <c r="AN23" s="252">
        <v>2592</v>
      </c>
      <c r="AO23" s="251">
        <v>3.2040000000000002</v>
      </c>
      <c r="AP23" s="1169">
        <v>1236.08</v>
      </c>
      <c r="AQ23" s="252">
        <v>658</v>
      </c>
      <c r="AR23" s="251">
        <v>1.1879999999999999</v>
      </c>
      <c r="AS23" s="1169">
        <v>1806.19</v>
      </c>
      <c r="AT23" s="252">
        <v>536</v>
      </c>
      <c r="AU23" s="251">
        <v>16.616</v>
      </c>
      <c r="AV23" s="1169">
        <v>31000</v>
      </c>
      <c r="AW23" s="1164" t="s">
        <v>643</v>
      </c>
      <c r="AX23" s="1159" t="s">
        <v>643</v>
      </c>
      <c r="AY23" s="1160" t="s">
        <v>643</v>
      </c>
    </row>
    <row r="24" spans="2:51" ht="12.75" customHeight="1">
      <c r="J24" s="114"/>
      <c r="K24" s="114"/>
      <c r="L24" s="114"/>
      <c r="M24" s="65"/>
      <c r="N24" s="65"/>
      <c r="O24" s="65"/>
      <c r="P24" s="65"/>
      <c r="Q24" s="65"/>
      <c r="R24" s="280" t="s">
        <v>1458</v>
      </c>
      <c r="S24" s="65"/>
      <c r="T24" s="6"/>
      <c r="U24" s="65"/>
      <c r="Y24" s="65"/>
      <c r="Z24" s="65"/>
      <c r="AA24" s="65"/>
      <c r="AI24" s="558"/>
      <c r="AJ24" s="280" t="s">
        <v>1458</v>
      </c>
      <c r="AL24" s="280" t="s">
        <v>754</v>
      </c>
      <c r="AM24" s="18" t="s">
        <v>1586</v>
      </c>
      <c r="AT24" s="65"/>
      <c r="AV24" s="280" t="s">
        <v>600</v>
      </c>
      <c r="AW24" s="431" t="s">
        <v>1000</v>
      </c>
    </row>
    <row r="25" spans="2:51" ht="12.75" customHeight="1">
      <c r="M25" s="65"/>
      <c r="N25" s="559"/>
      <c r="T25" s="6"/>
      <c r="AI25" s="560"/>
      <c r="AJ25" s="560"/>
      <c r="AL25" s="280" t="s">
        <v>1452</v>
      </c>
      <c r="AM25" s="18" t="s">
        <v>360</v>
      </c>
      <c r="AP25" s="18" t="s">
        <v>918</v>
      </c>
      <c r="AV25" s="18"/>
      <c r="AW25" s="561" t="s">
        <v>181</v>
      </c>
    </row>
    <row r="26" spans="2:51" ht="12.75" customHeight="1">
      <c r="N26" s="559"/>
      <c r="AM26" s="18"/>
    </row>
    <row r="27" spans="2:51" ht="18" customHeight="1">
      <c r="AJ27" s="114"/>
    </row>
  </sheetData>
  <mergeCells count="24">
    <mergeCell ref="C4:C5"/>
    <mergeCell ref="AT4:AV4"/>
    <mergeCell ref="AW4:AY4"/>
    <mergeCell ref="AN4:AP4"/>
    <mergeCell ref="AM4:AM5"/>
    <mergeCell ref="AH4:AJ4"/>
    <mergeCell ref="AQ4:AS4"/>
    <mergeCell ref="AL4:AL5"/>
    <mergeCell ref="AL2:AY2"/>
    <mergeCell ref="T2:AJ2"/>
    <mergeCell ref="B2:R2"/>
    <mergeCell ref="B1:R1"/>
    <mergeCell ref="B4:B5"/>
    <mergeCell ref="M4:O4"/>
    <mergeCell ref="J4:L4"/>
    <mergeCell ref="V4:X4"/>
    <mergeCell ref="AE4:AG4"/>
    <mergeCell ref="G4:I4"/>
    <mergeCell ref="T4:T5"/>
    <mergeCell ref="Y4:AA4"/>
    <mergeCell ref="D4:F4"/>
    <mergeCell ref="P4:R4"/>
    <mergeCell ref="U4:U5"/>
    <mergeCell ref="AB4:AD4"/>
  </mergeCells>
  <phoneticPr fontId="0" type="noConversion"/>
  <pageMargins left="0.1" right="0.1" top="0.6" bottom="0.23" header="0.41" footer="0.16"/>
  <pageSetup paperSize="9" orientation="landscape" blackAndWhite="1" horizontalDpi="4294967295" verticalDpi="180" r:id="rId1"/>
  <headerFooter alignWithMargins="0"/>
  <colBreaks count="2" manualBreakCount="2">
    <brk id="18" max="1048575" man="1"/>
    <brk id="36" max="1048575" man="1"/>
  </colBreaks>
</worksheet>
</file>

<file path=xl/worksheets/sheet84.xml><?xml version="1.0" encoding="utf-8"?>
<worksheet xmlns="http://schemas.openxmlformats.org/spreadsheetml/2006/main" xmlns:r="http://schemas.openxmlformats.org/officeDocument/2006/relationships">
  <dimension ref="B1:V31"/>
  <sheetViews>
    <sheetView topLeftCell="B1" workbookViewId="0">
      <selection activeCell="I14" sqref="I14"/>
    </sheetView>
  </sheetViews>
  <sheetFormatPr defaultRowHeight="12.75"/>
  <cols>
    <col min="1" max="1" width="7.5703125" style="6" customWidth="1"/>
    <col min="2" max="2" width="5" style="6" customWidth="1"/>
    <col min="3" max="3" width="17.85546875" style="6" customWidth="1"/>
    <col min="4" max="4" width="8.28515625" style="6" customWidth="1"/>
    <col min="5" max="5" width="5.5703125" style="6" customWidth="1"/>
    <col min="6" max="6" width="8.28515625" style="6" customWidth="1"/>
    <col min="7" max="7" width="6.28515625" style="6" customWidth="1"/>
    <col min="8" max="8" width="8.28515625" style="35" customWidth="1"/>
    <col min="9" max="9" width="5.7109375" style="6" customWidth="1"/>
    <col min="10" max="10" width="8.28515625" style="35" customWidth="1"/>
    <col min="11" max="11" width="6.85546875" style="6" customWidth="1"/>
    <col min="12" max="12" width="8.28515625" style="35" customWidth="1"/>
    <col min="13" max="13" width="5.7109375" style="6" customWidth="1"/>
    <col min="14" max="14" width="8.28515625" style="6" customWidth="1"/>
    <col min="15" max="15" width="5.7109375" style="6" customWidth="1"/>
    <col min="16" max="16" width="8.28515625" style="6" customWidth="1"/>
    <col min="17" max="17" width="7.140625" style="6" customWidth="1"/>
    <col min="18" max="18" width="8.28515625" style="35" customWidth="1"/>
    <col min="19" max="19" width="5.7109375" style="6" customWidth="1"/>
    <col min="20" max="16384" width="9.140625" style="6"/>
  </cols>
  <sheetData>
    <row r="1" spans="2:22" ht="15.75" customHeight="1">
      <c r="B1" s="1250" t="s">
        <v>494</v>
      </c>
      <c r="C1" s="1250"/>
      <c r="D1" s="1250"/>
      <c r="E1" s="1250"/>
      <c r="F1" s="1250"/>
      <c r="G1" s="1250"/>
      <c r="H1" s="1250"/>
      <c r="I1" s="1250"/>
      <c r="J1" s="1250"/>
      <c r="K1" s="1250"/>
      <c r="L1" s="1250"/>
      <c r="M1" s="1250"/>
      <c r="N1" s="1250"/>
      <c r="O1" s="1250"/>
      <c r="P1" s="1250"/>
      <c r="Q1" s="1250"/>
      <c r="R1" s="1250"/>
    </row>
    <row r="2" spans="2:22" ht="16.5">
      <c r="B2" s="1267" t="str">
        <f>CONCATENATE("Source of Irrigation and Area Irrigated by different sources in the Blocks of ",District!$A$1," for the year ",District!C3)</f>
        <v>Source of Irrigation and Area Irrigated by different sources in the Blocks of Nadia for the year 2013-14</v>
      </c>
      <c r="C2" s="1267"/>
      <c r="D2" s="1267"/>
      <c r="E2" s="1267"/>
      <c r="F2" s="1267"/>
      <c r="G2" s="1267"/>
      <c r="H2" s="1267"/>
      <c r="I2" s="1267"/>
      <c r="J2" s="1267"/>
      <c r="K2" s="1267"/>
      <c r="L2" s="1267"/>
      <c r="M2" s="1267"/>
      <c r="N2" s="1267"/>
      <c r="O2" s="1267"/>
      <c r="P2" s="1267"/>
      <c r="Q2" s="1267"/>
      <c r="R2" s="1267"/>
    </row>
    <row r="3" spans="2:22" ht="15.95" customHeight="1">
      <c r="C3" s="13"/>
      <c r="D3" s="13"/>
      <c r="E3" s="13"/>
      <c r="F3" s="13"/>
      <c r="G3" s="13"/>
      <c r="H3" s="345"/>
      <c r="I3" s="13"/>
      <c r="J3" s="345"/>
      <c r="K3" s="13"/>
      <c r="L3" s="345"/>
      <c r="M3" s="13"/>
      <c r="N3" s="13"/>
      <c r="O3" s="13"/>
      <c r="P3" s="13"/>
      <c r="Q3" s="13"/>
      <c r="R3" s="562" t="s">
        <v>547</v>
      </c>
    </row>
    <row r="4" spans="2:22" ht="15.95" customHeight="1">
      <c r="B4" s="1262" t="s">
        <v>858</v>
      </c>
      <c r="C4" s="1306" t="s">
        <v>1602</v>
      </c>
      <c r="D4" s="221" t="s">
        <v>1214</v>
      </c>
      <c r="E4" s="1251" t="s">
        <v>667</v>
      </c>
      <c r="F4" s="1251"/>
      <c r="G4" s="1253" t="s">
        <v>672</v>
      </c>
      <c r="H4" s="1252"/>
      <c r="I4" s="1251" t="s">
        <v>1587</v>
      </c>
      <c r="J4" s="1251"/>
      <c r="K4" s="1253" t="s">
        <v>1013</v>
      </c>
      <c r="L4" s="1252"/>
      <c r="M4" s="1265" t="s">
        <v>673</v>
      </c>
      <c r="N4" s="1265"/>
      <c r="O4" s="1253" t="s">
        <v>320</v>
      </c>
      <c r="P4" s="1252"/>
      <c r="Q4" s="1251" t="s">
        <v>210</v>
      </c>
      <c r="R4" s="1252"/>
    </row>
    <row r="5" spans="2:22" ht="15.95" customHeight="1">
      <c r="B5" s="1263"/>
      <c r="C5" s="1290"/>
      <c r="D5" s="81" t="s">
        <v>1215</v>
      </c>
      <c r="E5" s="204" t="s">
        <v>225</v>
      </c>
      <c r="F5" s="47" t="s">
        <v>1215</v>
      </c>
      <c r="G5" s="204" t="s">
        <v>225</v>
      </c>
      <c r="H5" s="191" t="s">
        <v>1215</v>
      </c>
      <c r="I5" s="204" t="s">
        <v>225</v>
      </c>
      <c r="J5" s="228" t="s">
        <v>1215</v>
      </c>
      <c r="K5" s="204" t="s">
        <v>225</v>
      </c>
      <c r="L5" s="196" t="s">
        <v>1215</v>
      </c>
      <c r="M5" s="221" t="s">
        <v>225</v>
      </c>
      <c r="N5" s="221" t="s">
        <v>1215</v>
      </c>
      <c r="O5" s="216" t="s">
        <v>225</v>
      </c>
      <c r="P5" s="46" t="s">
        <v>1215</v>
      </c>
      <c r="Q5" s="204" t="s">
        <v>225</v>
      </c>
      <c r="R5" s="308" t="s">
        <v>1215</v>
      </c>
    </row>
    <row r="6" spans="2:22" ht="15.95" customHeight="1">
      <c r="B6" s="563" t="s">
        <v>163</v>
      </c>
      <c r="C6" s="226" t="s">
        <v>164</v>
      </c>
      <c r="D6" s="304" t="s">
        <v>165</v>
      </c>
      <c r="E6" s="304" t="s">
        <v>166</v>
      </c>
      <c r="F6" s="476" t="s">
        <v>167</v>
      </c>
      <c r="G6" s="304" t="s">
        <v>168</v>
      </c>
      <c r="H6" s="564" t="s">
        <v>169</v>
      </c>
      <c r="I6" s="304" t="s">
        <v>211</v>
      </c>
      <c r="J6" s="565" t="s">
        <v>212</v>
      </c>
      <c r="K6" s="304" t="s">
        <v>213</v>
      </c>
      <c r="L6" s="565" t="s">
        <v>214</v>
      </c>
      <c r="M6" s="304" t="s">
        <v>253</v>
      </c>
      <c r="N6" s="304" t="s">
        <v>254</v>
      </c>
      <c r="O6" s="481" t="s">
        <v>255</v>
      </c>
      <c r="P6" s="481" t="s">
        <v>256</v>
      </c>
      <c r="Q6" s="304" t="s">
        <v>257</v>
      </c>
      <c r="R6" s="564" t="s">
        <v>262</v>
      </c>
    </row>
    <row r="7" spans="2:22" ht="19.5" customHeight="1">
      <c r="B7" s="566">
        <v>1</v>
      </c>
      <c r="C7" s="530" t="s">
        <v>1118</v>
      </c>
      <c r="D7" s="1147" t="s">
        <v>643</v>
      </c>
      <c r="E7" s="1147" t="s">
        <v>643</v>
      </c>
      <c r="F7" s="1147" t="s">
        <v>643</v>
      </c>
      <c r="G7" s="463">
        <v>11</v>
      </c>
      <c r="H7" s="443">
        <v>102</v>
      </c>
      <c r="I7" s="463">
        <v>34</v>
      </c>
      <c r="J7" s="567">
        <v>682</v>
      </c>
      <c r="K7" s="1062" t="s">
        <v>643</v>
      </c>
      <c r="L7" s="1068" t="s">
        <v>643</v>
      </c>
      <c r="M7" s="1149" t="s">
        <v>643</v>
      </c>
      <c r="N7" s="1149" t="s">
        <v>643</v>
      </c>
      <c r="O7" s="1150" t="s">
        <v>643</v>
      </c>
      <c r="P7" s="1150" t="s">
        <v>643</v>
      </c>
      <c r="Q7" s="463">
        <f>SUM(E7,G7,I7,K7,M7,O7,)</f>
        <v>45</v>
      </c>
      <c r="R7" s="443">
        <f t="shared" ref="R7:R23" si="0">SUM(D7,F7,H7,J7,L7,N7,P7,)</f>
        <v>784</v>
      </c>
      <c r="S7" s="7"/>
      <c r="T7" s="7"/>
      <c r="U7" s="7"/>
      <c r="V7" s="7"/>
    </row>
    <row r="8" spans="2:22" ht="19.5" customHeight="1">
      <c r="B8" s="568">
        <v>2</v>
      </c>
      <c r="C8" s="530" t="s">
        <v>1119</v>
      </c>
      <c r="D8" s="1147" t="s">
        <v>643</v>
      </c>
      <c r="E8" s="1147" t="s">
        <v>643</v>
      </c>
      <c r="F8" s="1147" t="s">
        <v>643</v>
      </c>
      <c r="G8" s="463">
        <v>8</v>
      </c>
      <c r="H8" s="443">
        <v>220</v>
      </c>
      <c r="I8" s="463">
        <v>31</v>
      </c>
      <c r="J8" s="567">
        <v>594</v>
      </c>
      <c r="K8" s="1062" t="s">
        <v>643</v>
      </c>
      <c r="L8" s="1068" t="s">
        <v>643</v>
      </c>
      <c r="M8" s="1147" t="s">
        <v>643</v>
      </c>
      <c r="N8" s="1147" t="s">
        <v>643</v>
      </c>
      <c r="O8" s="1150" t="s">
        <v>643</v>
      </c>
      <c r="P8" s="1150" t="s">
        <v>643</v>
      </c>
      <c r="Q8" s="463">
        <f t="shared" ref="Q8:Q23" si="1">SUM(E8,G8,I8,K8,M8,O8,)</f>
        <v>39</v>
      </c>
      <c r="R8" s="443">
        <f t="shared" si="0"/>
        <v>814</v>
      </c>
      <c r="S8" s="7"/>
      <c r="T8" s="7"/>
      <c r="U8" s="7"/>
      <c r="V8" s="7"/>
    </row>
    <row r="9" spans="2:22" ht="19.5" customHeight="1">
      <c r="B9" s="568">
        <v>3</v>
      </c>
      <c r="C9" s="530" t="s">
        <v>1121</v>
      </c>
      <c r="D9" s="1147" t="s">
        <v>643</v>
      </c>
      <c r="E9" s="1147" t="s">
        <v>643</v>
      </c>
      <c r="F9" s="1147" t="s">
        <v>643</v>
      </c>
      <c r="G9" s="463">
        <v>26</v>
      </c>
      <c r="H9" s="443">
        <v>1211</v>
      </c>
      <c r="I9" s="463">
        <v>33</v>
      </c>
      <c r="J9" s="567">
        <v>1022</v>
      </c>
      <c r="K9" s="463">
        <v>96</v>
      </c>
      <c r="L9" s="1068" t="s">
        <v>643</v>
      </c>
      <c r="M9" s="1147" t="s">
        <v>643</v>
      </c>
      <c r="N9" s="1147" t="s">
        <v>643</v>
      </c>
      <c r="O9" s="1150" t="s">
        <v>643</v>
      </c>
      <c r="P9" s="1150" t="s">
        <v>643</v>
      </c>
      <c r="Q9" s="463">
        <f t="shared" si="1"/>
        <v>155</v>
      </c>
      <c r="R9" s="443">
        <f t="shared" si="0"/>
        <v>2233</v>
      </c>
      <c r="S9" s="7"/>
      <c r="T9" s="7"/>
      <c r="U9" s="7"/>
      <c r="V9" s="7"/>
    </row>
    <row r="10" spans="2:22" ht="19.5" customHeight="1">
      <c r="B10" s="568">
        <v>4</v>
      </c>
      <c r="C10" s="530" t="s">
        <v>1120</v>
      </c>
      <c r="D10" s="1147" t="s">
        <v>643</v>
      </c>
      <c r="E10" s="1147" t="s">
        <v>643</v>
      </c>
      <c r="F10" s="1147" t="s">
        <v>643</v>
      </c>
      <c r="G10" s="463">
        <v>28</v>
      </c>
      <c r="H10" s="443">
        <v>1239</v>
      </c>
      <c r="I10" s="463">
        <v>20</v>
      </c>
      <c r="J10" s="567">
        <v>422</v>
      </c>
      <c r="K10" s="463">
        <v>48</v>
      </c>
      <c r="L10" s="444">
        <v>84</v>
      </c>
      <c r="M10" s="1147" t="s">
        <v>643</v>
      </c>
      <c r="N10" s="1147" t="s">
        <v>643</v>
      </c>
      <c r="O10" s="1150" t="s">
        <v>643</v>
      </c>
      <c r="P10" s="1150" t="s">
        <v>643</v>
      </c>
      <c r="Q10" s="463">
        <f t="shared" si="1"/>
        <v>96</v>
      </c>
      <c r="R10" s="443">
        <f t="shared" si="0"/>
        <v>1745</v>
      </c>
      <c r="S10" s="7"/>
      <c r="T10" s="7"/>
      <c r="U10" s="7"/>
      <c r="V10" s="7"/>
    </row>
    <row r="11" spans="2:22" ht="19.5" customHeight="1">
      <c r="B11" s="568">
        <v>5</v>
      </c>
      <c r="C11" s="530" t="s">
        <v>1122</v>
      </c>
      <c r="D11" s="1147" t="s">
        <v>643</v>
      </c>
      <c r="E11" s="1147" t="s">
        <v>643</v>
      </c>
      <c r="F11" s="1147" t="s">
        <v>643</v>
      </c>
      <c r="G11" s="463">
        <v>23</v>
      </c>
      <c r="H11" s="443">
        <v>1004</v>
      </c>
      <c r="I11" s="463">
        <v>35</v>
      </c>
      <c r="J11" s="567">
        <v>442</v>
      </c>
      <c r="K11" s="1062" t="s">
        <v>643</v>
      </c>
      <c r="L11" s="1068" t="s">
        <v>643</v>
      </c>
      <c r="M11" s="1147" t="s">
        <v>643</v>
      </c>
      <c r="N11" s="1147" t="s">
        <v>643</v>
      </c>
      <c r="O11" s="1150" t="s">
        <v>643</v>
      </c>
      <c r="P11" s="1150" t="s">
        <v>643</v>
      </c>
      <c r="Q11" s="463">
        <f t="shared" si="1"/>
        <v>58</v>
      </c>
      <c r="R11" s="443">
        <f t="shared" si="0"/>
        <v>1446</v>
      </c>
      <c r="S11" s="7"/>
      <c r="T11" s="7"/>
      <c r="U11" s="7"/>
      <c r="V11" s="7"/>
    </row>
    <row r="12" spans="2:22" ht="19.5" customHeight="1">
      <c r="B12" s="568">
        <v>6</v>
      </c>
      <c r="C12" s="530" t="s">
        <v>1123</v>
      </c>
      <c r="D12" s="1147" t="s">
        <v>643</v>
      </c>
      <c r="E12" s="1147" t="s">
        <v>643</v>
      </c>
      <c r="F12" s="1147" t="s">
        <v>643</v>
      </c>
      <c r="G12" s="463">
        <v>18</v>
      </c>
      <c r="H12" s="443">
        <v>850</v>
      </c>
      <c r="I12" s="463">
        <v>34</v>
      </c>
      <c r="J12" s="567">
        <v>576</v>
      </c>
      <c r="K12" s="463">
        <v>48</v>
      </c>
      <c r="L12" s="444">
        <v>153</v>
      </c>
      <c r="M12" s="1147" t="s">
        <v>643</v>
      </c>
      <c r="N12" s="1147" t="s">
        <v>643</v>
      </c>
      <c r="O12" s="1150" t="s">
        <v>643</v>
      </c>
      <c r="P12" s="1150" t="s">
        <v>643</v>
      </c>
      <c r="Q12" s="463">
        <f t="shared" si="1"/>
        <v>100</v>
      </c>
      <c r="R12" s="443">
        <f t="shared" si="0"/>
        <v>1579</v>
      </c>
      <c r="S12" s="7"/>
      <c r="T12" s="7"/>
      <c r="U12" s="7"/>
      <c r="V12" s="7"/>
    </row>
    <row r="13" spans="2:22" ht="19.5" customHeight="1">
      <c r="B13" s="568">
        <v>7</v>
      </c>
      <c r="C13" s="530" t="s">
        <v>1124</v>
      </c>
      <c r="D13" s="1147" t="s">
        <v>643</v>
      </c>
      <c r="E13" s="1147" t="s">
        <v>643</v>
      </c>
      <c r="F13" s="1147" t="s">
        <v>643</v>
      </c>
      <c r="G13" s="463">
        <v>19</v>
      </c>
      <c r="H13" s="443">
        <v>618</v>
      </c>
      <c r="I13" s="463">
        <v>33</v>
      </c>
      <c r="J13" s="567">
        <v>752</v>
      </c>
      <c r="K13" s="1062" t="s">
        <v>643</v>
      </c>
      <c r="L13" s="1068" t="s">
        <v>643</v>
      </c>
      <c r="M13" s="1147" t="s">
        <v>643</v>
      </c>
      <c r="N13" s="1147" t="s">
        <v>643</v>
      </c>
      <c r="O13" s="1150" t="s">
        <v>643</v>
      </c>
      <c r="P13" s="1150" t="s">
        <v>643</v>
      </c>
      <c r="Q13" s="463">
        <f t="shared" si="1"/>
        <v>52</v>
      </c>
      <c r="R13" s="443">
        <f t="shared" si="0"/>
        <v>1370</v>
      </c>
      <c r="S13" s="7"/>
      <c r="T13" s="7"/>
      <c r="U13" s="7"/>
      <c r="V13" s="7"/>
    </row>
    <row r="14" spans="2:22" ht="19.5" customHeight="1">
      <c r="B14" s="568">
        <v>8</v>
      </c>
      <c r="C14" s="530" t="s">
        <v>1125</v>
      </c>
      <c r="D14" s="1147" t="s">
        <v>643</v>
      </c>
      <c r="E14" s="1147" t="s">
        <v>643</v>
      </c>
      <c r="F14" s="1147" t="s">
        <v>643</v>
      </c>
      <c r="G14" s="463">
        <v>31</v>
      </c>
      <c r="H14" s="443">
        <v>1007</v>
      </c>
      <c r="I14" s="463">
        <v>31</v>
      </c>
      <c r="J14" s="567">
        <v>560</v>
      </c>
      <c r="K14" s="1062" t="s">
        <v>643</v>
      </c>
      <c r="L14" s="1068" t="s">
        <v>643</v>
      </c>
      <c r="M14" s="1147" t="s">
        <v>643</v>
      </c>
      <c r="N14" s="1147" t="s">
        <v>643</v>
      </c>
      <c r="O14" s="1150" t="s">
        <v>643</v>
      </c>
      <c r="P14" s="1150" t="s">
        <v>643</v>
      </c>
      <c r="Q14" s="463">
        <f>SUM(E14,G14,I14,K14,M14,O14,)</f>
        <v>62</v>
      </c>
      <c r="R14" s="443">
        <f t="shared" si="0"/>
        <v>1567</v>
      </c>
      <c r="S14" s="7"/>
      <c r="T14" s="7"/>
      <c r="U14" s="7"/>
      <c r="V14" s="7"/>
    </row>
    <row r="15" spans="2:22" ht="19.5" customHeight="1">
      <c r="B15" s="568">
        <v>9</v>
      </c>
      <c r="C15" s="530" t="s">
        <v>1126</v>
      </c>
      <c r="D15" s="1147" t="s">
        <v>643</v>
      </c>
      <c r="E15" s="1147" t="s">
        <v>643</v>
      </c>
      <c r="F15" s="1147" t="s">
        <v>643</v>
      </c>
      <c r="G15" s="463">
        <v>19</v>
      </c>
      <c r="H15" s="443">
        <v>437</v>
      </c>
      <c r="I15" s="463">
        <v>64</v>
      </c>
      <c r="J15" s="567">
        <v>1880</v>
      </c>
      <c r="K15" s="463">
        <v>48</v>
      </c>
      <c r="L15" s="444">
        <v>30</v>
      </c>
      <c r="M15" s="1147" t="s">
        <v>643</v>
      </c>
      <c r="N15" s="1147" t="s">
        <v>643</v>
      </c>
      <c r="O15" s="1150" t="s">
        <v>643</v>
      </c>
      <c r="P15" s="1150" t="s">
        <v>643</v>
      </c>
      <c r="Q15" s="463">
        <f t="shared" si="1"/>
        <v>131</v>
      </c>
      <c r="R15" s="443">
        <f t="shared" si="0"/>
        <v>2347</v>
      </c>
      <c r="S15" s="7"/>
      <c r="T15" s="7"/>
      <c r="U15" s="7"/>
      <c r="V15" s="7"/>
    </row>
    <row r="16" spans="2:22" ht="19.5" customHeight="1">
      <c r="B16" s="568">
        <v>10</v>
      </c>
      <c r="C16" s="530" t="s">
        <v>1128</v>
      </c>
      <c r="D16" s="1147" t="s">
        <v>643</v>
      </c>
      <c r="E16" s="1147" t="s">
        <v>643</v>
      </c>
      <c r="F16" s="1147" t="s">
        <v>643</v>
      </c>
      <c r="G16" s="463">
        <v>21</v>
      </c>
      <c r="H16" s="443">
        <v>764</v>
      </c>
      <c r="I16" s="463">
        <v>17</v>
      </c>
      <c r="J16" s="567">
        <v>300</v>
      </c>
      <c r="K16" s="463">
        <v>48</v>
      </c>
      <c r="L16" s="444">
        <v>7</v>
      </c>
      <c r="M16" s="1147" t="s">
        <v>643</v>
      </c>
      <c r="N16" s="1147" t="s">
        <v>643</v>
      </c>
      <c r="O16" s="1150" t="s">
        <v>643</v>
      </c>
      <c r="P16" s="1150" t="s">
        <v>643</v>
      </c>
      <c r="Q16" s="463">
        <f t="shared" si="1"/>
        <v>86</v>
      </c>
      <c r="R16" s="443">
        <f t="shared" si="0"/>
        <v>1071</v>
      </c>
      <c r="S16" s="7"/>
      <c r="T16" s="7"/>
      <c r="U16" s="7"/>
      <c r="V16" s="7"/>
    </row>
    <row r="17" spans="2:22" ht="19.5" customHeight="1">
      <c r="B17" s="568">
        <v>11</v>
      </c>
      <c r="C17" s="530" t="s">
        <v>90</v>
      </c>
      <c r="D17" s="1147" t="s">
        <v>643</v>
      </c>
      <c r="E17" s="1147" t="s">
        <v>643</v>
      </c>
      <c r="F17" s="1147" t="s">
        <v>643</v>
      </c>
      <c r="G17" s="174">
        <v>13</v>
      </c>
      <c r="H17" s="343">
        <v>112</v>
      </c>
      <c r="I17" s="174">
        <v>14</v>
      </c>
      <c r="J17" s="347">
        <v>258</v>
      </c>
      <c r="K17" s="1062" t="s">
        <v>643</v>
      </c>
      <c r="L17" s="1068" t="s">
        <v>643</v>
      </c>
      <c r="M17" s="1147" t="s">
        <v>643</v>
      </c>
      <c r="N17" s="1147" t="s">
        <v>643</v>
      </c>
      <c r="O17" s="1150" t="s">
        <v>643</v>
      </c>
      <c r="P17" s="1150" t="s">
        <v>643</v>
      </c>
      <c r="Q17" s="463">
        <f t="shared" si="1"/>
        <v>27</v>
      </c>
      <c r="R17" s="443">
        <f t="shared" si="0"/>
        <v>370</v>
      </c>
      <c r="S17" s="7"/>
      <c r="T17" s="7"/>
      <c r="U17" s="7"/>
      <c r="V17" s="7"/>
    </row>
    <row r="18" spans="2:22" ht="19.5" customHeight="1">
      <c r="B18" s="568">
        <v>12</v>
      </c>
      <c r="C18" s="530" t="s">
        <v>1131</v>
      </c>
      <c r="D18" s="1147" t="s">
        <v>643</v>
      </c>
      <c r="E18" s="1147" t="s">
        <v>643</v>
      </c>
      <c r="F18" s="1147" t="s">
        <v>643</v>
      </c>
      <c r="G18" s="174">
        <v>12</v>
      </c>
      <c r="H18" s="343">
        <v>255</v>
      </c>
      <c r="I18" s="174">
        <v>53</v>
      </c>
      <c r="J18" s="347">
        <v>1390</v>
      </c>
      <c r="K18" s="463">
        <v>48</v>
      </c>
      <c r="L18" s="444">
        <v>110</v>
      </c>
      <c r="M18" s="1147" t="s">
        <v>643</v>
      </c>
      <c r="N18" s="1147" t="s">
        <v>643</v>
      </c>
      <c r="O18" s="1150" t="s">
        <v>643</v>
      </c>
      <c r="P18" s="1150" t="s">
        <v>643</v>
      </c>
      <c r="Q18" s="463">
        <f t="shared" si="1"/>
        <v>113</v>
      </c>
      <c r="R18" s="443">
        <f t="shared" si="0"/>
        <v>1755</v>
      </c>
      <c r="S18" s="7"/>
      <c r="T18" s="7"/>
      <c r="U18" s="7"/>
      <c r="V18" s="7"/>
    </row>
    <row r="19" spans="2:22" ht="19.5" customHeight="1">
      <c r="B19" s="568">
        <v>13</v>
      </c>
      <c r="C19" s="530" t="s">
        <v>1134</v>
      </c>
      <c r="D19" s="1147" t="s">
        <v>643</v>
      </c>
      <c r="E19" s="1147" t="s">
        <v>643</v>
      </c>
      <c r="F19" s="1147" t="s">
        <v>643</v>
      </c>
      <c r="G19" s="174">
        <v>35</v>
      </c>
      <c r="H19" s="343">
        <v>1375</v>
      </c>
      <c r="I19" s="174">
        <v>59</v>
      </c>
      <c r="J19" s="347">
        <v>1500</v>
      </c>
      <c r="K19" s="463">
        <v>48</v>
      </c>
      <c r="L19" s="444">
        <v>120</v>
      </c>
      <c r="M19" s="1147" t="s">
        <v>643</v>
      </c>
      <c r="N19" s="1147" t="s">
        <v>643</v>
      </c>
      <c r="O19" s="1150" t="s">
        <v>643</v>
      </c>
      <c r="P19" s="1150" t="s">
        <v>643</v>
      </c>
      <c r="Q19" s="463">
        <f t="shared" si="1"/>
        <v>142</v>
      </c>
      <c r="R19" s="443">
        <f t="shared" si="0"/>
        <v>2995</v>
      </c>
      <c r="S19" s="7"/>
      <c r="T19" s="7"/>
      <c r="U19" s="7"/>
      <c r="V19" s="7"/>
    </row>
    <row r="20" spans="2:22" ht="19.5" customHeight="1">
      <c r="B20" s="568">
        <v>14</v>
      </c>
      <c r="C20" s="530" t="s">
        <v>1623</v>
      </c>
      <c r="D20" s="1147" t="s">
        <v>643</v>
      </c>
      <c r="E20" s="1147" t="s">
        <v>643</v>
      </c>
      <c r="F20" s="1147" t="s">
        <v>643</v>
      </c>
      <c r="G20" s="174">
        <v>27</v>
      </c>
      <c r="H20" s="343">
        <v>894</v>
      </c>
      <c r="I20" s="174">
        <v>36</v>
      </c>
      <c r="J20" s="347">
        <v>1079</v>
      </c>
      <c r="K20" s="463">
        <v>35</v>
      </c>
      <c r="L20" s="444">
        <v>130</v>
      </c>
      <c r="M20" s="1147" t="s">
        <v>643</v>
      </c>
      <c r="N20" s="1147" t="s">
        <v>643</v>
      </c>
      <c r="O20" s="1150" t="s">
        <v>643</v>
      </c>
      <c r="P20" s="1150" t="s">
        <v>643</v>
      </c>
      <c r="Q20" s="463">
        <f>SUM(E20,G20,I20,K20,M20,O20,)</f>
        <v>98</v>
      </c>
      <c r="R20" s="443">
        <f t="shared" si="0"/>
        <v>2103</v>
      </c>
      <c r="S20" s="7"/>
      <c r="T20" s="7"/>
      <c r="U20" s="7"/>
      <c r="V20" s="7"/>
    </row>
    <row r="21" spans="2:22" ht="19.5" customHeight="1">
      <c r="B21" s="568">
        <v>15</v>
      </c>
      <c r="C21" s="530" t="s">
        <v>714</v>
      </c>
      <c r="D21" s="1147" t="s">
        <v>643</v>
      </c>
      <c r="E21" s="1147" t="s">
        <v>643</v>
      </c>
      <c r="F21" s="1147" t="s">
        <v>643</v>
      </c>
      <c r="G21" s="174">
        <v>10</v>
      </c>
      <c r="H21" s="343">
        <v>332</v>
      </c>
      <c r="I21" s="174">
        <v>37</v>
      </c>
      <c r="J21" s="347">
        <v>1474</v>
      </c>
      <c r="K21" s="463">
        <v>20</v>
      </c>
      <c r="L21" s="444">
        <v>68</v>
      </c>
      <c r="M21" s="1147" t="s">
        <v>643</v>
      </c>
      <c r="N21" s="1147" t="s">
        <v>643</v>
      </c>
      <c r="O21" s="1150" t="s">
        <v>643</v>
      </c>
      <c r="P21" s="1150" t="s">
        <v>643</v>
      </c>
      <c r="Q21" s="463">
        <f t="shared" si="1"/>
        <v>67</v>
      </c>
      <c r="R21" s="443">
        <f t="shared" si="0"/>
        <v>1874</v>
      </c>
      <c r="S21" s="7"/>
      <c r="T21" s="7"/>
      <c r="U21" s="7"/>
      <c r="V21" s="7"/>
    </row>
    <row r="22" spans="2:22" ht="19.5" customHeight="1">
      <c r="B22" s="568">
        <v>16</v>
      </c>
      <c r="C22" s="530" t="s">
        <v>769</v>
      </c>
      <c r="D22" s="1147" t="s">
        <v>643</v>
      </c>
      <c r="E22" s="1147" t="s">
        <v>643</v>
      </c>
      <c r="F22" s="1147" t="s">
        <v>643</v>
      </c>
      <c r="G22" s="174">
        <v>7</v>
      </c>
      <c r="H22" s="343">
        <v>102</v>
      </c>
      <c r="I22" s="174">
        <v>67</v>
      </c>
      <c r="J22" s="347">
        <v>1643</v>
      </c>
      <c r="K22" s="1062" t="s">
        <v>643</v>
      </c>
      <c r="L22" s="1068" t="s">
        <v>643</v>
      </c>
      <c r="M22" s="1147" t="s">
        <v>643</v>
      </c>
      <c r="N22" s="1147" t="s">
        <v>643</v>
      </c>
      <c r="O22" s="1150" t="s">
        <v>643</v>
      </c>
      <c r="P22" s="1150" t="s">
        <v>643</v>
      </c>
      <c r="Q22" s="463">
        <f t="shared" si="1"/>
        <v>74</v>
      </c>
      <c r="R22" s="443">
        <f t="shared" si="0"/>
        <v>1745</v>
      </c>
      <c r="S22" s="7"/>
      <c r="T22" s="7"/>
      <c r="U22" s="7"/>
      <c r="V22" s="7"/>
    </row>
    <row r="23" spans="2:22" ht="19.5" customHeight="1">
      <c r="B23" s="569">
        <v>17</v>
      </c>
      <c r="C23" s="531" t="s">
        <v>772</v>
      </c>
      <c r="D23" s="1148" t="s">
        <v>643</v>
      </c>
      <c r="E23" s="1148" t="s">
        <v>643</v>
      </c>
      <c r="F23" s="1148" t="s">
        <v>643</v>
      </c>
      <c r="G23" s="175">
        <v>3</v>
      </c>
      <c r="H23" s="344">
        <v>89</v>
      </c>
      <c r="I23" s="175">
        <v>40</v>
      </c>
      <c r="J23" s="348">
        <v>830</v>
      </c>
      <c r="K23" s="468">
        <v>19</v>
      </c>
      <c r="L23" s="445">
        <v>48</v>
      </c>
      <c r="M23" s="1148" t="s">
        <v>643</v>
      </c>
      <c r="N23" s="1148" t="s">
        <v>643</v>
      </c>
      <c r="O23" s="1151" t="s">
        <v>643</v>
      </c>
      <c r="P23" s="1151" t="s">
        <v>643</v>
      </c>
      <c r="Q23" s="468">
        <f t="shared" si="1"/>
        <v>62</v>
      </c>
      <c r="R23" s="446">
        <f t="shared" si="0"/>
        <v>967</v>
      </c>
      <c r="S23" s="7"/>
      <c r="T23" s="7"/>
      <c r="U23" s="7"/>
      <c r="V23" s="7"/>
    </row>
    <row r="24" spans="2:22">
      <c r="B24" s="18" t="s">
        <v>1093</v>
      </c>
      <c r="C24" s="18"/>
      <c r="D24" s="18"/>
      <c r="E24" s="18"/>
      <c r="F24" s="280" t="s">
        <v>671</v>
      </c>
      <c r="G24" s="571" t="s">
        <v>1096</v>
      </c>
      <c r="H24" s="572"/>
      <c r="I24" s="18"/>
      <c r="J24" s="346"/>
      <c r="K24" s="18"/>
      <c r="L24" s="346"/>
      <c r="M24" s="430" t="s">
        <v>600</v>
      </c>
      <c r="N24" s="18" t="s">
        <v>1114</v>
      </c>
      <c r="O24" s="18"/>
      <c r="P24" s="18"/>
      <c r="Q24" s="18"/>
      <c r="R24" s="346"/>
    </row>
    <row r="25" spans="2:22">
      <c r="B25" s="18" t="s">
        <v>1094</v>
      </c>
      <c r="C25" s="18"/>
      <c r="D25" s="18"/>
      <c r="E25" s="18"/>
      <c r="F25" s="280" t="s">
        <v>672</v>
      </c>
      <c r="G25" s="575" t="s">
        <v>1097</v>
      </c>
      <c r="H25" s="346"/>
      <c r="I25" s="18"/>
      <c r="J25" s="346"/>
      <c r="K25" s="18"/>
      <c r="L25" s="573"/>
      <c r="M25" s="18"/>
      <c r="N25" s="574" t="s">
        <v>1074</v>
      </c>
      <c r="O25" s="18"/>
      <c r="P25" s="18"/>
      <c r="Q25" s="18"/>
      <c r="R25" s="346"/>
    </row>
    <row r="26" spans="2:22">
      <c r="B26" s="30" t="s">
        <v>1095</v>
      </c>
      <c r="C26" s="18"/>
      <c r="D26" s="30"/>
      <c r="E26" s="30"/>
      <c r="F26" s="280" t="s">
        <v>673</v>
      </c>
      <c r="G26" s="578" t="s">
        <v>1139</v>
      </c>
      <c r="H26" s="579"/>
      <c r="I26" s="18"/>
      <c r="J26" s="346"/>
      <c r="K26" s="18" t="s">
        <v>1216</v>
      </c>
      <c r="L26" s="346"/>
      <c r="M26" s="18"/>
      <c r="N26" s="574" t="s">
        <v>1073</v>
      </c>
      <c r="O26" s="574"/>
      <c r="P26" s="574"/>
      <c r="Q26" s="574"/>
      <c r="R26" s="576"/>
      <c r="S26" s="577"/>
    </row>
    <row r="27" spans="2:22">
      <c r="B27" s="1668" t="s">
        <v>1588</v>
      </c>
      <c r="C27" s="1668"/>
      <c r="D27" s="1668"/>
      <c r="E27" s="1668"/>
      <c r="F27" s="1668"/>
      <c r="G27" s="1668"/>
      <c r="H27" s="1668"/>
      <c r="I27" s="30"/>
      <c r="J27" s="346"/>
      <c r="K27" s="30"/>
      <c r="L27" s="346"/>
      <c r="M27" s="18"/>
      <c r="N27" s="18"/>
      <c r="O27" s="18"/>
      <c r="P27" s="18"/>
      <c r="Q27" s="18"/>
      <c r="R27" s="346"/>
    </row>
    <row r="28" spans="2:22" ht="13.5" customHeight="1">
      <c r="B28" s="267" t="s">
        <v>1448</v>
      </c>
      <c r="I28" s="402"/>
      <c r="J28" s="580"/>
      <c r="K28" s="402"/>
      <c r="L28" s="580"/>
      <c r="M28" s="18"/>
      <c r="N28" s="18"/>
      <c r="O28" s="18"/>
      <c r="P28" s="18"/>
      <c r="Q28" s="18"/>
      <c r="R28" s="346"/>
    </row>
    <row r="31" spans="2:22">
      <c r="I31" s="581"/>
      <c r="J31" s="582"/>
      <c r="K31" s="24"/>
    </row>
  </sheetData>
  <mergeCells count="12">
    <mergeCell ref="B27:H27"/>
    <mergeCell ref="B1:R1"/>
    <mergeCell ref="I4:J4"/>
    <mergeCell ref="C4:C5"/>
    <mergeCell ref="B2:R2"/>
    <mergeCell ref="K4:L4"/>
    <mergeCell ref="M4:N4"/>
    <mergeCell ref="O4:P4"/>
    <mergeCell ref="Q4:R4"/>
    <mergeCell ref="E4:F4"/>
    <mergeCell ref="G4:H4"/>
    <mergeCell ref="B4:B5"/>
  </mergeCells>
  <phoneticPr fontId="0" type="noConversion"/>
  <conditionalFormatting sqref="B28">
    <cfRule type="cellIs" dxfId="0" priority="1" stopIfTrue="1" operator="equal">
      <formula>".."</formula>
    </cfRule>
  </conditionalFormatting>
  <pageMargins left="0.1" right="0.1" top="0.75" bottom="0.16" header="0.43" footer="0.16"/>
  <pageSetup paperSize="9" orientation="landscape" blackAndWhite="1" horizontalDpi="4294967295" verticalDpi="180" r:id="rId1"/>
  <headerFooter alignWithMargins="0"/>
</worksheet>
</file>

<file path=xl/worksheets/sheet85.xml><?xml version="1.0" encoding="utf-8"?>
<worksheet xmlns="http://schemas.openxmlformats.org/spreadsheetml/2006/main" xmlns:r="http://schemas.openxmlformats.org/officeDocument/2006/relationships">
  <dimension ref="B1:J23"/>
  <sheetViews>
    <sheetView topLeftCell="A7" workbookViewId="0">
      <selection activeCell="L15" sqref="L15"/>
    </sheetView>
  </sheetViews>
  <sheetFormatPr defaultRowHeight="12.75"/>
  <cols>
    <col min="1" max="1" width="12.85546875" style="6" customWidth="1"/>
    <col min="2" max="2" width="4.42578125" style="6" customWidth="1"/>
    <col min="3" max="3" width="16.140625" style="6" customWidth="1"/>
    <col min="4" max="4" width="11.85546875" style="6" customWidth="1"/>
    <col min="5" max="5" width="10.28515625" style="35" customWidth="1"/>
    <col min="6" max="6" width="15.42578125" style="6" customWidth="1"/>
    <col min="7" max="7" width="16.5703125" style="6" customWidth="1"/>
    <col min="8" max="8" width="17.42578125" style="6" customWidth="1"/>
    <col min="9" max="9" width="14.140625" style="6" customWidth="1"/>
    <col min="10" max="10" width="14.42578125" style="6" customWidth="1"/>
    <col min="11" max="11" width="11.7109375" style="6" customWidth="1"/>
    <col min="12" max="16384" width="9.140625" style="6"/>
  </cols>
  <sheetData>
    <row r="1" spans="2:10" ht="13.5" customHeight="1">
      <c r="B1" s="1250" t="s">
        <v>495</v>
      </c>
      <c r="C1" s="1250"/>
      <c r="D1" s="1250"/>
      <c r="E1" s="1250"/>
      <c r="F1" s="1250"/>
      <c r="G1" s="1250"/>
      <c r="H1" s="1250"/>
      <c r="I1" s="1250"/>
      <c r="J1" s="1250"/>
    </row>
    <row r="2" spans="2:10" ht="20.25" customHeight="1">
      <c r="B2" s="1524" t="str">
        <f>CONCATENATE("Particulars of Fisheries in the Blocks of ",District!$A$1," for the year ",District!C3)</f>
        <v>Particulars of Fisheries in the Blocks of Nadia for the year 2013-14</v>
      </c>
      <c r="C2" s="1524"/>
      <c r="D2" s="1524"/>
      <c r="E2" s="1524"/>
      <c r="F2" s="1524"/>
      <c r="G2" s="1524"/>
      <c r="H2" s="1524"/>
      <c r="I2" s="1524"/>
      <c r="J2" s="1524"/>
    </row>
    <row r="3" spans="2:10" ht="41.25" customHeight="1">
      <c r="B3" s="219" t="s">
        <v>1276</v>
      </c>
      <c r="C3" s="219" t="s">
        <v>1602</v>
      </c>
      <c r="D3" s="219" t="s">
        <v>1217</v>
      </c>
      <c r="E3" s="583" t="s">
        <v>1001</v>
      </c>
      <c r="F3" s="535" t="s">
        <v>1002</v>
      </c>
      <c r="G3" s="535" t="s">
        <v>1015</v>
      </c>
      <c r="H3" s="535" t="s">
        <v>1016</v>
      </c>
      <c r="I3" s="535" t="s">
        <v>1603</v>
      </c>
      <c r="J3" s="535" t="s">
        <v>1466</v>
      </c>
    </row>
    <row r="4" spans="2:10" ht="13.5" customHeight="1">
      <c r="B4" s="225" t="s">
        <v>163</v>
      </c>
      <c r="C4" s="224" t="s">
        <v>164</v>
      </c>
      <c r="D4" s="225" t="s">
        <v>165</v>
      </c>
      <c r="E4" s="584" t="s">
        <v>166</v>
      </c>
      <c r="F4" s="225" t="s">
        <v>167</v>
      </c>
      <c r="G4" s="225" t="s">
        <v>168</v>
      </c>
      <c r="H4" s="225" t="s">
        <v>169</v>
      </c>
      <c r="I4" s="225" t="s">
        <v>211</v>
      </c>
      <c r="J4" s="225" t="s">
        <v>212</v>
      </c>
    </row>
    <row r="5" spans="2:10" ht="21.95" customHeight="1">
      <c r="B5" s="204">
        <v>1</v>
      </c>
      <c r="C5" s="407" t="s">
        <v>1118</v>
      </c>
      <c r="D5" s="465">
        <v>8</v>
      </c>
      <c r="E5" s="504">
        <v>273.404</v>
      </c>
      <c r="F5" s="504">
        <v>273.404</v>
      </c>
      <c r="G5" s="585">
        <v>1270.2</v>
      </c>
      <c r="H5" s="151">
        <v>940.56</v>
      </c>
      <c r="I5" s="81">
        <v>3290</v>
      </c>
      <c r="J5" s="330">
        <v>36828</v>
      </c>
    </row>
    <row r="6" spans="2:10" ht="21.95" customHeight="1">
      <c r="B6" s="81">
        <v>2</v>
      </c>
      <c r="C6" s="408" t="s">
        <v>1119</v>
      </c>
      <c r="D6" s="463">
        <v>6</v>
      </c>
      <c r="E6" s="505">
        <v>367.404</v>
      </c>
      <c r="F6" s="505">
        <v>367.404</v>
      </c>
      <c r="G6" s="585">
        <v>1924.9</v>
      </c>
      <c r="H6" s="151">
        <v>1361.3</v>
      </c>
      <c r="I6" s="81">
        <v>4277</v>
      </c>
      <c r="J6" s="197">
        <v>75526</v>
      </c>
    </row>
    <row r="7" spans="2:10" ht="21.95" customHeight="1">
      <c r="B7" s="81">
        <v>3</v>
      </c>
      <c r="C7" s="408" t="s">
        <v>1121</v>
      </c>
      <c r="D7" s="463">
        <v>8</v>
      </c>
      <c r="E7" s="505">
        <v>871.54600000000005</v>
      </c>
      <c r="F7" s="505">
        <v>871.54600000000005</v>
      </c>
      <c r="G7" s="585">
        <v>1166.03</v>
      </c>
      <c r="H7" s="151">
        <v>812.21</v>
      </c>
      <c r="I7" s="81">
        <v>4607</v>
      </c>
      <c r="J7" s="197">
        <v>50322</v>
      </c>
    </row>
    <row r="8" spans="2:10" ht="21.95" customHeight="1">
      <c r="B8" s="81">
        <v>4</v>
      </c>
      <c r="C8" s="408" t="s">
        <v>1120</v>
      </c>
      <c r="D8" s="463">
        <v>8</v>
      </c>
      <c r="E8" s="505">
        <v>2749.3240000000001</v>
      </c>
      <c r="F8" s="505">
        <v>2749.3240000000001</v>
      </c>
      <c r="G8" s="585">
        <v>823.02</v>
      </c>
      <c r="H8" s="151">
        <v>572.82000000000005</v>
      </c>
      <c r="I8" s="81">
        <v>2651</v>
      </c>
      <c r="J8" s="197">
        <v>35400</v>
      </c>
    </row>
    <row r="9" spans="2:10" ht="21.95" customHeight="1">
      <c r="B9" s="81">
        <v>5</v>
      </c>
      <c r="C9" s="408" t="s">
        <v>1122</v>
      </c>
      <c r="D9" s="463">
        <v>9</v>
      </c>
      <c r="E9" s="505">
        <v>1297.096</v>
      </c>
      <c r="F9" s="505">
        <v>1297.096</v>
      </c>
      <c r="G9" s="585">
        <v>1206.42</v>
      </c>
      <c r="H9" s="151">
        <v>835.28</v>
      </c>
      <c r="I9" s="81">
        <v>12502</v>
      </c>
      <c r="J9" s="197">
        <v>57191</v>
      </c>
    </row>
    <row r="10" spans="2:10" ht="21.95" customHeight="1">
      <c r="B10" s="81">
        <v>6</v>
      </c>
      <c r="C10" s="408" t="s">
        <v>1123</v>
      </c>
      <c r="D10" s="463">
        <v>10</v>
      </c>
      <c r="E10" s="505">
        <v>1840.096</v>
      </c>
      <c r="F10" s="505">
        <v>1840.096</v>
      </c>
      <c r="G10" s="585">
        <v>770.27</v>
      </c>
      <c r="H10" s="151">
        <v>533.94000000000005</v>
      </c>
      <c r="I10" s="81">
        <v>2642</v>
      </c>
      <c r="J10" s="197">
        <v>67779</v>
      </c>
    </row>
    <row r="11" spans="2:10" ht="21.95" customHeight="1">
      <c r="B11" s="81">
        <v>7</v>
      </c>
      <c r="C11" s="408" t="s">
        <v>1124</v>
      </c>
      <c r="D11" s="463">
        <v>7</v>
      </c>
      <c r="E11" s="505">
        <v>930</v>
      </c>
      <c r="F11" s="505">
        <v>930</v>
      </c>
      <c r="G11" s="585">
        <v>1276.33</v>
      </c>
      <c r="H11" s="151">
        <v>882.68</v>
      </c>
      <c r="I11" s="81">
        <v>7875</v>
      </c>
      <c r="J11" s="197">
        <v>61316</v>
      </c>
    </row>
    <row r="12" spans="2:10" ht="21.95" customHeight="1">
      <c r="B12" s="81">
        <v>8</v>
      </c>
      <c r="C12" s="408" t="s">
        <v>1125</v>
      </c>
      <c r="D12" s="463">
        <v>8</v>
      </c>
      <c r="E12" s="505">
        <v>351</v>
      </c>
      <c r="F12" s="505">
        <v>351</v>
      </c>
      <c r="G12" s="585">
        <v>1338.58</v>
      </c>
      <c r="H12" s="151">
        <v>932.63</v>
      </c>
      <c r="I12" s="81">
        <v>6251</v>
      </c>
      <c r="J12" s="197">
        <v>32490</v>
      </c>
    </row>
    <row r="13" spans="2:10" ht="21.95" customHeight="1">
      <c r="B13" s="81">
        <v>9</v>
      </c>
      <c r="C13" s="408" t="s">
        <v>663</v>
      </c>
      <c r="D13" s="463">
        <v>10</v>
      </c>
      <c r="E13" s="505">
        <v>3176</v>
      </c>
      <c r="F13" s="505">
        <v>3176</v>
      </c>
      <c r="G13" s="585">
        <v>3047.06</v>
      </c>
      <c r="H13" s="151">
        <v>2100.15</v>
      </c>
      <c r="I13" s="81">
        <v>12059</v>
      </c>
      <c r="J13" s="197">
        <v>82414</v>
      </c>
    </row>
    <row r="14" spans="2:10" ht="21.95" customHeight="1">
      <c r="B14" s="81">
        <v>10</v>
      </c>
      <c r="C14" s="408" t="s">
        <v>1128</v>
      </c>
      <c r="D14" s="463">
        <v>9</v>
      </c>
      <c r="E14" s="505">
        <v>731</v>
      </c>
      <c r="F14" s="505">
        <v>731</v>
      </c>
      <c r="G14" s="585">
        <v>357.52</v>
      </c>
      <c r="H14" s="151">
        <v>343.04</v>
      </c>
      <c r="I14" s="81">
        <v>5921</v>
      </c>
      <c r="J14" s="197">
        <v>17387</v>
      </c>
    </row>
    <row r="15" spans="2:10" ht="21.95" customHeight="1">
      <c r="B15" s="81">
        <v>11</v>
      </c>
      <c r="C15" s="408" t="s">
        <v>90</v>
      </c>
      <c r="D15" s="463">
        <v>10</v>
      </c>
      <c r="E15" s="505">
        <v>854</v>
      </c>
      <c r="F15" s="505">
        <v>854</v>
      </c>
      <c r="G15" s="585">
        <v>1160.99</v>
      </c>
      <c r="H15" s="151">
        <v>805.36</v>
      </c>
      <c r="I15" s="81">
        <v>6951</v>
      </c>
      <c r="J15" s="197">
        <v>47930</v>
      </c>
    </row>
    <row r="16" spans="2:10" ht="21.95" customHeight="1">
      <c r="B16" s="81">
        <v>12</v>
      </c>
      <c r="C16" s="408" t="s">
        <v>1131</v>
      </c>
      <c r="D16" s="463">
        <v>11</v>
      </c>
      <c r="E16" s="505">
        <v>1338.539</v>
      </c>
      <c r="F16" s="505">
        <v>1338.539</v>
      </c>
      <c r="G16" s="585">
        <v>778.24</v>
      </c>
      <c r="H16" s="151">
        <v>539.96</v>
      </c>
      <c r="I16" s="81">
        <v>9276</v>
      </c>
      <c r="J16" s="197">
        <v>33341</v>
      </c>
    </row>
    <row r="17" spans="2:10" ht="21.95" customHeight="1">
      <c r="B17" s="81">
        <v>13</v>
      </c>
      <c r="C17" s="408" t="s">
        <v>1134</v>
      </c>
      <c r="D17" s="463">
        <v>8</v>
      </c>
      <c r="E17" s="505">
        <v>1431.788</v>
      </c>
      <c r="F17" s="505">
        <v>1431.788</v>
      </c>
      <c r="G17" s="585">
        <v>1907.42</v>
      </c>
      <c r="H17" s="151">
        <v>1300.03</v>
      </c>
      <c r="I17" s="81">
        <v>8225</v>
      </c>
      <c r="J17" s="197">
        <v>59276</v>
      </c>
    </row>
    <row r="18" spans="2:10" ht="21.95" customHeight="1">
      <c r="B18" s="81">
        <v>14</v>
      </c>
      <c r="C18" s="408" t="s">
        <v>1623</v>
      </c>
      <c r="D18" s="463">
        <v>9</v>
      </c>
      <c r="E18" s="505">
        <v>913</v>
      </c>
      <c r="F18" s="505">
        <v>913</v>
      </c>
      <c r="G18" s="585">
        <v>488.69</v>
      </c>
      <c r="H18" s="151">
        <v>338.2</v>
      </c>
      <c r="I18" s="81">
        <v>11505</v>
      </c>
      <c r="J18" s="197">
        <v>27017</v>
      </c>
    </row>
    <row r="19" spans="2:10" ht="21.95" customHeight="1">
      <c r="B19" s="81">
        <v>15</v>
      </c>
      <c r="C19" s="408" t="s">
        <v>714</v>
      </c>
      <c r="D19" s="463">
        <v>9</v>
      </c>
      <c r="E19" s="505">
        <v>635</v>
      </c>
      <c r="F19" s="505">
        <v>635</v>
      </c>
      <c r="G19" s="585">
        <v>734.41</v>
      </c>
      <c r="H19" s="151">
        <v>507.97</v>
      </c>
      <c r="I19" s="81">
        <v>13543</v>
      </c>
      <c r="J19" s="197">
        <v>55754</v>
      </c>
    </row>
    <row r="20" spans="2:10" ht="21.95" customHeight="1">
      <c r="B20" s="81">
        <v>16</v>
      </c>
      <c r="C20" s="408" t="s">
        <v>769</v>
      </c>
      <c r="D20" s="463">
        <v>11</v>
      </c>
      <c r="E20" s="505">
        <v>6454</v>
      </c>
      <c r="F20" s="505">
        <v>6454</v>
      </c>
      <c r="G20" s="585">
        <v>2603.4</v>
      </c>
      <c r="H20" s="151">
        <v>1795.88</v>
      </c>
      <c r="I20" s="81">
        <v>18277</v>
      </c>
      <c r="J20" s="197">
        <v>134032</v>
      </c>
    </row>
    <row r="21" spans="2:10" ht="21.95" customHeight="1">
      <c r="B21" s="129">
        <v>17</v>
      </c>
      <c r="C21" s="409" t="s">
        <v>772</v>
      </c>
      <c r="D21" s="468">
        <v>13</v>
      </c>
      <c r="E21" s="586">
        <v>2637</v>
      </c>
      <c r="F21" s="586">
        <v>2637</v>
      </c>
      <c r="G21" s="587">
        <v>1447.68</v>
      </c>
      <c r="H21" s="160">
        <v>988.83</v>
      </c>
      <c r="I21" s="129">
        <v>10197</v>
      </c>
      <c r="J21" s="234">
        <v>50435</v>
      </c>
    </row>
    <row r="22" spans="2:10">
      <c r="E22" s="35" t="s">
        <v>1621</v>
      </c>
      <c r="F22" s="27"/>
      <c r="G22" s="280" t="s">
        <v>600</v>
      </c>
      <c r="H22" s="561" t="s">
        <v>388</v>
      </c>
      <c r="I22" s="27"/>
    </row>
    <row r="23" spans="2:10">
      <c r="G23" s="18"/>
      <c r="H23" s="561" t="s">
        <v>261</v>
      </c>
    </row>
  </sheetData>
  <mergeCells count="2">
    <mergeCell ref="B1:J1"/>
    <mergeCell ref="B2:J2"/>
  </mergeCells>
  <phoneticPr fontId="0" type="noConversion"/>
  <pageMargins left="0.1" right="0.1" top="0.66" bottom="0.16" header="0.26" footer="0"/>
  <pageSetup paperSize="9" orientation="landscape" blackAndWhite="1" horizontalDpi="4294967295" verticalDpi="180" r:id="rId1"/>
  <headerFooter alignWithMargins="0"/>
</worksheet>
</file>

<file path=xl/worksheets/sheet86.xml><?xml version="1.0" encoding="utf-8"?>
<worksheet xmlns="http://schemas.openxmlformats.org/spreadsheetml/2006/main" xmlns:r="http://schemas.openxmlformats.org/officeDocument/2006/relationships">
  <dimension ref="B1:I48"/>
  <sheetViews>
    <sheetView workbookViewId="0">
      <selection activeCell="I14" sqref="I14"/>
    </sheetView>
  </sheetViews>
  <sheetFormatPr defaultRowHeight="12.75"/>
  <cols>
    <col min="1" max="1" width="15.7109375" style="405" customWidth="1"/>
    <col min="2" max="2" width="5.7109375" style="405" customWidth="1"/>
    <col min="3" max="3" width="20.7109375" style="405" customWidth="1"/>
    <col min="4" max="9" width="14.7109375" style="405" customWidth="1"/>
    <col min="10" max="16384" width="9.140625" style="405"/>
  </cols>
  <sheetData>
    <row r="1" spans="2:9" ht="15.75" customHeight="1">
      <c r="B1" s="1261" t="s">
        <v>1595</v>
      </c>
      <c r="C1" s="1261"/>
      <c r="D1" s="1261"/>
      <c r="E1" s="1261"/>
      <c r="F1" s="1261"/>
      <c r="G1" s="1261"/>
      <c r="H1" s="1261"/>
      <c r="I1" s="1261"/>
    </row>
    <row r="2" spans="2:9" s="554" customFormat="1" ht="21" customHeight="1">
      <c r="B2" s="1672" t="str">
        <f>CONCATENATE("Estimated Number of Live-stock and Poultry in the Blocks of Nadia for the year ",District!C3)</f>
        <v>Estimated Number of Live-stock and Poultry in the Blocks of Nadia for the year 2013-14</v>
      </c>
      <c r="C2" s="1672"/>
      <c r="D2" s="1672"/>
      <c r="E2" s="1672"/>
      <c r="F2" s="1672"/>
      <c r="G2" s="1672"/>
      <c r="H2" s="1672"/>
      <c r="I2" s="1672"/>
    </row>
    <row r="3" spans="2:9" ht="15" customHeight="1">
      <c r="B3" s="204" t="s">
        <v>1176</v>
      </c>
      <c r="C3" s="1257" t="s">
        <v>1174</v>
      </c>
      <c r="D3" s="1253" t="s">
        <v>1394</v>
      </c>
      <c r="E3" s="1251"/>
      <c r="F3" s="1251"/>
      <c r="G3" s="1251"/>
      <c r="H3" s="1252"/>
      <c r="I3" s="1266" t="s">
        <v>1220</v>
      </c>
    </row>
    <row r="4" spans="2:9" ht="15" customHeight="1">
      <c r="B4" s="129" t="s">
        <v>225</v>
      </c>
      <c r="C4" s="1258"/>
      <c r="D4" s="204" t="s">
        <v>1218</v>
      </c>
      <c r="E4" s="204" t="s">
        <v>1219</v>
      </c>
      <c r="F4" s="221" t="s">
        <v>699</v>
      </c>
      <c r="G4" s="216" t="s">
        <v>1416</v>
      </c>
      <c r="H4" s="216" t="s">
        <v>320</v>
      </c>
      <c r="I4" s="1325"/>
    </row>
    <row r="5" spans="2:9" ht="15" customHeight="1">
      <c r="B5" s="225" t="s">
        <v>163</v>
      </c>
      <c r="C5" s="225" t="s">
        <v>164</v>
      </c>
      <c r="D5" s="225" t="s">
        <v>165</v>
      </c>
      <c r="E5" s="225" t="s">
        <v>166</v>
      </c>
      <c r="F5" s="224" t="s">
        <v>167</v>
      </c>
      <c r="G5" s="224" t="s">
        <v>168</v>
      </c>
      <c r="H5" s="224" t="s">
        <v>169</v>
      </c>
      <c r="I5" s="224" t="s">
        <v>211</v>
      </c>
    </row>
    <row r="6" spans="2:9" ht="21.95" customHeight="1">
      <c r="B6" s="246">
        <v>1</v>
      </c>
      <c r="C6" s="407" t="s">
        <v>1118</v>
      </c>
      <c r="D6" s="463">
        <v>38669</v>
      </c>
      <c r="E6" s="463">
        <v>595</v>
      </c>
      <c r="F6" s="463">
        <v>55311</v>
      </c>
      <c r="G6" s="421">
        <v>925</v>
      </c>
      <c r="H6" s="421">
        <v>708</v>
      </c>
      <c r="I6" s="421">
        <v>98435</v>
      </c>
    </row>
    <row r="7" spans="2:9" ht="21.95" customHeight="1">
      <c r="B7" s="108">
        <v>2</v>
      </c>
      <c r="C7" s="408" t="s">
        <v>1119</v>
      </c>
      <c r="D7" s="463">
        <v>28514</v>
      </c>
      <c r="E7" s="463">
        <v>787</v>
      </c>
      <c r="F7" s="463">
        <v>29498</v>
      </c>
      <c r="G7" s="421">
        <v>33</v>
      </c>
      <c r="H7" s="421">
        <v>298</v>
      </c>
      <c r="I7" s="421">
        <v>20160</v>
      </c>
    </row>
    <row r="8" spans="2:9" ht="21.95" customHeight="1">
      <c r="B8" s="108">
        <v>3</v>
      </c>
      <c r="C8" s="408" t="s">
        <v>1121</v>
      </c>
      <c r="D8" s="463">
        <v>36495</v>
      </c>
      <c r="E8" s="463">
        <v>838</v>
      </c>
      <c r="F8" s="463">
        <v>44685</v>
      </c>
      <c r="G8" s="421">
        <v>748</v>
      </c>
      <c r="H8" s="421">
        <v>732</v>
      </c>
      <c r="I8" s="421">
        <v>61124</v>
      </c>
    </row>
    <row r="9" spans="2:9" ht="21.95" customHeight="1">
      <c r="B9" s="108">
        <v>4</v>
      </c>
      <c r="C9" s="408" t="s">
        <v>1120</v>
      </c>
      <c r="D9" s="463">
        <v>35448</v>
      </c>
      <c r="E9" s="463">
        <v>806</v>
      </c>
      <c r="F9" s="463">
        <v>43537</v>
      </c>
      <c r="G9" s="421">
        <v>629</v>
      </c>
      <c r="H9" s="421">
        <v>579</v>
      </c>
      <c r="I9" s="421">
        <v>72829</v>
      </c>
    </row>
    <row r="10" spans="2:9" ht="21.95" customHeight="1">
      <c r="B10" s="108">
        <v>5</v>
      </c>
      <c r="C10" s="408" t="s">
        <v>1122</v>
      </c>
      <c r="D10" s="463">
        <v>63765</v>
      </c>
      <c r="E10" s="463">
        <v>2196</v>
      </c>
      <c r="F10" s="463">
        <v>32934</v>
      </c>
      <c r="G10" s="421">
        <v>2417</v>
      </c>
      <c r="H10" s="421">
        <v>596</v>
      </c>
      <c r="I10" s="421">
        <v>63703</v>
      </c>
    </row>
    <row r="11" spans="2:9" ht="21.95" customHeight="1">
      <c r="B11" s="108">
        <v>6</v>
      </c>
      <c r="C11" s="408" t="s">
        <v>1123</v>
      </c>
      <c r="D11" s="463">
        <v>59506</v>
      </c>
      <c r="E11" s="463">
        <v>1874</v>
      </c>
      <c r="F11" s="463">
        <v>54634</v>
      </c>
      <c r="G11" s="421">
        <v>1168</v>
      </c>
      <c r="H11" s="421">
        <v>544</v>
      </c>
      <c r="I11" s="421">
        <v>102043</v>
      </c>
    </row>
    <row r="12" spans="2:9" ht="21.95" customHeight="1">
      <c r="B12" s="108">
        <v>7</v>
      </c>
      <c r="C12" s="408" t="s">
        <v>1124</v>
      </c>
      <c r="D12" s="463">
        <v>55427</v>
      </c>
      <c r="E12" s="463">
        <v>2163</v>
      </c>
      <c r="F12" s="463">
        <v>65847</v>
      </c>
      <c r="G12" s="421">
        <v>964</v>
      </c>
      <c r="H12" s="421">
        <v>1190</v>
      </c>
      <c r="I12" s="421">
        <v>146057</v>
      </c>
    </row>
    <row r="13" spans="2:9" ht="21.95" customHeight="1">
      <c r="B13" s="108">
        <v>8</v>
      </c>
      <c r="C13" s="408" t="s">
        <v>1125</v>
      </c>
      <c r="D13" s="463">
        <v>23464</v>
      </c>
      <c r="E13" s="463">
        <v>205</v>
      </c>
      <c r="F13" s="463">
        <v>23577</v>
      </c>
      <c r="G13" s="421">
        <v>152</v>
      </c>
      <c r="H13" s="421">
        <v>399</v>
      </c>
      <c r="I13" s="421">
        <v>37408</v>
      </c>
    </row>
    <row r="14" spans="2:9" ht="21.95" customHeight="1">
      <c r="B14" s="108">
        <v>9</v>
      </c>
      <c r="C14" s="408" t="s">
        <v>1126</v>
      </c>
      <c r="D14" s="463">
        <v>55729</v>
      </c>
      <c r="E14" s="463">
        <v>1215</v>
      </c>
      <c r="F14" s="463">
        <v>47110</v>
      </c>
      <c r="G14" s="421">
        <v>1060</v>
      </c>
      <c r="H14" s="421">
        <v>972</v>
      </c>
      <c r="I14" s="421">
        <v>92776</v>
      </c>
    </row>
    <row r="15" spans="2:9" ht="21.95" customHeight="1">
      <c r="B15" s="108">
        <v>10</v>
      </c>
      <c r="C15" s="408" t="s">
        <v>235</v>
      </c>
      <c r="D15" s="463">
        <v>27219</v>
      </c>
      <c r="E15" s="463">
        <v>1358</v>
      </c>
      <c r="F15" s="463">
        <v>34982</v>
      </c>
      <c r="G15" s="421">
        <v>1022</v>
      </c>
      <c r="H15" s="421">
        <v>238</v>
      </c>
      <c r="I15" s="421">
        <v>59767</v>
      </c>
    </row>
    <row r="16" spans="2:9" ht="21.95" customHeight="1">
      <c r="B16" s="108">
        <v>11</v>
      </c>
      <c r="C16" s="408" t="s">
        <v>90</v>
      </c>
      <c r="D16" s="463">
        <v>19393</v>
      </c>
      <c r="E16" s="463">
        <v>2184</v>
      </c>
      <c r="F16" s="463">
        <v>14576</v>
      </c>
      <c r="G16" s="421">
        <v>575</v>
      </c>
      <c r="H16" s="421">
        <v>165</v>
      </c>
      <c r="I16" s="421">
        <v>21988</v>
      </c>
    </row>
    <row r="17" spans="2:9" ht="21.95" customHeight="1">
      <c r="B17" s="108">
        <v>12</v>
      </c>
      <c r="C17" s="408" t="s">
        <v>1131</v>
      </c>
      <c r="D17" s="463">
        <v>42608</v>
      </c>
      <c r="E17" s="463">
        <v>209</v>
      </c>
      <c r="F17" s="463">
        <v>36553</v>
      </c>
      <c r="G17" s="421">
        <v>289</v>
      </c>
      <c r="H17" s="421">
        <v>204</v>
      </c>
      <c r="I17" s="421">
        <v>55176</v>
      </c>
    </row>
    <row r="18" spans="2:9" ht="21.95" customHeight="1">
      <c r="B18" s="108">
        <v>13</v>
      </c>
      <c r="C18" s="408" t="s">
        <v>1134</v>
      </c>
      <c r="D18" s="463">
        <v>44903</v>
      </c>
      <c r="E18" s="463">
        <v>552</v>
      </c>
      <c r="F18" s="463">
        <v>31696</v>
      </c>
      <c r="G18" s="421">
        <v>132</v>
      </c>
      <c r="H18" s="421">
        <v>684</v>
      </c>
      <c r="I18" s="421">
        <v>65598</v>
      </c>
    </row>
    <row r="19" spans="2:9" ht="21.95" customHeight="1">
      <c r="B19" s="108">
        <v>14</v>
      </c>
      <c r="C19" s="408" t="s">
        <v>1623</v>
      </c>
      <c r="D19" s="463">
        <v>35308</v>
      </c>
      <c r="E19" s="463">
        <v>216</v>
      </c>
      <c r="F19" s="463">
        <v>28013</v>
      </c>
      <c r="G19" s="421">
        <v>70</v>
      </c>
      <c r="H19" s="421">
        <v>318</v>
      </c>
      <c r="I19" s="421">
        <v>45635</v>
      </c>
    </row>
    <row r="20" spans="2:9" ht="21.95" customHeight="1">
      <c r="B20" s="108">
        <v>15</v>
      </c>
      <c r="C20" s="408" t="s">
        <v>714</v>
      </c>
      <c r="D20" s="463">
        <v>81690</v>
      </c>
      <c r="E20" s="463">
        <v>1152</v>
      </c>
      <c r="F20" s="463">
        <v>58092</v>
      </c>
      <c r="G20" s="421">
        <v>282</v>
      </c>
      <c r="H20" s="421">
        <v>1412</v>
      </c>
      <c r="I20" s="421">
        <v>204800</v>
      </c>
    </row>
    <row r="21" spans="2:9" ht="21.95" customHeight="1">
      <c r="B21" s="108">
        <v>16</v>
      </c>
      <c r="C21" s="408" t="s">
        <v>769</v>
      </c>
      <c r="D21" s="463">
        <v>68681</v>
      </c>
      <c r="E21" s="463">
        <v>500</v>
      </c>
      <c r="F21" s="463">
        <v>37821</v>
      </c>
      <c r="G21" s="421">
        <v>43</v>
      </c>
      <c r="H21" s="421">
        <v>1365</v>
      </c>
      <c r="I21" s="421">
        <v>138698</v>
      </c>
    </row>
    <row r="22" spans="2:9" ht="21.95" customHeight="1">
      <c r="B22" s="129">
        <v>17</v>
      </c>
      <c r="C22" s="409" t="s">
        <v>772</v>
      </c>
      <c r="D22" s="468">
        <v>33312</v>
      </c>
      <c r="E22" s="468">
        <v>828</v>
      </c>
      <c r="F22" s="468">
        <v>23000</v>
      </c>
      <c r="G22" s="489">
        <v>24</v>
      </c>
      <c r="H22" s="489">
        <v>587</v>
      </c>
      <c r="I22" s="489">
        <v>64730</v>
      </c>
    </row>
    <row r="23" spans="2:9">
      <c r="D23" s="27"/>
      <c r="F23" s="448"/>
      <c r="G23" s="1029" t="s">
        <v>53</v>
      </c>
      <c r="H23" s="1669" t="s">
        <v>1253</v>
      </c>
      <c r="I23" s="1670"/>
    </row>
    <row r="24" spans="2:9">
      <c r="B24" s="450"/>
      <c r="E24" s="410"/>
      <c r="F24" s="410"/>
      <c r="G24" s="1030"/>
      <c r="H24" s="1671"/>
      <c r="I24" s="1671"/>
    </row>
    <row r="25" spans="2:9">
      <c r="E25" s="560" t="s">
        <v>713</v>
      </c>
      <c r="F25" s="560"/>
    </row>
    <row r="26" spans="2:9">
      <c r="E26" s="560"/>
      <c r="F26" s="560"/>
      <c r="G26" s="560"/>
      <c r="H26" s="560"/>
      <c r="I26" s="588"/>
    </row>
    <row r="27" spans="2:9">
      <c r="E27" s="588"/>
      <c r="F27" s="588"/>
    </row>
    <row r="46" spans="3:9">
      <c r="E46" s="450"/>
    </row>
    <row r="48" spans="3:9">
      <c r="C48" s="450"/>
      <c r="D48" s="450"/>
      <c r="E48" s="450"/>
      <c r="F48" s="450"/>
      <c r="G48" s="450"/>
      <c r="H48" s="450"/>
      <c r="I48" s="450"/>
    </row>
  </sheetData>
  <mergeCells count="6">
    <mergeCell ref="H23:I24"/>
    <mergeCell ref="B2:I2"/>
    <mergeCell ref="B1:I1"/>
    <mergeCell ref="C3:C4"/>
    <mergeCell ref="D3:H3"/>
    <mergeCell ref="I3:I4"/>
  </mergeCells>
  <phoneticPr fontId="0" type="noConversion"/>
  <pageMargins left="0.1" right="0.1" top="0.7" bottom="0.16" header="0.23" footer="0.16"/>
  <pageSetup paperSize="9" orientation="landscape" blackAndWhite="1" horizontalDpi="4294967295" verticalDpi="180" r:id="rId1"/>
  <headerFooter alignWithMargins="0"/>
</worksheet>
</file>

<file path=xl/worksheets/sheet87.xml><?xml version="1.0" encoding="utf-8"?>
<worksheet xmlns="http://schemas.openxmlformats.org/spreadsheetml/2006/main" xmlns:r="http://schemas.openxmlformats.org/officeDocument/2006/relationships">
  <dimension ref="A1:G49"/>
  <sheetViews>
    <sheetView topLeftCell="A11" workbookViewId="0">
      <selection activeCell="E22" sqref="E22"/>
    </sheetView>
  </sheetViews>
  <sheetFormatPr defaultRowHeight="12.75"/>
  <cols>
    <col min="1" max="1" width="4.140625" style="405" customWidth="1"/>
    <col min="2" max="2" width="14.85546875" style="405" customWidth="1"/>
    <col min="3" max="3" width="17.85546875" style="405" customWidth="1"/>
    <col min="4" max="4" width="16.42578125" style="405" customWidth="1"/>
    <col min="5" max="5" width="33.7109375" style="405" customWidth="1"/>
    <col min="6" max="16384" width="9.140625" style="405"/>
  </cols>
  <sheetData>
    <row r="1" spans="1:7" ht="19.5" customHeight="1">
      <c r="A1" s="1623" t="s">
        <v>1599</v>
      </c>
      <c r="B1" s="1623"/>
      <c r="C1" s="1623"/>
      <c r="D1" s="1623"/>
      <c r="E1" s="1623"/>
    </row>
    <row r="2" spans="1:7" s="412" customFormat="1" ht="22.5" customHeight="1">
      <c r="A2" s="1672" t="str">
        <f>CONCATENATE("Commercial and Gramin Banks in the Blocks of ",District!$A$1," for the year ",District!C3)</f>
        <v>Commercial and Gramin Banks in the Blocks of Nadia for the year 2013-14</v>
      </c>
      <c r="B2" s="1672"/>
      <c r="C2" s="1672"/>
      <c r="D2" s="1672"/>
      <c r="E2" s="1672"/>
      <c r="F2" s="428"/>
      <c r="G2" s="428"/>
    </row>
    <row r="3" spans="1:7" ht="20.25" customHeight="1">
      <c r="A3" s="1262" t="s">
        <v>1589</v>
      </c>
      <c r="B3" s="1262" t="s">
        <v>1113</v>
      </c>
      <c r="C3" s="1253" t="s">
        <v>1221</v>
      </c>
      <c r="D3" s="1251"/>
      <c r="E3" s="204" t="s">
        <v>394</v>
      </c>
      <c r="F3" s="450"/>
      <c r="G3" s="450"/>
    </row>
    <row r="4" spans="1:7" ht="23.25" customHeight="1">
      <c r="A4" s="1263"/>
      <c r="B4" s="1263"/>
      <c r="C4" s="221" t="s">
        <v>149</v>
      </c>
      <c r="D4" s="45" t="s">
        <v>1222</v>
      </c>
      <c r="E4" s="129" t="s">
        <v>616</v>
      </c>
      <c r="F4" s="450"/>
      <c r="G4" s="450"/>
    </row>
    <row r="5" spans="1:7" ht="17.25" customHeight="1">
      <c r="A5" s="225" t="s">
        <v>163</v>
      </c>
      <c r="B5" s="224" t="s">
        <v>164</v>
      </c>
      <c r="C5" s="225" t="s">
        <v>165</v>
      </c>
      <c r="D5" s="299" t="s">
        <v>166</v>
      </c>
      <c r="E5" s="225" t="s">
        <v>167</v>
      </c>
      <c r="F5" s="589"/>
      <c r="G5" s="450"/>
    </row>
    <row r="6" spans="1:7" ht="30" customHeight="1">
      <c r="A6" s="108">
        <v>1</v>
      </c>
      <c r="B6" s="407" t="s">
        <v>1118</v>
      </c>
      <c r="C6" s="465">
        <v>5</v>
      </c>
      <c r="D6" s="494">
        <v>2</v>
      </c>
      <c r="E6" s="465">
        <v>31</v>
      </c>
      <c r="F6" s="487"/>
    </row>
    <row r="7" spans="1:7" ht="30" customHeight="1">
      <c r="A7" s="108">
        <v>2</v>
      </c>
      <c r="B7" s="408" t="s">
        <v>1119</v>
      </c>
      <c r="C7" s="463">
        <v>4</v>
      </c>
      <c r="D7" s="494">
        <v>5</v>
      </c>
      <c r="E7" s="463">
        <v>27</v>
      </c>
      <c r="F7" s="487"/>
    </row>
    <row r="8" spans="1:7" ht="30" customHeight="1">
      <c r="A8" s="108">
        <v>3</v>
      </c>
      <c r="B8" s="408" t="s">
        <v>1121</v>
      </c>
      <c r="C8" s="463">
        <v>7</v>
      </c>
      <c r="D8" s="494">
        <v>3</v>
      </c>
      <c r="E8" s="463">
        <v>27</v>
      </c>
      <c r="F8" s="487"/>
    </row>
    <row r="9" spans="1:7" ht="30" customHeight="1">
      <c r="A9" s="108">
        <v>4</v>
      </c>
      <c r="B9" s="408" t="s">
        <v>1120</v>
      </c>
      <c r="C9" s="463">
        <v>2</v>
      </c>
      <c r="D9" s="494">
        <v>4</v>
      </c>
      <c r="E9" s="463">
        <f>ROUND(VLOOKUP(B9,'2.2'!$B$5:$D$35,3,FALSE)/(C9+D9)/1000,0)</f>
        <v>25</v>
      </c>
      <c r="F9" s="487"/>
    </row>
    <row r="10" spans="1:7" ht="30" customHeight="1">
      <c r="A10" s="108">
        <v>5</v>
      </c>
      <c r="B10" s="408" t="s">
        <v>1122</v>
      </c>
      <c r="C10" s="463">
        <v>7</v>
      </c>
      <c r="D10" s="494">
        <v>6</v>
      </c>
      <c r="E10" s="463">
        <v>28</v>
      </c>
      <c r="F10" s="487"/>
    </row>
    <row r="11" spans="1:7" ht="30" customHeight="1">
      <c r="A11" s="108">
        <v>6</v>
      </c>
      <c r="B11" s="408" t="s">
        <v>1123</v>
      </c>
      <c r="C11" s="463">
        <v>7</v>
      </c>
      <c r="D11" s="494">
        <v>5</v>
      </c>
      <c r="E11" s="463">
        <f>ROUND(VLOOKUP(B11,'2.2'!$B$5:$D$35,3,FALSE)/(C11+D11)/1000,0)</f>
        <v>32</v>
      </c>
      <c r="F11" s="487"/>
    </row>
    <row r="12" spans="1:7" ht="30" customHeight="1">
      <c r="A12" s="108">
        <v>7</v>
      </c>
      <c r="B12" s="408" t="s">
        <v>1124</v>
      </c>
      <c r="C12" s="463">
        <v>8</v>
      </c>
      <c r="D12" s="494">
        <v>4</v>
      </c>
      <c r="E12" s="463">
        <f>ROUND(VLOOKUP(B12,'2.2'!$B$5:$D$35,3,FALSE)/(C12+D12)/1000,0)</f>
        <v>26</v>
      </c>
      <c r="F12" s="487"/>
    </row>
    <row r="13" spans="1:7" ht="30" customHeight="1">
      <c r="A13" s="108">
        <v>8</v>
      </c>
      <c r="B13" s="408" t="s">
        <v>1125</v>
      </c>
      <c r="C13" s="463">
        <v>4</v>
      </c>
      <c r="D13" s="494">
        <v>3</v>
      </c>
      <c r="E13" s="463">
        <v>24</v>
      </c>
      <c r="F13" s="487"/>
    </row>
    <row r="14" spans="1:7" ht="30" customHeight="1">
      <c r="A14" s="108">
        <v>9</v>
      </c>
      <c r="B14" s="408" t="s">
        <v>1126</v>
      </c>
      <c r="C14" s="463">
        <v>8</v>
      </c>
      <c r="D14" s="494">
        <v>6</v>
      </c>
      <c r="E14" s="463">
        <v>10</v>
      </c>
      <c r="F14" s="487"/>
    </row>
    <row r="15" spans="1:7" ht="30" customHeight="1">
      <c r="A15" s="108">
        <v>10</v>
      </c>
      <c r="B15" s="408" t="s">
        <v>1128</v>
      </c>
      <c r="C15" s="463">
        <v>4</v>
      </c>
      <c r="D15" s="494">
        <v>2</v>
      </c>
      <c r="E15" s="463">
        <v>28</v>
      </c>
      <c r="F15" s="487"/>
    </row>
    <row r="16" spans="1:7" ht="30" customHeight="1">
      <c r="A16" s="108">
        <v>11</v>
      </c>
      <c r="B16" s="408" t="s">
        <v>90</v>
      </c>
      <c r="C16" s="463">
        <v>7</v>
      </c>
      <c r="D16" s="494">
        <v>2</v>
      </c>
      <c r="E16" s="463">
        <v>8</v>
      </c>
      <c r="F16" s="487"/>
    </row>
    <row r="17" spans="1:6" ht="30" customHeight="1">
      <c r="A17" s="108">
        <v>12</v>
      </c>
      <c r="B17" s="408" t="s">
        <v>1131</v>
      </c>
      <c r="C17" s="463">
        <v>7</v>
      </c>
      <c r="D17" s="494">
        <v>5</v>
      </c>
      <c r="E17" s="463">
        <v>15</v>
      </c>
      <c r="F17" s="487"/>
    </row>
    <row r="18" spans="1:6" ht="30" customHeight="1">
      <c r="A18" s="108">
        <v>13</v>
      </c>
      <c r="B18" s="408" t="s">
        <v>1134</v>
      </c>
      <c r="C18" s="463">
        <v>11</v>
      </c>
      <c r="D18" s="494">
        <v>5</v>
      </c>
      <c r="E18" s="463">
        <v>21</v>
      </c>
      <c r="F18" s="487"/>
    </row>
    <row r="19" spans="1:6" ht="30" customHeight="1">
      <c r="A19" s="108">
        <v>14</v>
      </c>
      <c r="B19" s="408" t="s">
        <v>1623</v>
      </c>
      <c r="C19" s="463">
        <v>10</v>
      </c>
      <c r="D19" s="494">
        <v>1</v>
      </c>
      <c r="E19" s="463">
        <v>11</v>
      </c>
      <c r="F19" s="487"/>
    </row>
    <row r="20" spans="1:6" ht="30" customHeight="1">
      <c r="A20" s="108">
        <v>15</v>
      </c>
      <c r="B20" s="408" t="s">
        <v>714</v>
      </c>
      <c r="C20" s="463">
        <v>9</v>
      </c>
      <c r="D20" s="494">
        <v>5</v>
      </c>
      <c r="E20" s="463">
        <v>28</v>
      </c>
      <c r="F20" s="487"/>
    </row>
    <row r="21" spans="1:6" ht="30" customHeight="1">
      <c r="A21" s="108">
        <v>16</v>
      </c>
      <c r="B21" s="408" t="s">
        <v>769</v>
      </c>
      <c r="C21" s="463">
        <v>7</v>
      </c>
      <c r="D21" s="494">
        <v>5</v>
      </c>
      <c r="E21" s="463">
        <v>10</v>
      </c>
      <c r="F21" s="487"/>
    </row>
    <row r="22" spans="1:6" ht="30" customHeight="1">
      <c r="A22" s="129">
        <v>17</v>
      </c>
      <c r="B22" s="409" t="s">
        <v>772</v>
      </c>
      <c r="C22" s="468">
        <v>12</v>
      </c>
      <c r="D22" s="467">
        <v>2</v>
      </c>
      <c r="E22" s="468">
        <f>ROUND(VLOOKUP(B22,'2.2'!$B$5:$D$35,3,FALSE)/(C22+D22)/1000,0)</f>
        <v>17</v>
      </c>
      <c r="F22" s="487"/>
    </row>
    <row r="23" spans="1:6">
      <c r="A23" s="555" t="s">
        <v>617</v>
      </c>
      <c r="B23" s="410"/>
      <c r="E23" s="283" t="s">
        <v>389</v>
      </c>
      <c r="F23" s="471"/>
    </row>
    <row r="24" spans="1:6">
      <c r="A24" s="410"/>
      <c r="B24" s="410"/>
      <c r="C24" s="410"/>
      <c r="D24" s="410"/>
      <c r="E24" s="410"/>
    </row>
    <row r="25" spans="1:6">
      <c r="A25" s="410"/>
      <c r="B25" s="410"/>
      <c r="C25" s="410"/>
      <c r="D25" s="503"/>
      <c r="E25" s="410"/>
    </row>
    <row r="49" spans="1:2">
      <c r="A49" s="6"/>
      <c r="B49" s="6"/>
    </row>
  </sheetData>
  <mergeCells count="5">
    <mergeCell ref="A1:E1"/>
    <mergeCell ref="C3:D3"/>
    <mergeCell ref="A2:E2"/>
    <mergeCell ref="B3:B4"/>
    <mergeCell ref="A3:A4"/>
  </mergeCells>
  <phoneticPr fontId="0" type="noConversion"/>
  <printOptions horizontalCentered="1"/>
  <pageMargins left="0.1" right="0.1" top="1.03" bottom="0.1" header="0.44" footer="0.1"/>
  <pageSetup paperSize="9" orientation="portrait" blackAndWhite="1" horizontalDpi="4294967295" verticalDpi="180" r:id="rId1"/>
  <headerFooter alignWithMargins="0"/>
</worksheet>
</file>

<file path=xl/worksheets/sheet88.xml><?xml version="1.0" encoding="utf-8"?>
<worksheet xmlns="http://schemas.openxmlformats.org/spreadsheetml/2006/main" xmlns:r="http://schemas.openxmlformats.org/officeDocument/2006/relationships">
  <dimension ref="A2:E26"/>
  <sheetViews>
    <sheetView topLeftCell="A16" workbookViewId="0">
      <selection activeCell="I14" sqref="I14"/>
    </sheetView>
  </sheetViews>
  <sheetFormatPr defaultRowHeight="12.75"/>
  <cols>
    <col min="1" max="1" width="5.85546875" style="405" customWidth="1"/>
    <col min="2" max="2" width="17" style="405" customWidth="1"/>
    <col min="3" max="3" width="18.42578125" style="405" customWidth="1"/>
    <col min="4" max="4" width="13.42578125" style="405" customWidth="1"/>
    <col min="5" max="5" width="17.85546875" style="405" customWidth="1"/>
    <col min="6" max="16384" width="9.140625" style="405"/>
  </cols>
  <sheetData>
    <row r="2" spans="1:5" ht="17.25" customHeight="1">
      <c r="A2" s="1261" t="s">
        <v>496</v>
      </c>
      <c r="B2" s="1261"/>
      <c r="C2" s="1261"/>
      <c r="D2" s="1261"/>
      <c r="E2" s="1261"/>
    </row>
    <row r="3" spans="1:5" s="113" customFormat="1" ht="21.75" customHeight="1">
      <c r="A3" s="1524" t="str">
        <f>CONCATENATE("Co-operative Societies in the Blocks of ",District!$A$1," for the year ",District!C3)</f>
        <v>Co-operative Societies in the Blocks of Nadia for the year 2013-14</v>
      </c>
      <c r="B3" s="1524"/>
      <c r="C3" s="1524"/>
      <c r="D3" s="1524"/>
      <c r="E3" s="1524"/>
    </row>
    <row r="4" spans="1:5" ht="33" customHeight="1">
      <c r="A4" s="219" t="s">
        <v>858</v>
      </c>
      <c r="B4" s="219" t="s">
        <v>1602</v>
      </c>
      <c r="C4" s="219" t="s">
        <v>1431</v>
      </c>
      <c r="D4" s="219" t="s">
        <v>859</v>
      </c>
      <c r="E4" s="219" t="s">
        <v>76</v>
      </c>
    </row>
    <row r="5" spans="1:5" ht="18" customHeight="1">
      <c r="A5" s="299" t="s">
        <v>163</v>
      </c>
      <c r="B5" s="225" t="s">
        <v>164</v>
      </c>
      <c r="C5" s="225" t="s">
        <v>165</v>
      </c>
      <c r="D5" s="225" t="s">
        <v>166</v>
      </c>
      <c r="E5" s="225" t="s">
        <v>167</v>
      </c>
    </row>
    <row r="6" spans="1:5" ht="30" customHeight="1">
      <c r="A6" s="204">
        <v>1</v>
      </c>
      <c r="B6" s="407" t="s">
        <v>1118</v>
      </c>
      <c r="C6" s="46">
        <v>20</v>
      </c>
      <c r="D6" s="81">
        <v>12457</v>
      </c>
      <c r="E6" s="81">
        <v>118580</v>
      </c>
    </row>
    <row r="7" spans="1:5" ht="30" customHeight="1">
      <c r="A7" s="81">
        <v>2</v>
      </c>
      <c r="B7" s="408" t="s">
        <v>1119</v>
      </c>
      <c r="C7" s="46">
        <v>16</v>
      </c>
      <c r="D7" s="81">
        <v>9904</v>
      </c>
      <c r="E7" s="81">
        <v>20334</v>
      </c>
    </row>
    <row r="8" spans="1:5" ht="30" customHeight="1">
      <c r="A8" s="81">
        <v>3</v>
      </c>
      <c r="B8" s="408" t="s">
        <v>1121</v>
      </c>
      <c r="C8" s="46">
        <v>24</v>
      </c>
      <c r="D8" s="81">
        <v>29815</v>
      </c>
      <c r="E8" s="81">
        <v>294679</v>
      </c>
    </row>
    <row r="9" spans="1:5" ht="30" customHeight="1">
      <c r="A9" s="81">
        <v>4</v>
      </c>
      <c r="B9" s="408" t="s">
        <v>1120</v>
      </c>
      <c r="C9" s="46">
        <v>19</v>
      </c>
      <c r="D9" s="81">
        <v>24881</v>
      </c>
      <c r="E9" s="81">
        <v>45148</v>
      </c>
    </row>
    <row r="10" spans="1:5" ht="30" customHeight="1">
      <c r="A10" s="81">
        <v>5</v>
      </c>
      <c r="B10" s="408" t="s">
        <v>1122</v>
      </c>
      <c r="C10" s="46">
        <v>33</v>
      </c>
      <c r="D10" s="81">
        <v>20659</v>
      </c>
      <c r="E10" s="81">
        <v>174966</v>
      </c>
    </row>
    <row r="11" spans="1:5" ht="30" customHeight="1">
      <c r="A11" s="81">
        <v>6</v>
      </c>
      <c r="B11" s="408" t="s">
        <v>1123</v>
      </c>
      <c r="C11" s="46">
        <v>25</v>
      </c>
      <c r="D11" s="81">
        <v>24130</v>
      </c>
      <c r="E11" s="81">
        <v>265178</v>
      </c>
    </row>
    <row r="12" spans="1:5" ht="30" customHeight="1">
      <c r="A12" s="81">
        <v>7</v>
      </c>
      <c r="B12" s="408" t="s">
        <v>1124</v>
      </c>
      <c r="C12" s="46">
        <v>23</v>
      </c>
      <c r="D12" s="81">
        <v>17403</v>
      </c>
      <c r="E12" s="81">
        <v>144155</v>
      </c>
    </row>
    <row r="13" spans="1:5" ht="30" customHeight="1">
      <c r="A13" s="81">
        <v>8</v>
      </c>
      <c r="B13" s="408" t="s">
        <v>1125</v>
      </c>
      <c r="C13" s="46">
        <v>16</v>
      </c>
      <c r="D13" s="81">
        <v>8829</v>
      </c>
      <c r="E13" s="81">
        <v>167750</v>
      </c>
    </row>
    <row r="14" spans="1:5" ht="30" customHeight="1">
      <c r="A14" s="81">
        <v>9</v>
      </c>
      <c r="B14" s="408" t="s">
        <v>1126</v>
      </c>
      <c r="C14" s="46">
        <v>28</v>
      </c>
      <c r="D14" s="81">
        <v>20674</v>
      </c>
      <c r="E14" s="81">
        <v>765149</v>
      </c>
    </row>
    <row r="15" spans="1:5" ht="30" customHeight="1">
      <c r="A15" s="81">
        <v>10</v>
      </c>
      <c r="B15" s="408" t="s">
        <v>1128</v>
      </c>
      <c r="C15" s="46">
        <v>17</v>
      </c>
      <c r="D15" s="81">
        <v>10518</v>
      </c>
      <c r="E15" s="81">
        <v>281089</v>
      </c>
    </row>
    <row r="16" spans="1:5" ht="30" customHeight="1">
      <c r="A16" s="81">
        <v>11</v>
      </c>
      <c r="B16" s="408" t="s">
        <v>90</v>
      </c>
      <c r="C16" s="46">
        <v>11</v>
      </c>
      <c r="D16" s="81">
        <v>3104</v>
      </c>
      <c r="E16" s="81">
        <v>18063</v>
      </c>
    </row>
    <row r="17" spans="1:5" ht="30" customHeight="1">
      <c r="A17" s="81">
        <v>12</v>
      </c>
      <c r="B17" s="408" t="s">
        <v>1131</v>
      </c>
      <c r="C17" s="46">
        <v>21</v>
      </c>
      <c r="D17" s="81">
        <v>10609</v>
      </c>
      <c r="E17" s="81">
        <v>163472</v>
      </c>
    </row>
    <row r="18" spans="1:5" ht="30" customHeight="1">
      <c r="A18" s="81">
        <v>13</v>
      </c>
      <c r="B18" s="408" t="s">
        <v>1134</v>
      </c>
      <c r="C18" s="46">
        <v>21</v>
      </c>
      <c r="D18" s="81">
        <v>18043</v>
      </c>
      <c r="E18" s="81">
        <v>347149</v>
      </c>
    </row>
    <row r="19" spans="1:5" ht="30" customHeight="1">
      <c r="A19" s="81">
        <v>14</v>
      </c>
      <c r="B19" s="408" t="s">
        <v>1623</v>
      </c>
      <c r="C19" s="46">
        <v>18</v>
      </c>
      <c r="D19" s="81">
        <v>17014</v>
      </c>
      <c r="E19" s="81">
        <v>178354</v>
      </c>
    </row>
    <row r="20" spans="1:5" ht="30" customHeight="1">
      <c r="A20" s="81">
        <v>15</v>
      </c>
      <c r="B20" s="408" t="s">
        <v>714</v>
      </c>
      <c r="C20" s="46">
        <v>18</v>
      </c>
      <c r="D20" s="81">
        <v>18648</v>
      </c>
      <c r="E20" s="81">
        <v>178838</v>
      </c>
    </row>
    <row r="21" spans="1:5" ht="30" customHeight="1">
      <c r="A21" s="81">
        <v>16</v>
      </c>
      <c r="B21" s="408" t="s">
        <v>769</v>
      </c>
      <c r="C21" s="46">
        <v>26</v>
      </c>
      <c r="D21" s="81">
        <v>15771</v>
      </c>
      <c r="E21" s="81">
        <v>304685</v>
      </c>
    </row>
    <row r="22" spans="1:5" ht="30" customHeight="1">
      <c r="A22" s="129">
        <v>17</v>
      </c>
      <c r="B22" s="409" t="s">
        <v>772</v>
      </c>
      <c r="C22" s="94">
        <v>13</v>
      </c>
      <c r="D22" s="129">
        <v>31019</v>
      </c>
      <c r="E22" s="129">
        <v>595464</v>
      </c>
    </row>
    <row r="23" spans="1:5">
      <c r="A23" s="161"/>
      <c r="B23" s="161"/>
      <c r="C23" s="410"/>
      <c r="D23" s="410"/>
      <c r="E23" s="283" t="s">
        <v>1395</v>
      </c>
    </row>
    <row r="24" spans="1:5">
      <c r="B24" s="498"/>
    </row>
    <row r="25" spans="1:5">
      <c r="B25" s="498"/>
    </row>
    <row r="26" spans="1:5" ht="14.25">
      <c r="B26" s="1023"/>
    </row>
  </sheetData>
  <mergeCells count="2">
    <mergeCell ref="A2:E2"/>
    <mergeCell ref="A3:E3"/>
  </mergeCells>
  <phoneticPr fontId="0" type="noConversion"/>
  <printOptions horizontalCentered="1"/>
  <pageMargins left="0.1" right="0.1" top="1" bottom="0.1" header="0.5" footer="0.5"/>
  <pageSetup paperSize="9" orientation="portrait" blackAndWhite="1" horizontalDpi="4294967295" verticalDpi="300" r:id="rId1"/>
  <headerFooter alignWithMargins="0"/>
</worksheet>
</file>

<file path=xl/worksheets/sheet89.xml><?xml version="1.0" encoding="utf-8"?>
<worksheet xmlns="http://schemas.openxmlformats.org/spreadsheetml/2006/main" xmlns:r="http://schemas.openxmlformats.org/officeDocument/2006/relationships">
  <dimension ref="B1:K33"/>
  <sheetViews>
    <sheetView workbookViewId="0">
      <selection activeCell="I14" sqref="I14"/>
    </sheetView>
  </sheetViews>
  <sheetFormatPr defaultRowHeight="12.75"/>
  <cols>
    <col min="1" max="1" width="12.140625" customWidth="1"/>
    <col min="2" max="2" width="4.42578125" customWidth="1"/>
    <col min="3" max="3" width="21" customWidth="1"/>
    <col min="4" max="11" width="12.28515625" customWidth="1"/>
  </cols>
  <sheetData>
    <row r="1" spans="2:11" ht="15.75" customHeight="1">
      <c r="B1" s="1673" t="s">
        <v>1600</v>
      </c>
      <c r="C1" s="1673"/>
      <c r="D1" s="1673"/>
      <c r="E1" s="1673"/>
      <c r="F1" s="1673"/>
      <c r="G1" s="1673"/>
      <c r="H1" s="1673"/>
      <c r="I1" s="1673"/>
      <c r="J1" s="1673"/>
      <c r="K1" s="1673"/>
    </row>
    <row r="2" spans="2:11" ht="17.25" customHeight="1">
      <c r="B2" s="1674" t="str">
        <f>CONCATENATE("Length of Roads maintained by different agencies in the Blocks of ",District!$A$1," for the year ",District!C3)</f>
        <v>Length of Roads maintained by different agencies in the Blocks of Nadia for the year 2013-14</v>
      </c>
      <c r="C2" s="1674"/>
      <c r="D2" s="1674"/>
      <c r="E2" s="1674"/>
      <c r="F2" s="1674"/>
      <c r="G2" s="1674"/>
      <c r="H2" s="1674"/>
      <c r="I2" s="1674"/>
      <c r="J2" s="1674"/>
      <c r="K2" s="1674"/>
    </row>
    <row r="3" spans="2:11" ht="13.5" customHeight="1">
      <c r="B3" s="105"/>
      <c r="C3" s="156"/>
      <c r="D3" s="156"/>
      <c r="E3" s="156"/>
      <c r="F3" s="156"/>
      <c r="G3" s="156"/>
      <c r="H3" s="156"/>
      <c r="K3" s="157" t="s">
        <v>1140</v>
      </c>
    </row>
    <row r="4" spans="2:11" ht="27.75" customHeight="1">
      <c r="B4" s="1677" t="s">
        <v>858</v>
      </c>
      <c r="C4" s="1677" t="s">
        <v>1602</v>
      </c>
      <c r="D4" s="1679" t="s">
        <v>853</v>
      </c>
      <c r="E4" s="1680"/>
      <c r="F4" s="1683" t="s">
        <v>435</v>
      </c>
      <c r="G4" s="1682"/>
      <c r="H4" s="1681" t="s">
        <v>436</v>
      </c>
      <c r="I4" s="1682"/>
      <c r="J4" s="1675" t="s">
        <v>1062</v>
      </c>
      <c r="K4" s="1676"/>
    </row>
    <row r="5" spans="2:11" ht="15.75" customHeight="1">
      <c r="B5" s="1263"/>
      <c r="C5" s="1678"/>
      <c r="D5" s="78" t="s">
        <v>152</v>
      </c>
      <c r="E5" s="70" t="s">
        <v>1239</v>
      </c>
      <c r="F5" s="78" t="s">
        <v>152</v>
      </c>
      <c r="G5" s="70" t="s">
        <v>1239</v>
      </c>
      <c r="H5" s="70" t="s">
        <v>152</v>
      </c>
      <c r="I5" s="70" t="s">
        <v>1239</v>
      </c>
      <c r="J5" s="254" t="s">
        <v>152</v>
      </c>
      <c r="K5" s="254" t="s">
        <v>1239</v>
      </c>
    </row>
    <row r="6" spans="2:11" ht="15" customHeight="1">
      <c r="B6" s="71" t="s">
        <v>163</v>
      </c>
      <c r="C6" s="74" t="s">
        <v>164</v>
      </c>
      <c r="D6" s="74" t="s">
        <v>165</v>
      </c>
      <c r="E6" s="74" t="s">
        <v>166</v>
      </c>
      <c r="F6" s="74" t="s">
        <v>167</v>
      </c>
      <c r="G6" s="74" t="s">
        <v>168</v>
      </c>
      <c r="H6" s="72" t="s">
        <v>169</v>
      </c>
      <c r="I6" s="72" t="s">
        <v>211</v>
      </c>
      <c r="J6" s="32" t="s">
        <v>212</v>
      </c>
      <c r="K6" s="32" t="s">
        <v>213</v>
      </c>
    </row>
    <row r="7" spans="2:11" ht="21" customHeight="1">
      <c r="B7" s="154">
        <v>1</v>
      </c>
      <c r="C7" s="133" t="s">
        <v>1118</v>
      </c>
      <c r="D7" s="149">
        <v>37.26</v>
      </c>
      <c r="E7" s="115" t="s">
        <v>643</v>
      </c>
      <c r="F7" s="152">
        <v>70.150000000000006</v>
      </c>
      <c r="G7" s="115" t="s">
        <v>643</v>
      </c>
      <c r="H7" s="152">
        <v>265</v>
      </c>
      <c r="I7" s="148">
        <v>125</v>
      </c>
      <c r="J7" s="152">
        <v>86.95</v>
      </c>
      <c r="K7" s="204" t="s">
        <v>643</v>
      </c>
    </row>
    <row r="8" spans="2:11" ht="21" customHeight="1">
      <c r="B8" s="154">
        <v>2</v>
      </c>
      <c r="C8" s="133" t="s">
        <v>1119</v>
      </c>
      <c r="D8" s="149">
        <v>29.19</v>
      </c>
      <c r="E8" s="115" t="s">
        <v>643</v>
      </c>
      <c r="F8" s="149">
        <v>61.83</v>
      </c>
      <c r="G8" s="115" t="s">
        <v>643</v>
      </c>
      <c r="H8" s="149">
        <v>215.27</v>
      </c>
      <c r="I8" s="42">
        <v>255.24</v>
      </c>
      <c r="J8" s="149">
        <v>31.45</v>
      </c>
      <c r="K8" s="81" t="s">
        <v>643</v>
      </c>
    </row>
    <row r="9" spans="2:11" ht="21" customHeight="1">
      <c r="B9" s="154">
        <v>3</v>
      </c>
      <c r="C9" s="133" t="s">
        <v>1121</v>
      </c>
      <c r="D9" s="149">
        <v>82.22</v>
      </c>
      <c r="E9" s="115" t="s">
        <v>643</v>
      </c>
      <c r="F9" s="149">
        <v>57</v>
      </c>
      <c r="G9" s="115" t="s">
        <v>643</v>
      </c>
      <c r="H9" s="149">
        <v>95.75</v>
      </c>
      <c r="I9" s="42">
        <v>117.88</v>
      </c>
      <c r="J9" s="149">
        <v>56.2</v>
      </c>
      <c r="K9" s="81" t="s">
        <v>643</v>
      </c>
    </row>
    <row r="10" spans="2:11" ht="21" customHeight="1">
      <c r="B10" s="154">
        <v>4</v>
      </c>
      <c r="C10" s="133" t="s">
        <v>1120</v>
      </c>
      <c r="D10" s="149">
        <v>38.79</v>
      </c>
      <c r="E10" s="115" t="s">
        <v>643</v>
      </c>
      <c r="F10" s="149">
        <v>44</v>
      </c>
      <c r="G10" s="115" t="s">
        <v>643</v>
      </c>
      <c r="H10" s="149">
        <v>158.09</v>
      </c>
      <c r="I10" s="42">
        <v>127.25</v>
      </c>
      <c r="J10" s="149">
        <v>48.01</v>
      </c>
      <c r="K10" s="81" t="s">
        <v>643</v>
      </c>
    </row>
    <row r="11" spans="2:11" ht="21" customHeight="1">
      <c r="B11" s="154">
        <v>5</v>
      </c>
      <c r="C11" s="133" t="s">
        <v>1122</v>
      </c>
      <c r="D11" s="149">
        <v>65.39</v>
      </c>
      <c r="E11" s="115" t="s">
        <v>643</v>
      </c>
      <c r="F11" s="149">
        <v>115</v>
      </c>
      <c r="G11" s="115" t="s">
        <v>643</v>
      </c>
      <c r="H11" s="149">
        <v>245.01</v>
      </c>
      <c r="I11" s="42">
        <v>63.21</v>
      </c>
      <c r="J11" s="149">
        <v>112.44</v>
      </c>
      <c r="K11" s="81" t="s">
        <v>643</v>
      </c>
    </row>
    <row r="12" spans="2:11" ht="21" customHeight="1">
      <c r="B12" s="154">
        <v>6</v>
      </c>
      <c r="C12" s="133" t="s">
        <v>1123</v>
      </c>
      <c r="D12" s="149">
        <v>55.78</v>
      </c>
      <c r="E12" s="115" t="s">
        <v>643</v>
      </c>
      <c r="F12" s="149">
        <v>70</v>
      </c>
      <c r="G12" s="115" t="s">
        <v>643</v>
      </c>
      <c r="H12" s="149">
        <v>114.2</v>
      </c>
      <c r="I12" s="42">
        <v>129.5</v>
      </c>
      <c r="J12" s="149">
        <v>59.32</v>
      </c>
      <c r="K12" s="81" t="s">
        <v>643</v>
      </c>
    </row>
    <row r="13" spans="2:11" ht="21" customHeight="1">
      <c r="B13" s="154">
        <v>7</v>
      </c>
      <c r="C13" s="133" t="s">
        <v>1124</v>
      </c>
      <c r="D13" s="149">
        <v>52.63</v>
      </c>
      <c r="E13" s="115" t="s">
        <v>643</v>
      </c>
      <c r="F13" s="149">
        <v>69</v>
      </c>
      <c r="G13" s="115" t="s">
        <v>643</v>
      </c>
      <c r="H13" s="149">
        <v>145</v>
      </c>
      <c r="I13" s="42">
        <v>142</v>
      </c>
      <c r="J13" s="149">
        <v>89.42</v>
      </c>
      <c r="K13" s="81" t="s">
        <v>643</v>
      </c>
    </row>
    <row r="14" spans="2:11" ht="21" customHeight="1">
      <c r="B14" s="154">
        <v>8</v>
      </c>
      <c r="C14" s="133" t="s">
        <v>1125</v>
      </c>
      <c r="D14" s="149">
        <v>58.91</v>
      </c>
      <c r="E14" s="115" t="s">
        <v>643</v>
      </c>
      <c r="F14" s="149">
        <v>42.05</v>
      </c>
      <c r="G14" s="115" t="s">
        <v>643</v>
      </c>
      <c r="H14" s="149">
        <v>119.25</v>
      </c>
      <c r="I14" s="42">
        <v>112.21</v>
      </c>
      <c r="J14" s="149">
        <v>42.31</v>
      </c>
      <c r="K14" s="81" t="s">
        <v>643</v>
      </c>
    </row>
    <row r="15" spans="2:11" ht="21" customHeight="1">
      <c r="B15" s="154">
        <v>9</v>
      </c>
      <c r="C15" s="133" t="s">
        <v>1126</v>
      </c>
      <c r="D15" s="149">
        <v>59.78</v>
      </c>
      <c r="E15" s="118" t="s">
        <v>643</v>
      </c>
      <c r="F15" s="149">
        <v>64</v>
      </c>
      <c r="G15" s="118" t="s">
        <v>643</v>
      </c>
      <c r="H15" s="1001">
        <v>273.64999999999998</v>
      </c>
      <c r="I15" s="42">
        <v>29.2</v>
      </c>
      <c r="J15" s="149">
        <v>100.03</v>
      </c>
      <c r="K15" s="81" t="s">
        <v>643</v>
      </c>
    </row>
    <row r="16" spans="2:11" ht="21" customHeight="1">
      <c r="B16" s="154">
        <v>10</v>
      </c>
      <c r="C16" s="133" t="s">
        <v>1128</v>
      </c>
      <c r="D16" s="149">
        <v>14.3</v>
      </c>
      <c r="E16" s="115" t="s">
        <v>643</v>
      </c>
      <c r="F16" s="149">
        <v>60.5</v>
      </c>
      <c r="G16" s="115" t="s">
        <v>643</v>
      </c>
      <c r="H16" s="149">
        <v>117</v>
      </c>
      <c r="I16" s="42">
        <v>59</v>
      </c>
      <c r="J16" s="149">
        <v>63.88</v>
      </c>
      <c r="K16" s="81" t="s">
        <v>643</v>
      </c>
    </row>
    <row r="17" spans="2:11" ht="21" customHeight="1">
      <c r="B17" s="154">
        <v>11</v>
      </c>
      <c r="C17" s="133" t="s">
        <v>90</v>
      </c>
      <c r="D17" s="149">
        <v>28.62</v>
      </c>
      <c r="E17" s="115" t="s">
        <v>643</v>
      </c>
      <c r="F17" s="149">
        <v>30.35</v>
      </c>
      <c r="G17" s="115" t="s">
        <v>643</v>
      </c>
      <c r="H17" s="149">
        <v>55.49</v>
      </c>
      <c r="I17" s="42">
        <v>160.22999999999999</v>
      </c>
      <c r="J17" s="149">
        <v>30.66</v>
      </c>
      <c r="K17" s="81" t="s">
        <v>643</v>
      </c>
    </row>
    <row r="18" spans="2:11" ht="21" customHeight="1">
      <c r="B18" s="154">
        <v>12</v>
      </c>
      <c r="C18" s="133" t="s">
        <v>1131</v>
      </c>
      <c r="D18" s="149">
        <v>42.24</v>
      </c>
      <c r="E18" s="115" t="s">
        <v>643</v>
      </c>
      <c r="F18" s="149">
        <v>71.05</v>
      </c>
      <c r="G18" s="115" t="s">
        <v>643</v>
      </c>
      <c r="H18" s="149">
        <v>124.1</v>
      </c>
      <c r="I18" s="42">
        <v>73.349999999999994</v>
      </c>
      <c r="J18" s="149">
        <v>131.05000000000001</v>
      </c>
      <c r="K18" s="81" t="s">
        <v>643</v>
      </c>
    </row>
    <row r="19" spans="2:11" ht="21" customHeight="1">
      <c r="B19" s="154">
        <v>13</v>
      </c>
      <c r="C19" s="133" t="s">
        <v>1134</v>
      </c>
      <c r="D19" s="149">
        <v>51.94</v>
      </c>
      <c r="E19" s="115" t="s">
        <v>643</v>
      </c>
      <c r="F19" s="149">
        <v>66.430000000000007</v>
      </c>
      <c r="G19" s="115" t="s">
        <v>643</v>
      </c>
      <c r="H19" s="149">
        <v>290</v>
      </c>
      <c r="I19" s="42">
        <v>185</v>
      </c>
      <c r="J19" s="149">
        <v>69.22</v>
      </c>
      <c r="K19" s="81" t="s">
        <v>643</v>
      </c>
    </row>
    <row r="20" spans="2:11" ht="21" customHeight="1">
      <c r="B20" s="154">
        <v>14</v>
      </c>
      <c r="C20" s="133" t="s">
        <v>1623</v>
      </c>
      <c r="D20" s="149">
        <v>57.14</v>
      </c>
      <c r="E20" s="115" t="s">
        <v>643</v>
      </c>
      <c r="F20" s="149">
        <v>59.5</v>
      </c>
      <c r="G20" s="115" t="s">
        <v>643</v>
      </c>
      <c r="H20" s="149">
        <v>70.5</v>
      </c>
      <c r="I20" s="42">
        <v>45.5</v>
      </c>
      <c r="J20" s="1001">
        <v>27.51</v>
      </c>
      <c r="K20" s="81" t="s">
        <v>643</v>
      </c>
    </row>
    <row r="21" spans="2:11" ht="21" customHeight="1">
      <c r="B21" s="154">
        <v>15</v>
      </c>
      <c r="C21" s="133" t="s">
        <v>714</v>
      </c>
      <c r="D21" s="149">
        <v>60.65</v>
      </c>
      <c r="E21" s="115" t="s">
        <v>643</v>
      </c>
      <c r="F21" s="149">
        <v>53.25</v>
      </c>
      <c r="G21" s="115" t="s">
        <v>643</v>
      </c>
      <c r="H21" s="149">
        <v>295.7</v>
      </c>
      <c r="I21" s="42">
        <v>195.19</v>
      </c>
      <c r="J21" s="149">
        <v>82</v>
      </c>
      <c r="K21" s="81" t="s">
        <v>643</v>
      </c>
    </row>
    <row r="22" spans="2:11" ht="21" customHeight="1">
      <c r="B22" s="154">
        <v>16</v>
      </c>
      <c r="C22" s="133" t="s">
        <v>769</v>
      </c>
      <c r="D22" s="149">
        <v>77.8</v>
      </c>
      <c r="E22" s="115" t="s">
        <v>643</v>
      </c>
      <c r="F22" s="149">
        <v>63.9</v>
      </c>
      <c r="G22" s="115" t="s">
        <v>643</v>
      </c>
      <c r="H22" s="149">
        <v>335.15</v>
      </c>
      <c r="I22" s="42">
        <v>137</v>
      </c>
      <c r="J22" s="149">
        <v>74.86</v>
      </c>
      <c r="K22" s="81" t="s">
        <v>643</v>
      </c>
    </row>
    <row r="23" spans="2:11" ht="21" customHeight="1">
      <c r="B23" s="220">
        <v>17</v>
      </c>
      <c r="C23" s="136" t="s">
        <v>772</v>
      </c>
      <c r="D23" s="144">
        <v>39.46</v>
      </c>
      <c r="E23" s="116" t="s">
        <v>643</v>
      </c>
      <c r="F23" s="144">
        <v>71.06</v>
      </c>
      <c r="G23" s="116" t="s">
        <v>643</v>
      </c>
      <c r="H23" s="144">
        <v>137.85</v>
      </c>
      <c r="I23" s="43">
        <v>162.25</v>
      </c>
      <c r="J23" s="144">
        <v>95.92</v>
      </c>
      <c r="K23" s="129" t="s">
        <v>643</v>
      </c>
    </row>
    <row r="24" spans="2:11">
      <c r="B24" s="162"/>
      <c r="C24" s="162"/>
      <c r="D24" s="162"/>
      <c r="E24" s="162"/>
      <c r="H24" s="263" t="s">
        <v>324</v>
      </c>
      <c r="I24" s="203" t="s">
        <v>1017</v>
      </c>
    </row>
    <row r="25" spans="2:11">
      <c r="B25" s="162"/>
      <c r="C25" s="162"/>
      <c r="D25" s="162"/>
      <c r="E25" s="162"/>
      <c r="H25" s="203"/>
      <c r="I25" s="203" t="s">
        <v>1483</v>
      </c>
    </row>
    <row r="26" spans="2:11">
      <c r="B26" s="106"/>
      <c r="C26" s="106"/>
      <c r="D26" s="106"/>
      <c r="E26" s="106"/>
      <c r="H26" s="203"/>
      <c r="I26" s="203" t="s">
        <v>1018</v>
      </c>
    </row>
    <row r="27" spans="2:11">
      <c r="B27" s="105"/>
      <c r="C27" s="105"/>
      <c r="D27" s="105"/>
      <c r="E27" s="105"/>
      <c r="F27" s="117"/>
      <c r="G27" s="117"/>
    </row>
    <row r="29" spans="2:11" ht="14.25" customHeight="1">
      <c r="B29" s="123"/>
      <c r="C29" s="123"/>
      <c r="D29" s="123"/>
      <c r="E29" s="123"/>
      <c r="F29" s="123"/>
      <c r="G29" s="123"/>
      <c r="H29" s="123"/>
      <c r="I29" s="123"/>
    </row>
    <row r="30" spans="2:11" ht="15" customHeight="1"/>
    <row r="33" spans="7:7">
      <c r="G33" s="107"/>
    </row>
  </sheetData>
  <mergeCells count="8">
    <mergeCell ref="B1:K1"/>
    <mergeCell ref="B2:K2"/>
    <mergeCell ref="J4:K4"/>
    <mergeCell ref="B4:B5"/>
    <mergeCell ref="C4:C5"/>
    <mergeCell ref="D4:E4"/>
    <mergeCell ref="H4:I4"/>
    <mergeCell ref="F4:G4"/>
  </mergeCells>
  <phoneticPr fontId="0" type="noConversion"/>
  <pageMargins left="0.1" right="0.1" top="0.84" bottom="0.1" header="0.84" footer="0.1"/>
  <pageSetup paperSize="9" orientation="landscape" blackAndWhite="1" horizontalDpi="4294967295" verticalDpi="180" r:id="rId1"/>
  <headerFooter alignWithMargins="0"/>
</worksheet>
</file>

<file path=xl/worksheets/sheet9.xml><?xml version="1.0" encoding="utf-8"?>
<worksheet xmlns="http://schemas.openxmlformats.org/spreadsheetml/2006/main" xmlns:r="http://schemas.openxmlformats.org/officeDocument/2006/relationships">
  <sheetPr codeName="Sheet7"/>
  <dimension ref="A1:R44"/>
  <sheetViews>
    <sheetView workbookViewId="0">
      <selection activeCell="F41" sqref="F41"/>
    </sheetView>
  </sheetViews>
  <sheetFormatPr defaultRowHeight="12.75"/>
  <cols>
    <col min="1" max="1" width="14" style="9" customWidth="1"/>
    <col min="2" max="2" width="16.42578125" style="9" customWidth="1"/>
    <col min="3" max="3" width="17.28515625" style="9" customWidth="1"/>
    <col min="4" max="4" width="6.5703125" style="9" customWidth="1"/>
    <col min="5" max="5" width="5.85546875" style="9" customWidth="1"/>
    <col min="6" max="6" width="7" style="9" customWidth="1"/>
    <col min="7" max="7" width="7.28515625" style="9" customWidth="1"/>
    <col min="8" max="8" width="6.85546875" style="9" customWidth="1"/>
    <col min="9" max="9" width="7.7109375" style="9" customWidth="1"/>
    <col min="10" max="10" width="4.42578125" style="9" customWidth="1"/>
    <col min="11" max="11" width="6.28515625" style="9" customWidth="1"/>
    <col min="12" max="12" width="4.85546875" style="9" customWidth="1"/>
    <col min="13" max="14" width="5.7109375" style="9" customWidth="1"/>
    <col min="15" max="15" width="5.85546875" style="9" customWidth="1"/>
    <col min="16" max="16" width="7" style="9" customWidth="1"/>
    <col min="17" max="17" width="6.140625" style="9" customWidth="1"/>
    <col min="18" max="18" width="7" style="9" customWidth="1"/>
    <col min="19" max="16384" width="9.140625" style="9"/>
  </cols>
  <sheetData>
    <row r="1" spans="1:18" ht="14.25" customHeight="1">
      <c r="A1" s="1250" t="s">
        <v>499</v>
      </c>
      <c r="B1" s="1250"/>
      <c r="C1" s="1250"/>
      <c r="D1" s="1250"/>
      <c r="E1" s="1250"/>
      <c r="F1" s="1250"/>
      <c r="G1" s="1250"/>
      <c r="H1" s="1250"/>
      <c r="I1" s="1250"/>
      <c r="J1" s="1250"/>
      <c r="K1" s="1250"/>
      <c r="L1" s="1250"/>
      <c r="M1" s="1250"/>
      <c r="N1" s="1250"/>
      <c r="O1" s="1250"/>
      <c r="P1" s="1250"/>
      <c r="Q1" s="1250"/>
      <c r="R1" s="1250"/>
    </row>
    <row r="2" spans="1:18" ht="14.25" customHeight="1">
      <c r="A2" s="1267" t="str">
        <f>"Administrative Units in the district of Nadia for the year " &amp; District!C2</f>
        <v>Administrative Units in the district of Nadia for the year 2014</v>
      </c>
      <c r="B2" s="1267"/>
      <c r="C2" s="1267"/>
      <c r="D2" s="1267"/>
      <c r="E2" s="1267"/>
      <c r="F2" s="1267"/>
      <c r="G2" s="1267"/>
      <c r="H2" s="1267"/>
      <c r="I2" s="1267"/>
      <c r="J2" s="1267"/>
      <c r="K2" s="1267"/>
      <c r="L2" s="1267"/>
      <c r="M2" s="1267"/>
      <c r="N2" s="1267"/>
      <c r="O2" s="1267"/>
      <c r="P2" s="1267"/>
      <c r="Q2" s="1267"/>
      <c r="R2" s="1267"/>
    </row>
    <row r="3" spans="1:18" ht="11.25" customHeight="1">
      <c r="B3" s="10"/>
      <c r="C3" s="10"/>
      <c r="D3" s="10"/>
      <c r="E3" s="10"/>
      <c r="G3" s="1289"/>
      <c r="H3" s="1289"/>
      <c r="I3" s="1289"/>
      <c r="J3" s="1289"/>
      <c r="K3" s="11"/>
      <c r="L3" s="11"/>
      <c r="R3" s="780" t="s">
        <v>223</v>
      </c>
    </row>
    <row r="4" spans="1:18" s="12" customFormat="1" ht="12" customHeight="1">
      <c r="A4" s="1275" t="s">
        <v>1019</v>
      </c>
      <c r="B4" s="1262" t="s">
        <v>862</v>
      </c>
      <c r="C4" s="1278" t="s">
        <v>1472</v>
      </c>
      <c r="D4" s="1251" t="s">
        <v>219</v>
      </c>
      <c r="E4" s="1251"/>
      <c r="F4" s="1252"/>
      <c r="G4" s="1268" t="s">
        <v>774</v>
      </c>
      <c r="H4" s="1291" t="s">
        <v>112</v>
      </c>
      <c r="I4" s="1278" t="s">
        <v>101</v>
      </c>
      <c r="J4" s="1251" t="s">
        <v>224</v>
      </c>
      <c r="K4" s="1251"/>
      <c r="L4" s="1251"/>
      <c r="M4" s="1251"/>
      <c r="N4" s="1251"/>
      <c r="O4" s="1251"/>
      <c r="P4" s="1251"/>
      <c r="Q4" s="1251"/>
      <c r="R4" s="1252"/>
    </row>
    <row r="5" spans="1:18" s="12" customFormat="1" ht="26.25" customHeight="1">
      <c r="A5" s="1276"/>
      <c r="B5" s="1270"/>
      <c r="C5" s="1279"/>
      <c r="D5" s="1257" t="s">
        <v>220</v>
      </c>
      <c r="E5" s="1257" t="s">
        <v>221</v>
      </c>
      <c r="F5" s="1278" t="s">
        <v>116</v>
      </c>
      <c r="G5" s="1290"/>
      <c r="H5" s="1292"/>
      <c r="I5" s="1280"/>
      <c r="J5" s="1293" t="s">
        <v>866</v>
      </c>
      <c r="K5" s="1294"/>
      <c r="L5" s="1251" t="s">
        <v>114</v>
      </c>
      <c r="M5" s="1252"/>
      <c r="N5" s="1253" t="s">
        <v>227</v>
      </c>
      <c r="O5" s="1252"/>
      <c r="P5" s="233" t="s">
        <v>228</v>
      </c>
      <c r="Q5" s="233" t="s">
        <v>1396</v>
      </c>
      <c r="R5" s="1262" t="s">
        <v>210</v>
      </c>
    </row>
    <row r="6" spans="1:18" s="12" customFormat="1" ht="12" customHeight="1">
      <c r="A6" s="1277"/>
      <c r="B6" s="1258"/>
      <c r="C6" s="1280"/>
      <c r="D6" s="1258"/>
      <c r="E6" s="1258"/>
      <c r="F6" s="1280"/>
      <c r="G6" s="781" t="s">
        <v>222</v>
      </c>
      <c r="H6" s="176" t="s">
        <v>191</v>
      </c>
      <c r="I6" s="354" t="s">
        <v>191</v>
      </c>
      <c r="J6" s="204" t="s">
        <v>225</v>
      </c>
      <c r="K6" s="204" t="s">
        <v>226</v>
      </c>
      <c r="L6" s="204" t="s">
        <v>225</v>
      </c>
      <c r="M6" s="204" t="s">
        <v>226</v>
      </c>
      <c r="N6" s="204" t="s">
        <v>225</v>
      </c>
      <c r="O6" s="204" t="s">
        <v>226</v>
      </c>
      <c r="P6" s="176" t="s">
        <v>191</v>
      </c>
      <c r="Q6" s="354" t="s">
        <v>191</v>
      </c>
      <c r="R6" s="1258"/>
    </row>
    <row r="7" spans="1:18" ht="13.5" customHeight="1">
      <c r="A7" s="225" t="s">
        <v>163</v>
      </c>
      <c r="B7" s="225" t="s">
        <v>164</v>
      </c>
      <c r="C7" s="224" t="s">
        <v>165</v>
      </c>
      <c r="D7" s="225" t="s">
        <v>166</v>
      </c>
      <c r="E7" s="225" t="s">
        <v>167</v>
      </c>
      <c r="F7" s="224" t="s">
        <v>168</v>
      </c>
      <c r="G7" s="226" t="s">
        <v>169</v>
      </c>
      <c r="H7" s="225" t="s">
        <v>211</v>
      </c>
      <c r="I7" s="224" t="s">
        <v>212</v>
      </c>
      <c r="J7" s="225" t="s">
        <v>213</v>
      </c>
      <c r="K7" s="225" t="s">
        <v>214</v>
      </c>
      <c r="L7" s="225" t="s">
        <v>253</v>
      </c>
      <c r="M7" s="225" t="s">
        <v>254</v>
      </c>
      <c r="N7" s="225" t="s">
        <v>255</v>
      </c>
      <c r="O7" s="225" t="s">
        <v>256</v>
      </c>
      <c r="P7" s="225" t="s">
        <v>257</v>
      </c>
      <c r="Q7" s="225" t="s">
        <v>262</v>
      </c>
      <c r="R7" s="225" t="s">
        <v>264</v>
      </c>
    </row>
    <row r="8" spans="1:18" ht="12.75" customHeight="1">
      <c r="A8" s="1281" t="s">
        <v>1370</v>
      </c>
      <c r="B8" s="782">
        <v>5</v>
      </c>
      <c r="C8" s="783" t="s">
        <v>1639</v>
      </c>
      <c r="D8" s="193">
        <f>SUM(D9:D12)</f>
        <v>4</v>
      </c>
      <c r="E8" s="20">
        <f t="shared" ref="E8:R8" si="0">SUM(E9:E12)</f>
        <v>36</v>
      </c>
      <c r="F8" s="193">
        <f t="shared" si="0"/>
        <v>602</v>
      </c>
      <c r="G8" s="21">
        <f t="shared" si="0"/>
        <v>240</v>
      </c>
      <c r="H8" s="118">
        <f t="shared" si="0"/>
        <v>217</v>
      </c>
      <c r="I8" s="44">
        <f t="shared" si="0"/>
        <v>201139</v>
      </c>
      <c r="J8" s="118" t="str">
        <f t="shared" ref="J8:O8" si="1">IF(SUM(J9:J12)=0,"-",SUM(J9:J12))</f>
        <v>-</v>
      </c>
      <c r="K8" s="118" t="str">
        <f t="shared" si="1"/>
        <v>-</v>
      </c>
      <c r="L8" s="118" t="str">
        <f t="shared" si="1"/>
        <v>-</v>
      </c>
      <c r="M8" s="118" t="str">
        <f t="shared" si="1"/>
        <v>-</v>
      </c>
      <c r="N8" s="118" t="str">
        <f t="shared" si="1"/>
        <v>-</v>
      </c>
      <c r="O8" s="118" t="str">
        <f t="shared" si="1"/>
        <v>-</v>
      </c>
      <c r="P8" s="118">
        <f t="shared" si="0"/>
        <v>2</v>
      </c>
      <c r="Q8" s="118" t="str">
        <f>IF(SUM(Q9:Q12)=0,"-",SUM(Q9:Q12))</f>
        <v>-</v>
      </c>
      <c r="R8" s="118">
        <f t="shared" si="0"/>
        <v>2</v>
      </c>
    </row>
    <row r="9" spans="1:18" ht="24" customHeight="1">
      <c r="A9" s="1282"/>
      <c r="B9" s="784" t="s">
        <v>589</v>
      </c>
      <c r="C9" s="312" t="s">
        <v>1118</v>
      </c>
      <c r="D9" s="81">
        <v>1</v>
      </c>
      <c r="E9" s="45">
        <v>8</v>
      </c>
      <c r="F9" s="81">
        <v>144</v>
      </c>
      <c r="G9" s="47">
        <v>73</v>
      </c>
      <c r="H9" s="176">
        <v>65</v>
      </c>
      <c r="I9" s="46">
        <v>49514</v>
      </c>
      <c r="J9" s="81" t="s">
        <v>643</v>
      </c>
      <c r="K9" s="81" t="s">
        <v>643</v>
      </c>
      <c r="L9" s="81" t="s">
        <v>643</v>
      </c>
      <c r="M9" s="81" t="s">
        <v>643</v>
      </c>
      <c r="N9" s="81" t="s">
        <v>643</v>
      </c>
      <c r="O9" s="81" t="s">
        <v>643</v>
      </c>
      <c r="P9" s="81">
        <v>2</v>
      </c>
      <c r="Q9" s="81" t="s">
        <v>643</v>
      </c>
      <c r="R9" s="81">
        <f>IF(SUM(J9,L9,N9,P9,Q9)=0,"-",SUM(J9,L9,N9,P9,Q9))</f>
        <v>2</v>
      </c>
    </row>
    <row r="10" spans="1:18" ht="24" customHeight="1">
      <c r="A10" s="245"/>
      <c r="B10" s="785" t="s">
        <v>356</v>
      </c>
      <c r="C10" s="752" t="s">
        <v>1119</v>
      </c>
      <c r="D10" s="81">
        <v>1</v>
      </c>
      <c r="E10" s="45">
        <v>10</v>
      </c>
      <c r="F10" s="81">
        <v>161</v>
      </c>
      <c r="G10" s="47">
        <v>71</v>
      </c>
      <c r="H10" s="176">
        <v>65</v>
      </c>
      <c r="I10" s="46">
        <v>57349</v>
      </c>
      <c r="J10" s="81" t="s">
        <v>643</v>
      </c>
      <c r="K10" s="81" t="s">
        <v>643</v>
      </c>
      <c r="L10" s="81" t="s">
        <v>643</v>
      </c>
      <c r="M10" s="81" t="s">
        <v>643</v>
      </c>
      <c r="N10" s="81" t="s">
        <v>643</v>
      </c>
      <c r="O10" s="81" t="s">
        <v>643</v>
      </c>
      <c r="P10" s="81" t="s">
        <v>643</v>
      </c>
      <c r="Q10" s="81" t="s">
        <v>643</v>
      </c>
      <c r="R10" s="81" t="str">
        <f>IF(SUM(J10,L10,N10,P10,Q10)=0,"-",SUM(J10,L10,N10,P10,Q10))</f>
        <v>-</v>
      </c>
    </row>
    <row r="11" spans="1:18" ht="12.75" customHeight="1">
      <c r="A11" s="186"/>
      <c r="B11" s="1283" t="s">
        <v>218</v>
      </c>
      <c r="C11" s="627" t="s">
        <v>1121</v>
      </c>
      <c r="D11" s="81">
        <v>1</v>
      </c>
      <c r="E11" s="45">
        <v>11</v>
      </c>
      <c r="F11" s="81">
        <v>185</v>
      </c>
      <c r="G11" s="47">
        <v>62</v>
      </c>
      <c r="H11" s="81">
        <v>55</v>
      </c>
      <c r="I11" s="46">
        <v>58375</v>
      </c>
      <c r="J11" s="81" t="s">
        <v>643</v>
      </c>
      <c r="K11" s="81" t="s">
        <v>643</v>
      </c>
      <c r="L11" s="81" t="s">
        <v>643</v>
      </c>
      <c r="M11" s="81" t="s">
        <v>643</v>
      </c>
      <c r="N11" s="81" t="s">
        <v>643</v>
      </c>
      <c r="O11" s="81" t="s">
        <v>643</v>
      </c>
      <c r="P11" s="81" t="s">
        <v>643</v>
      </c>
      <c r="Q11" s="81" t="s">
        <v>643</v>
      </c>
      <c r="R11" s="81" t="str">
        <f>IF(SUM(J11,L11,N11,P11,Q11)=0,"-",SUM(J11,L11,N11,P11,Q11))</f>
        <v>-</v>
      </c>
    </row>
    <row r="12" spans="1:18" ht="12.75" customHeight="1">
      <c r="A12" s="245"/>
      <c r="B12" s="1283"/>
      <c r="C12" s="627" t="s">
        <v>1120</v>
      </c>
      <c r="D12" s="81">
        <v>1</v>
      </c>
      <c r="E12" s="45">
        <v>7</v>
      </c>
      <c r="F12" s="81">
        <v>112</v>
      </c>
      <c r="G12" s="47">
        <v>34</v>
      </c>
      <c r="H12" s="81">
        <v>32</v>
      </c>
      <c r="I12" s="46">
        <v>35901</v>
      </c>
      <c r="J12" s="81" t="s">
        <v>643</v>
      </c>
      <c r="K12" s="81" t="s">
        <v>643</v>
      </c>
      <c r="L12" s="81" t="s">
        <v>643</v>
      </c>
      <c r="M12" s="81" t="s">
        <v>643</v>
      </c>
      <c r="N12" s="81" t="s">
        <v>643</v>
      </c>
      <c r="O12" s="81" t="s">
        <v>643</v>
      </c>
      <c r="P12" s="81" t="s">
        <v>643</v>
      </c>
      <c r="Q12" s="81" t="s">
        <v>643</v>
      </c>
      <c r="R12" s="81" t="str">
        <f>IF(SUM(J12,L12,N12,P12,Q12)=0,"-",SUM(J12,L12,N12,P12,Q12))</f>
        <v>-</v>
      </c>
    </row>
    <row r="13" spans="1:18" ht="12.75" customHeight="1">
      <c r="A13" s="1284" t="s">
        <v>1368</v>
      </c>
      <c r="B13" s="118">
        <v>8</v>
      </c>
      <c r="C13" s="786" t="s">
        <v>1640</v>
      </c>
      <c r="D13" s="118">
        <f>SUM(D14:D24)</f>
        <v>7</v>
      </c>
      <c r="E13" s="20">
        <f t="shared" ref="E13:R13" si="2">SUM(E14:E24)</f>
        <v>77</v>
      </c>
      <c r="F13" s="118">
        <f t="shared" si="2"/>
        <v>1294</v>
      </c>
      <c r="G13" s="21">
        <f t="shared" si="2"/>
        <v>534</v>
      </c>
      <c r="H13" s="118">
        <f t="shared" si="2"/>
        <v>487</v>
      </c>
      <c r="I13" s="44">
        <f t="shared" si="2"/>
        <v>482356</v>
      </c>
      <c r="J13" s="118" t="str">
        <f>IF(SUM(J14:J24)=0,"-",SUM(J14:J24))</f>
        <v>-</v>
      </c>
      <c r="K13" s="118" t="str">
        <f>IF(SUM(K14:K24)=0,"-",SUM(K14:K24))</f>
        <v>-</v>
      </c>
      <c r="L13" s="118">
        <f t="shared" si="2"/>
        <v>2</v>
      </c>
      <c r="M13" s="118">
        <f t="shared" si="2"/>
        <v>48</v>
      </c>
      <c r="N13" s="118" t="str">
        <f>IF(SUM(N14:N24)=0,"-",SUM(N14:N24))</f>
        <v>-</v>
      </c>
      <c r="O13" s="118" t="str">
        <f>IF(SUM(O14:O24)=0,"-",SUM(O14:O24))</f>
        <v>-</v>
      </c>
      <c r="P13" s="118">
        <f t="shared" si="2"/>
        <v>16</v>
      </c>
      <c r="Q13" s="118" t="str">
        <f>IF(SUM(Q14:Q24)=0,"-",SUM(Q14:Q24))</f>
        <v>-</v>
      </c>
      <c r="R13" s="118">
        <f t="shared" si="2"/>
        <v>18</v>
      </c>
    </row>
    <row r="14" spans="1:18" ht="12.75" customHeight="1">
      <c r="A14" s="1284"/>
      <c r="B14" s="408" t="s">
        <v>1122</v>
      </c>
      <c r="C14" s="627" t="s">
        <v>1122</v>
      </c>
      <c r="D14" s="81">
        <v>1</v>
      </c>
      <c r="E14" s="45">
        <v>15</v>
      </c>
      <c r="F14" s="81">
        <v>241</v>
      </c>
      <c r="G14" s="47">
        <v>127</v>
      </c>
      <c r="H14" s="81">
        <v>105</v>
      </c>
      <c r="I14" s="46">
        <v>78432</v>
      </c>
      <c r="J14" s="81" t="s">
        <v>643</v>
      </c>
      <c r="K14" s="81" t="s">
        <v>643</v>
      </c>
      <c r="L14" s="81" t="s">
        <v>643</v>
      </c>
      <c r="M14" s="81" t="s">
        <v>643</v>
      </c>
      <c r="N14" s="81" t="s">
        <v>643</v>
      </c>
      <c r="O14" s="81" t="s">
        <v>643</v>
      </c>
      <c r="P14" s="81">
        <v>2</v>
      </c>
      <c r="Q14" s="81" t="s">
        <v>643</v>
      </c>
      <c r="R14" s="81">
        <f t="shared" ref="R14:R24" si="3">IF(SUM(J14,L14,N14,P14,Q14)=0,"-",SUM(J14,L14,N14,P14,Q14))</f>
        <v>2</v>
      </c>
    </row>
    <row r="15" spans="1:18" ht="12.75" customHeight="1">
      <c r="A15" s="245" t="s">
        <v>1216</v>
      </c>
      <c r="B15" s="408" t="s">
        <v>1123</v>
      </c>
      <c r="C15" s="627" t="s">
        <v>1123</v>
      </c>
      <c r="D15" s="81">
        <v>1</v>
      </c>
      <c r="E15" s="45">
        <v>15</v>
      </c>
      <c r="F15" s="81">
        <v>278</v>
      </c>
      <c r="G15" s="47">
        <v>107</v>
      </c>
      <c r="H15" s="81">
        <v>101</v>
      </c>
      <c r="I15" s="46">
        <v>90613</v>
      </c>
      <c r="J15" s="81" t="s">
        <v>643</v>
      </c>
      <c r="K15" s="81" t="s">
        <v>643</v>
      </c>
      <c r="L15" s="81" t="s">
        <v>643</v>
      </c>
      <c r="M15" s="81" t="s">
        <v>643</v>
      </c>
      <c r="N15" s="81" t="s">
        <v>643</v>
      </c>
      <c r="O15" s="81" t="s">
        <v>643</v>
      </c>
      <c r="P15" s="81">
        <v>2</v>
      </c>
      <c r="Q15" s="81" t="s">
        <v>643</v>
      </c>
      <c r="R15" s="81">
        <f t="shared" si="3"/>
        <v>2</v>
      </c>
    </row>
    <row r="16" spans="1:18" ht="12.75" customHeight="1">
      <c r="A16" s="245"/>
      <c r="B16" s="408" t="s">
        <v>1124</v>
      </c>
      <c r="C16" s="627" t="s">
        <v>1124</v>
      </c>
      <c r="D16" s="81">
        <v>1</v>
      </c>
      <c r="E16" s="45">
        <v>13</v>
      </c>
      <c r="F16" s="81">
        <v>220</v>
      </c>
      <c r="G16" s="47">
        <v>84</v>
      </c>
      <c r="H16" s="81">
        <v>77</v>
      </c>
      <c r="I16" s="46">
        <v>69598</v>
      </c>
      <c r="J16" s="81" t="s">
        <v>643</v>
      </c>
      <c r="K16" s="81" t="s">
        <v>643</v>
      </c>
      <c r="L16" s="81" t="s">
        <v>643</v>
      </c>
      <c r="M16" s="81" t="s">
        <v>643</v>
      </c>
      <c r="N16" s="81" t="s">
        <v>643</v>
      </c>
      <c r="O16" s="81" t="s">
        <v>643</v>
      </c>
      <c r="P16" s="81">
        <v>1</v>
      </c>
      <c r="Q16" s="81" t="s">
        <v>643</v>
      </c>
      <c r="R16" s="81">
        <f t="shared" si="3"/>
        <v>1</v>
      </c>
    </row>
    <row r="17" spans="1:18" ht="12.75" customHeight="1">
      <c r="A17" s="244"/>
      <c r="B17" s="408" t="s">
        <v>1125</v>
      </c>
      <c r="C17" s="627" t="s">
        <v>1125</v>
      </c>
      <c r="D17" s="81">
        <v>1</v>
      </c>
      <c r="E17" s="45">
        <v>7</v>
      </c>
      <c r="F17" s="81">
        <v>112</v>
      </c>
      <c r="G17" s="47">
        <v>54</v>
      </c>
      <c r="H17" s="81">
        <v>52</v>
      </c>
      <c r="I17" s="46">
        <v>34304</v>
      </c>
      <c r="J17" s="81" t="s">
        <v>643</v>
      </c>
      <c r="K17" s="81" t="s">
        <v>643</v>
      </c>
      <c r="L17" s="81" t="s">
        <v>643</v>
      </c>
      <c r="M17" s="81" t="s">
        <v>643</v>
      </c>
      <c r="N17" s="81" t="s">
        <v>643</v>
      </c>
      <c r="O17" s="81" t="s">
        <v>643</v>
      </c>
      <c r="P17" s="81" t="s">
        <v>643</v>
      </c>
      <c r="Q17" s="81" t="s">
        <v>643</v>
      </c>
      <c r="R17" s="81" t="str">
        <f t="shared" si="3"/>
        <v>-</v>
      </c>
    </row>
    <row r="18" spans="1:18" ht="12.75" customHeight="1">
      <c r="A18" s="244"/>
      <c r="B18" s="408" t="s">
        <v>888</v>
      </c>
      <c r="C18" s="627" t="s">
        <v>1126</v>
      </c>
      <c r="D18" s="81">
        <v>1</v>
      </c>
      <c r="E18" s="45">
        <v>12</v>
      </c>
      <c r="F18" s="81">
        <v>236</v>
      </c>
      <c r="G18" s="47">
        <v>92</v>
      </c>
      <c r="H18" s="81">
        <v>87</v>
      </c>
      <c r="I18" s="46">
        <v>74375</v>
      </c>
      <c r="J18" s="81" t="s">
        <v>643</v>
      </c>
      <c r="K18" s="81" t="s">
        <v>643</v>
      </c>
      <c r="L18" s="81" t="s">
        <v>643</v>
      </c>
      <c r="M18" s="81" t="s">
        <v>643</v>
      </c>
      <c r="N18" s="81" t="s">
        <v>643</v>
      </c>
      <c r="O18" s="81" t="s">
        <v>643</v>
      </c>
      <c r="P18" s="81">
        <v>3</v>
      </c>
      <c r="Q18" s="81" t="s">
        <v>643</v>
      </c>
      <c r="R18" s="81">
        <f t="shared" si="3"/>
        <v>3</v>
      </c>
    </row>
    <row r="19" spans="1:18" ht="12.75" customHeight="1">
      <c r="A19" s="244"/>
      <c r="B19" s="408" t="s">
        <v>888</v>
      </c>
      <c r="C19" s="1287" t="s">
        <v>1127</v>
      </c>
      <c r="D19" s="1270" t="s">
        <v>643</v>
      </c>
      <c r="E19" s="1270" t="s">
        <v>643</v>
      </c>
      <c r="F19" s="1270" t="s">
        <v>643</v>
      </c>
      <c r="G19" s="1270" t="s">
        <v>643</v>
      </c>
      <c r="H19" s="1270" t="s">
        <v>643</v>
      </c>
      <c r="I19" s="1270">
        <v>38052</v>
      </c>
      <c r="J19" s="1270" t="s">
        <v>643</v>
      </c>
      <c r="K19" s="1270" t="s">
        <v>643</v>
      </c>
      <c r="L19" s="1270">
        <v>1</v>
      </c>
      <c r="M19" s="1270">
        <v>24</v>
      </c>
      <c r="N19" s="1270" t="s">
        <v>643</v>
      </c>
      <c r="O19" s="1270" t="s">
        <v>643</v>
      </c>
      <c r="P19" s="1270" t="s">
        <v>643</v>
      </c>
      <c r="Q19" s="1270" t="s">
        <v>643</v>
      </c>
      <c r="R19" s="1270">
        <f t="shared" si="3"/>
        <v>1</v>
      </c>
    </row>
    <row r="20" spans="1:18" ht="13.5" customHeight="1">
      <c r="A20" s="244"/>
      <c r="B20" s="785" t="s">
        <v>773</v>
      </c>
      <c r="C20" s="1288"/>
      <c r="D20" s="1271"/>
      <c r="E20" s="1271"/>
      <c r="F20" s="1271"/>
      <c r="G20" s="1295"/>
      <c r="H20" s="1271"/>
      <c r="I20" s="1271"/>
      <c r="J20" s="1271"/>
      <c r="K20" s="1271"/>
      <c r="L20" s="1271"/>
      <c r="M20" s="1271"/>
      <c r="N20" s="1271"/>
      <c r="O20" s="1271"/>
      <c r="P20" s="1271"/>
      <c r="Q20" s="1271"/>
      <c r="R20" s="1270"/>
    </row>
    <row r="21" spans="1:18" ht="12" customHeight="1">
      <c r="A21" s="244"/>
      <c r="B21" s="596" t="s">
        <v>1493</v>
      </c>
      <c r="C21" s="1287"/>
      <c r="D21" s="1270"/>
      <c r="E21" s="1270"/>
      <c r="F21" s="1270"/>
      <c r="G21" s="1295"/>
      <c r="H21" s="1270"/>
      <c r="I21" s="1270"/>
      <c r="J21" s="1270"/>
      <c r="K21" s="1270"/>
      <c r="L21" s="1270"/>
      <c r="M21" s="1270"/>
      <c r="N21" s="1270"/>
      <c r="O21" s="1270"/>
      <c r="P21" s="1270"/>
      <c r="Q21" s="1270"/>
      <c r="R21" s="1270"/>
    </row>
    <row r="22" spans="1:18" ht="12.75" customHeight="1">
      <c r="A22" s="244"/>
      <c r="B22" s="408" t="s">
        <v>50</v>
      </c>
      <c r="C22" s="627" t="s">
        <v>1128</v>
      </c>
      <c r="D22" s="81">
        <v>1</v>
      </c>
      <c r="E22" s="45">
        <v>7</v>
      </c>
      <c r="F22" s="81">
        <v>103</v>
      </c>
      <c r="G22" s="47">
        <v>45</v>
      </c>
      <c r="H22" s="81">
        <v>44</v>
      </c>
      <c r="I22" s="46">
        <v>33765</v>
      </c>
      <c r="J22" s="81" t="s">
        <v>643</v>
      </c>
      <c r="K22" s="81" t="s">
        <v>643</v>
      </c>
      <c r="L22" s="81" t="s">
        <v>643</v>
      </c>
      <c r="M22" s="81" t="s">
        <v>643</v>
      </c>
      <c r="N22" s="81" t="s">
        <v>643</v>
      </c>
      <c r="O22" s="81" t="s">
        <v>643</v>
      </c>
      <c r="P22" s="81">
        <v>1</v>
      </c>
      <c r="Q22" s="81" t="s">
        <v>643</v>
      </c>
      <c r="R22" s="81">
        <f t="shared" si="3"/>
        <v>1</v>
      </c>
    </row>
    <row r="23" spans="1:18" ht="12.75" customHeight="1">
      <c r="A23" s="244"/>
      <c r="B23" s="1274" t="s">
        <v>90</v>
      </c>
      <c r="C23" s="627" t="s">
        <v>90</v>
      </c>
      <c r="D23" s="81">
        <v>1</v>
      </c>
      <c r="E23" s="45">
        <v>8</v>
      </c>
      <c r="F23" s="81">
        <v>104</v>
      </c>
      <c r="G23" s="47">
        <v>25</v>
      </c>
      <c r="H23" s="81">
        <v>21</v>
      </c>
      <c r="I23" s="46">
        <v>32303</v>
      </c>
      <c r="J23" s="81" t="s">
        <v>643</v>
      </c>
      <c r="K23" s="81" t="s">
        <v>643</v>
      </c>
      <c r="L23" s="81" t="s">
        <v>643</v>
      </c>
      <c r="M23" s="81" t="s">
        <v>643</v>
      </c>
      <c r="N23" s="81" t="s">
        <v>643</v>
      </c>
      <c r="O23" s="81" t="s">
        <v>643</v>
      </c>
      <c r="P23" s="81">
        <v>7</v>
      </c>
      <c r="Q23" s="81" t="s">
        <v>643</v>
      </c>
      <c r="R23" s="81">
        <f t="shared" si="3"/>
        <v>7</v>
      </c>
    </row>
    <row r="24" spans="1:18" ht="12.75" customHeight="1">
      <c r="A24" s="244"/>
      <c r="B24" s="1274"/>
      <c r="C24" s="627" t="s">
        <v>1130</v>
      </c>
      <c r="D24" s="81" t="s">
        <v>643</v>
      </c>
      <c r="E24" s="45" t="s">
        <v>643</v>
      </c>
      <c r="F24" s="81" t="s">
        <v>643</v>
      </c>
      <c r="G24" s="45" t="s">
        <v>643</v>
      </c>
      <c r="H24" s="81" t="s">
        <v>643</v>
      </c>
      <c r="I24" s="46">
        <v>30914</v>
      </c>
      <c r="J24" s="81" t="s">
        <v>643</v>
      </c>
      <c r="K24" s="81" t="s">
        <v>643</v>
      </c>
      <c r="L24" s="81">
        <v>1</v>
      </c>
      <c r="M24" s="81">
        <v>24</v>
      </c>
      <c r="N24" s="81" t="s">
        <v>643</v>
      </c>
      <c r="O24" s="81" t="s">
        <v>643</v>
      </c>
      <c r="P24" s="81" t="s">
        <v>643</v>
      </c>
      <c r="Q24" s="81" t="s">
        <v>643</v>
      </c>
      <c r="R24" s="81">
        <f t="shared" si="3"/>
        <v>1</v>
      </c>
    </row>
    <row r="25" spans="1:18" ht="12.75" customHeight="1">
      <c r="A25" s="1285" t="s">
        <v>1369</v>
      </c>
      <c r="B25" s="118">
        <v>6</v>
      </c>
      <c r="C25" s="786" t="s">
        <v>1641</v>
      </c>
      <c r="D25" s="118">
        <f>SUM(D26:D34)</f>
        <v>4</v>
      </c>
      <c r="E25" s="20">
        <f t="shared" ref="E25:R25" si="4">SUM(E26:E34)</f>
        <v>47</v>
      </c>
      <c r="F25" s="118">
        <f t="shared" si="4"/>
        <v>865</v>
      </c>
      <c r="G25" s="21">
        <f t="shared" si="4"/>
        <v>327</v>
      </c>
      <c r="H25" s="118">
        <f t="shared" si="4"/>
        <v>293</v>
      </c>
      <c r="I25" s="44">
        <f t="shared" si="4"/>
        <v>338725</v>
      </c>
      <c r="J25" s="118" t="str">
        <f>IF(SUM(J26:J34)=0,"-",SUM(J26:J34))</f>
        <v>-</v>
      </c>
      <c r="K25" s="118" t="str">
        <f>IF(SUM(K26:K34)=0,"-",SUM(K26:K34))</f>
        <v>-</v>
      </c>
      <c r="L25" s="118">
        <f t="shared" si="4"/>
        <v>3</v>
      </c>
      <c r="M25" s="118">
        <f t="shared" si="4"/>
        <v>57</v>
      </c>
      <c r="N25" s="118">
        <f t="shared" si="4"/>
        <v>2</v>
      </c>
      <c r="O25" s="118">
        <f t="shared" si="4"/>
        <v>25</v>
      </c>
      <c r="P25" s="118">
        <f t="shared" si="4"/>
        <v>23</v>
      </c>
      <c r="Q25" s="118">
        <f>IF(SUM(Q26:Q34)=0,"-",SUM(Q26:Q34))</f>
        <v>5</v>
      </c>
      <c r="R25" s="118">
        <f t="shared" si="4"/>
        <v>33</v>
      </c>
    </row>
    <row r="26" spans="1:18" ht="12.75" customHeight="1">
      <c r="A26" s="1286"/>
      <c r="B26" s="1274" t="s">
        <v>1131</v>
      </c>
      <c r="C26" s="627" t="s">
        <v>1131</v>
      </c>
      <c r="D26" s="81">
        <v>1</v>
      </c>
      <c r="E26" s="45">
        <v>10</v>
      </c>
      <c r="F26" s="81">
        <v>172</v>
      </c>
      <c r="G26" s="47">
        <v>69</v>
      </c>
      <c r="H26" s="81">
        <v>54</v>
      </c>
      <c r="I26" s="46">
        <v>56978</v>
      </c>
      <c r="J26" s="81" t="s">
        <v>643</v>
      </c>
      <c r="K26" s="81" t="s">
        <v>643</v>
      </c>
      <c r="L26" s="81" t="s">
        <v>643</v>
      </c>
      <c r="M26" s="81" t="s">
        <v>643</v>
      </c>
      <c r="N26" s="81" t="s">
        <v>643</v>
      </c>
      <c r="O26" s="81" t="s">
        <v>643</v>
      </c>
      <c r="P26" s="81">
        <v>5</v>
      </c>
      <c r="Q26" s="81" t="s">
        <v>643</v>
      </c>
      <c r="R26" s="81">
        <f t="shared" ref="R26:R34" si="5">IF(SUM(J26,L26,N26,P26,Q26)=0,"-",SUM(J26,L26,N26,P26,Q26))</f>
        <v>5</v>
      </c>
    </row>
    <row r="27" spans="1:18" ht="12.75" customHeight="1">
      <c r="A27" s="244"/>
      <c r="B27" s="1274"/>
      <c r="C27" s="627" t="s">
        <v>1133</v>
      </c>
      <c r="D27" s="81" t="s">
        <v>643</v>
      </c>
      <c r="E27" s="45" t="s">
        <v>643</v>
      </c>
      <c r="F27" s="81" t="s">
        <v>643</v>
      </c>
      <c r="G27" s="45" t="s">
        <v>643</v>
      </c>
      <c r="H27" s="81" t="s">
        <v>643</v>
      </c>
      <c r="I27" s="46">
        <v>36506</v>
      </c>
      <c r="J27" s="81" t="s">
        <v>643</v>
      </c>
      <c r="K27" s="81" t="s">
        <v>643</v>
      </c>
      <c r="L27" s="81">
        <v>1</v>
      </c>
      <c r="M27" s="81">
        <v>24</v>
      </c>
      <c r="N27" s="81" t="s">
        <v>643</v>
      </c>
      <c r="O27" s="81" t="s">
        <v>643</v>
      </c>
      <c r="P27" s="81" t="s">
        <v>643</v>
      </c>
      <c r="Q27" s="81" t="s">
        <v>643</v>
      </c>
      <c r="R27" s="81">
        <f t="shared" si="5"/>
        <v>1</v>
      </c>
    </row>
    <row r="28" spans="1:18" ht="12.75" customHeight="1">
      <c r="A28" s="244"/>
      <c r="B28" s="408" t="s">
        <v>1134</v>
      </c>
      <c r="C28" s="627" t="s">
        <v>1134</v>
      </c>
      <c r="D28" s="81">
        <v>1</v>
      </c>
      <c r="E28" s="45">
        <v>13</v>
      </c>
      <c r="F28" s="81">
        <v>231</v>
      </c>
      <c r="G28" s="47">
        <v>81</v>
      </c>
      <c r="H28" s="81">
        <v>76</v>
      </c>
      <c r="I28" s="46">
        <v>68682</v>
      </c>
      <c r="J28" s="81" t="s">
        <v>643</v>
      </c>
      <c r="K28" s="81" t="s">
        <v>643</v>
      </c>
      <c r="L28" s="81" t="s">
        <v>643</v>
      </c>
      <c r="M28" s="81" t="s">
        <v>643</v>
      </c>
      <c r="N28" s="81" t="s">
        <v>643</v>
      </c>
      <c r="O28" s="81" t="s">
        <v>643</v>
      </c>
      <c r="P28" s="81">
        <v>3</v>
      </c>
      <c r="Q28" s="81" t="s">
        <v>643</v>
      </c>
      <c r="R28" s="81">
        <f t="shared" si="5"/>
        <v>3</v>
      </c>
    </row>
    <row r="29" spans="1:18" ht="12.75" customHeight="1">
      <c r="A29" s="244"/>
      <c r="B29" s="1283" t="s">
        <v>1087</v>
      </c>
      <c r="C29" s="627" t="s">
        <v>1623</v>
      </c>
      <c r="D29" s="81">
        <v>1</v>
      </c>
      <c r="E29" s="45">
        <v>10</v>
      </c>
      <c r="F29" s="81">
        <v>177</v>
      </c>
      <c r="G29" s="47">
        <v>64</v>
      </c>
      <c r="H29" s="81">
        <v>55</v>
      </c>
      <c r="I29" s="46">
        <v>56507</v>
      </c>
      <c r="J29" s="81" t="s">
        <v>643</v>
      </c>
      <c r="K29" s="81" t="s">
        <v>643</v>
      </c>
      <c r="L29" s="81" t="s">
        <v>643</v>
      </c>
      <c r="M29" s="81" t="s">
        <v>643</v>
      </c>
      <c r="N29" s="81" t="s">
        <v>643</v>
      </c>
      <c r="O29" s="81" t="s">
        <v>643</v>
      </c>
      <c r="P29" s="81">
        <v>9</v>
      </c>
      <c r="Q29" s="81">
        <v>4</v>
      </c>
      <c r="R29" s="81">
        <f t="shared" si="5"/>
        <v>13</v>
      </c>
    </row>
    <row r="30" spans="1:18" ht="12.75" customHeight="1">
      <c r="A30" s="244"/>
      <c r="B30" s="1283"/>
      <c r="C30" s="627" t="s">
        <v>768</v>
      </c>
      <c r="D30" s="81" t="s">
        <v>643</v>
      </c>
      <c r="E30" s="45" t="s">
        <v>643</v>
      </c>
      <c r="F30" s="81" t="s">
        <v>643</v>
      </c>
      <c r="G30" s="45" t="s">
        <v>643</v>
      </c>
      <c r="H30" s="81" t="s">
        <v>643</v>
      </c>
      <c r="I30" s="46">
        <v>17863</v>
      </c>
      <c r="J30" s="81" t="s">
        <v>643</v>
      </c>
      <c r="K30" s="81" t="s">
        <v>643</v>
      </c>
      <c r="L30" s="81">
        <v>1</v>
      </c>
      <c r="M30" s="81">
        <v>19</v>
      </c>
      <c r="N30" s="81" t="s">
        <v>643</v>
      </c>
      <c r="O30" s="81" t="s">
        <v>643</v>
      </c>
      <c r="P30" s="81" t="s">
        <v>643</v>
      </c>
      <c r="Q30" s="81" t="s">
        <v>643</v>
      </c>
      <c r="R30" s="81">
        <f t="shared" si="5"/>
        <v>1</v>
      </c>
    </row>
    <row r="31" spans="1:18" ht="12.75" customHeight="1">
      <c r="A31" s="244"/>
      <c r="B31" s="1283"/>
      <c r="C31" s="627" t="s">
        <v>1625</v>
      </c>
      <c r="D31" s="81" t="s">
        <v>643</v>
      </c>
      <c r="E31" s="45" t="s">
        <v>643</v>
      </c>
      <c r="F31" s="81" t="s">
        <v>643</v>
      </c>
      <c r="G31" s="45" t="s">
        <v>643</v>
      </c>
      <c r="H31" s="81" t="s">
        <v>643</v>
      </c>
      <c r="I31" s="46">
        <v>6702</v>
      </c>
      <c r="J31" s="81" t="s">
        <v>643</v>
      </c>
      <c r="K31" s="81" t="s">
        <v>643</v>
      </c>
      <c r="L31" s="81">
        <v>1</v>
      </c>
      <c r="M31" s="81">
        <v>14</v>
      </c>
      <c r="N31" s="81" t="s">
        <v>643</v>
      </c>
      <c r="O31" s="81" t="s">
        <v>643</v>
      </c>
      <c r="P31" s="81" t="s">
        <v>643</v>
      </c>
      <c r="Q31" s="81" t="s">
        <v>643</v>
      </c>
      <c r="R31" s="81">
        <f t="shared" si="5"/>
        <v>1</v>
      </c>
    </row>
    <row r="32" spans="1:18" ht="12.75" customHeight="1">
      <c r="A32" s="244"/>
      <c r="B32" s="1283"/>
      <c r="C32" s="627" t="s">
        <v>1626</v>
      </c>
      <c r="D32" s="81" t="s">
        <v>643</v>
      </c>
      <c r="E32" s="45" t="s">
        <v>643</v>
      </c>
      <c r="F32" s="81" t="s">
        <v>643</v>
      </c>
      <c r="G32" s="45" t="s">
        <v>643</v>
      </c>
      <c r="H32" s="81" t="s">
        <v>643</v>
      </c>
      <c r="I32" s="46">
        <v>5335</v>
      </c>
      <c r="J32" s="81" t="s">
        <v>643</v>
      </c>
      <c r="K32" s="81" t="s">
        <v>643</v>
      </c>
      <c r="L32" s="81" t="s">
        <v>643</v>
      </c>
      <c r="M32" s="81" t="s">
        <v>643</v>
      </c>
      <c r="N32" s="81">
        <v>1</v>
      </c>
      <c r="O32" s="81">
        <v>13</v>
      </c>
      <c r="P32" s="81" t="s">
        <v>643</v>
      </c>
      <c r="Q32" s="81" t="s">
        <v>643</v>
      </c>
      <c r="R32" s="81">
        <f t="shared" si="5"/>
        <v>1</v>
      </c>
    </row>
    <row r="33" spans="1:18" ht="12.75" customHeight="1">
      <c r="A33" s="244"/>
      <c r="B33" s="1283" t="s">
        <v>1088</v>
      </c>
      <c r="C33" s="627" t="s">
        <v>714</v>
      </c>
      <c r="D33" s="81">
        <v>1</v>
      </c>
      <c r="E33" s="45">
        <v>14</v>
      </c>
      <c r="F33" s="81">
        <v>285</v>
      </c>
      <c r="G33" s="47">
        <v>113</v>
      </c>
      <c r="H33" s="81">
        <v>108</v>
      </c>
      <c r="I33" s="46">
        <v>85687</v>
      </c>
      <c r="J33" s="81" t="s">
        <v>643</v>
      </c>
      <c r="K33" s="81" t="s">
        <v>643</v>
      </c>
      <c r="L33" s="81" t="s">
        <v>643</v>
      </c>
      <c r="M33" s="81" t="s">
        <v>643</v>
      </c>
      <c r="N33" s="81" t="s">
        <v>643</v>
      </c>
      <c r="O33" s="81" t="s">
        <v>643</v>
      </c>
      <c r="P33" s="81">
        <v>6</v>
      </c>
      <c r="Q33" s="81">
        <v>1</v>
      </c>
      <c r="R33" s="81">
        <f t="shared" si="5"/>
        <v>7</v>
      </c>
    </row>
    <row r="34" spans="1:18" ht="12.75" customHeight="1">
      <c r="A34" s="244"/>
      <c r="B34" s="1283"/>
      <c r="C34" s="787" t="s">
        <v>1275</v>
      </c>
      <c r="D34" s="81" t="s">
        <v>643</v>
      </c>
      <c r="E34" s="81" t="s">
        <v>643</v>
      </c>
      <c r="F34" s="81" t="s">
        <v>643</v>
      </c>
      <c r="G34" s="45" t="s">
        <v>643</v>
      </c>
      <c r="H34" s="81" t="s">
        <v>643</v>
      </c>
      <c r="I34" s="46">
        <v>4465</v>
      </c>
      <c r="J34" s="81" t="s">
        <v>643</v>
      </c>
      <c r="K34" s="81" t="s">
        <v>643</v>
      </c>
      <c r="L34" s="81" t="s">
        <v>643</v>
      </c>
      <c r="M34" s="81" t="s">
        <v>643</v>
      </c>
      <c r="N34" s="81">
        <v>1</v>
      </c>
      <c r="O34" s="81">
        <v>12</v>
      </c>
      <c r="P34" s="81" t="s">
        <v>643</v>
      </c>
      <c r="Q34" s="81" t="s">
        <v>643</v>
      </c>
      <c r="R34" s="81">
        <f t="shared" si="5"/>
        <v>1</v>
      </c>
    </row>
    <row r="35" spans="1:18" ht="12.75" customHeight="1">
      <c r="A35" s="1272" t="s">
        <v>1371</v>
      </c>
      <c r="B35" s="118">
        <v>3</v>
      </c>
      <c r="C35" s="786" t="s">
        <v>1642</v>
      </c>
      <c r="D35" s="118">
        <f>SUM(D36:D40)</f>
        <v>2</v>
      </c>
      <c r="E35" s="20">
        <f t="shared" ref="E35:R35" si="6">SUM(E36:E40)</f>
        <v>27</v>
      </c>
      <c r="F35" s="118">
        <f t="shared" si="6"/>
        <v>483</v>
      </c>
      <c r="G35" s="21">
        <f t="shared" si="6"/>
        <v>245</v>
      </c>
      <c r="H35" s="118">
        <f t="shared" si="6"/>
        <v>219</v>
      </c>
      <c r="I35" s="44">
        <f t="shared" si="6"/>
        <v>210062</v>
      </c>
      <c r="J35" s="118" t="str">
        <f>IF(SUM(J36:J40)=0,"-",SUM(J36:J40))</f>
        <v>-</v>
      </c>
      <c r="K35" s="118" t="str">
        <f>IF(SUM(K36:K40)=0,"-",SUM(K36:K40))</f>
        <v>-</v>
      </c>
      <c r="L35" s="118">
        <f t="shared" si="6"/>
        <v>3</v>
      </c>
      <c r="M35" s="118">
        <f t="shared" si="6"/>
        <v>59</v>
      </c>
      <c r="N35" s="118" t="str">
        <f>IF(SUM(N36:N40)=0,"-",SUM(N36:N40))</f>
        <v>-</v>
      </c>
      <c r="O35" s="118" t="str">
        <f>IF(SUM(O36:O40)=0,"-",SUM(O36:O40))</f>
        <v>-</v>
      </c>
      <c r="P35" s="118">
        <f t="shared" si="6"/>
        <v>14</v>
      </c>
      <c r="Q35" s="118" t="str">
        <f>IF(SUM(Q36:Q40)=0,"-",SUM(Q36:Q40))</f>
        <v>-</v>
      </c>
      <c r="R35" s="118">
        <f t="shared" si="6"/>
        <v>17</v>
      </c>
    </row>
    <row r="36" spans="1:18" ht="12.75" customHeight="1">
      <c r="A36" s="1273"/>
      <c r="B36" s="1274" t="s">
        <v>769</v>
      </c>
      <c r="C36" s="627" t="s">
        <v>769</v>
      </c>
      <c r="D36" s="81">
        <v>1</v>
      </c>
      <c r="E36" s="45">
        <v>17</v>
      </c>
      <c r="F36" s="81">
        <v>307</v>
      </c>
      <c r="G36" s="47">
        <v>158</v>
      </c>
      <c r="H36" s="81">
        <v>137</v>
      </c>
      <c r="I36" s="46">
        <v>94261</v>
      </c>
      <c r="J36" s="81" t="s">
        <v>643</v>
      </c>
      <c r="K36" s="81" t="s">
        <v>643</v>
      </c>
      <c r="L36" s="81" t="s">
        <v>643</v>
      </c>
      <c r="M36" s="81" t="s">
        <v>643</v>
      </c>
      <c r="N36" s="81" t="s">
        <v>643</v>
      </c>
      <c r="O36" s="81" t="s">
        <v>643</v>
      </c>
      <c r="P36" s="81">
        <v>10</v>
      </c>
      <c r="Q36" s="81" t="s">
        <v>643</v>
      </c>
      <c r="R36" s="81">
        <f>IF(SUM(J36,L36,N36,P36,Q36)=0,"-",SUM(J36,L36,N36,P36,Q36))</f>
        <v>10</v>
      </c>
    </row>
    <row r="37" spans="1:18" ht="12.75" customHeight="1">
      <c r="A37" s="244"/>
      <c r="B37" s="1274"/>
      <c r="C37" s="627" t="s">
        <v>770</v>
      </c>
      <c r="D37" s="81" t="s">
        <v>643</v>
      </c>
      <c r="E37" s="45" t="s">
        <v>643</v>
      </c>
      <c r="F37" s="81" t="s">
        <v>643</v>
      </c>
      <c r="G37" s="45" t="s">
        <v>643</v>
      </c>
      <c r="H37" s="81" t="s">
        <v>643</v>
      </c>
      <c r="I37" s="46">
        <v>23167</v>
      </c>
      <c r="J37" s="81" t="s">
        <v>643</v>
      </c>
      <c r="K37" s="81" t="s">
        <v>643</v>
      </c>
      <c r="L37" s="81">
        <v>1</v>
      </c>
      <c r="M37" s="81">
        <v>21</v>
      </c>
      <c r="N37" s="81" t="s">
        <v>643</v>
      </c>
      <c r="O37" s="81" t="s">
        <v>643</v>
      </c>
      <c r="P37" s="81" t="s">
        <v>643</v>
      </c>
      <c r="Q37" s="81" t="s">
        <v>643</v>
      </c>
      <c r="R37" s="81">
        <f>IF(SUM(J37,L37,N37,P37,Q37)=0,"-",SUM(J37,L37,N37,P37,Q37))</f>
        <v>1</v>
      </c>
    </row>
    <row r="38" spans="1:18" ht="12.75" customHeight="1">
      <c r="A38" s="244"/>
      <c r="B38" s="1274" t="s">
        <v>1628</v>
      </c>
      <c r="C38" s="627" t="s">
        <v>771</v>
      </c>
      <c r="D38" s="81" t="s">
        <v>643</v>
      </c>
      <c r="E38" s="45" t="s">
        <v>643</v>
      </c>
      <c r="F38" s="81" t="s">
        <v>643</v>
      </c>
      <c r="G38" s="45" t="s">
        <v>643</v>
      </c>
      <c r="H38" s="81" t="s">
        <v>643</v>
      </c>
      <c r="I38" s="46">
        <v>24492</v>
      </c>
      <c r="J38" s="81" t="s">
        <v>643</v>
      </c>
      <c r="K38" s="81" t="s">
        <v>643</v>
      </c>
      <c r="L38" s="81">
        <v>1</v>
      </c>
      <c r="M38" s="81">
        <v>20</v>
      </c>
      <c r="N38" s="81" t="s">
        <v>643</v>
      </c>
      <c r="O38" s="81" t="s">
        <v>643</v>
      </c>
      <c r="P38" s="81" t="s">
        <v>643</v>
      </c>
      <c r="Q38" s="81" t="s">
        <v>643</v>
      </c>
      <c r="R38" s="81">
        <f>IF(SUM(J38,L38,N38,P38,Q38)=0,"-",SUM(J38,L38,N38,P38,Q38))</f>
        <v>1</v>
      </c>
    </row>
    <row r="39" spans="1:18" ht="12.75" customHeight="1">
      <c r="A39" s="244"/>
      <c r="B39" s="1274"/>
      <c r="C39" s="627" t="s">
        <v>1629</v>
      </c>
      <c r="D39" s="81" t="s">
        <v>643</v>
      </c>
      <c r="E39" s="45" t="s">
        <v>643</v>
      </c>
      <c r="F39" s="81" t="s">
        <v>643</v>
      </c>
      <c r="G39" s="45" t="s">
        <v>643</v>
      </c>
      <c r="H39" s="81" t="s">
        <v>643</v>
      </c>
      <c r="I39" s="46">
        <v>14304</v>
      </c>
      <c r="J39" s="81" t="s">
        <v>643</v>
      </c>
      <c r="K39" s="81" t="s">
        <v>643</v>
      </c>
      <c r="L39" s="81">
        <v>1</v>
      </c>
      <c r="M39" s="81">
        <v>18</v>
      </c>
      <c r="N39" s="81" t="s">
        <v>643</v>
      </c>
      <c r="O39" s="81" t="s">
        <v>643</v>
      </c>
      <c r="P39" s="81" t="s">
        <v>643</v>
      </c>
      <c r="Q39" s="81" t="s">
        <v>643</v>
      </c>
      <c r="R39" s="81">
        <f>IF(SUM(J39,L39,N39,P39,Q39)=0,"-",SUM(J39,L39,N39,P39,Q39))</f>
        <v>1</v>
      </c>
    </row>
    <row r="40" spans="1:18" ht="12.75" customHeight="1">
      <c r="A40" s="244"/>
      <c r="B40" s="408" t="s">
        <v>772</v>
      </c>
      <c r="C40" s="627" t="s">
        <v>772</v>
      </c>
      <c r="D40" s="81">
        <v>1</v>
      </c>
      <c r="E40" s="45">
        <v>10</v>
      </c>
      <c r="F40" s="81">
        <v>176</v>
      </c>
      <c r="G40" s="47">
        <v>87</v>
      </c>
      <c r="H40" s="81">
        <v>82</v>
      </c>
      <c r="I40" s="46">
        <v>53838</v>
      </c>
      <c r="J40" s="81" t="s">
        <v>643</v>
      </c>
      <c r="K40" s="81" t="s">
        <v>643</v>
      </c>
      <c r="L40" s="81" t="s">
        <v>643</v>
      </c>
      <c r="M40" s="81" t="s">
        <v>643</v>
      </c>
      <c r="N40" s="81" t="s">
        <v>643</v>
      </c>
      <c r="O40" s="81" t="s">
        <v>643</v>
      </c>
      <c r="P40" s="81">
        <v>4</v>
      </c>
      <c r="Q40" s="81" t="s">
        <v>643</v>
      </c>
      <c r="R40" s="81">
        <f>IF(SUM(J40,L40,N40,P40,Q40)=0,"-",SUM(J40,L40,N40,P40,Q40))</f>
        <v>4</v>
      </c>
    </row>
    <row r="41" spans="1:18" ht="12.75" customHeight="1">
      <c r="A41" s="686" t="s">
        <v>928</v>
      </c>
      <c r="B41" s="305">
        <v>22</v>
      </c>
      <c r="C41" s="788" t="s">
        <v>1647</v>
      </c>
      <c r="D41" s="305">
        <f t="shared" ref="D41:R41" si="7">SUM(D35,D25,D13,D8)</f>
        <v>17</v>
      </c>
      <c r="E41" s="477">
        <f t="shared" si="7"/>
        <v>187</v>
      </c>
      <c r="F41" s="305">
        <f t="shared" si="7"/>
        <v>3244</v>
      </c>
      <c r="G41" s="477">
        <f t="shared" si="7"/>
        <v>1346</v>
      </c>
      <c r="H41" s="305">
        <f t="shared" si="7"/>
        <v>1216</v>
      </c>
      <c r="I41" s="306">
        <f t="shared" si="7"/>
        <v>1232282</v>
      </c>
      <c r="J41" s="305" t="str">
        <f>IF(SUM(J35,J25,J13,J8)=0,"-",SUM(J35,J25,J13,J8))</f>
        <v>-</v>
      </c>
      <c r="K41" s="305" t="str">
        <f>IF(SUM(K35,K25,K13,K8)=0,"-",SUM(K35,K25,K13,K8))</f>
        <v>-</v>
      </c>
      <c r="L41" s="305">
        <f t="shared" si="7"/>
        <v>8</v>
      </c>
      <c r="M41" s="305">
        <f t="shared" si="7"/>
        <v>164</v>
      </c>
      <c r="N41" s="305">
        <f t="shared" si="7"/>
        <v>2</v>
      </c>
      <c r="O41" s="305">
        <f t="shared" si="7"/>
        <v>25</v>
      </c>
      <c r="P41" s="305">
        <f t="shared" si="7"/>
        <v>55</v>
      </c>
      <c r="Q41" s="305">
        <f t="shared" si="7"/>
        <v>5</v>
      </c>
      <c r="R41" s="305">
        <f t="shared" si="7"/>
        <v>70</v>
      </c>
    </row>
    <row r="42" spans="1:18" ht="11.25" customHeight="1">
      <c r="A42" s="18" t="s">
        <v>889</v>
      </c>
      <c r="L42" s="280" t="s">
        <v>600</v>
      </c>
      <c r="M42" s="18" t="s">
        <v>192</v>
      </c>
      <c r="N42" s="18"/>
      <c r="O42" s="6"/>
      <c r="P42" s="6"/>
    </row>
    <row r="43" spans="1:18" ht="11.25" customHeight="1">
      <c r="L43" s="18"/>
      <c r="M43" s="18" t="s">
        <v>890</v>
      </c>
      <c r="N43" s="18"/>
      <c r="O43" s="6"/>
      <c r="P43" s="6"/>
    </row>
    <row r="44" spans="1:18" ht="11.25" customHeight="1">
      <c r="L44" s="18"/>
      <c r="M44" s="18" t="s">
        <v>891</v>
      </c>
      <c r="N44" s="18"/>
      <c r="O44" s="6"/>
      <c r="P44" s="6"/>
    </row>
  </sheetData>
  <mergeCells count="45">
    <mergeCell ref="B38:B39"/>
    <mergeCell ref="L5:M5"/>
    <mergeCell ref="B26:B27"/>
    <mergeCell ref="B29:B32"/>
    <mergeCell ref="B33:B34"/>
    <mergeCell ref="B4:B6"/>
    <mergeCell ref="F5:F6"/>
    <mergeCell ref="J5:K5"/>
    <mergeCell ref="J19:J21"/>
    <mergeCell ref="K19:K21"/>
    <mergeCell ref="D19:D21"/>
    <mergeCell ref="E19:E21"/>
    <mergeCell ref="H19:H21"/>
    <mergeCell ref="I19:I21"/>
    <mergeCell ref="F19:F21"/>
    <mergeCell ref="G19:G21"/>
    <mergeCell ref="A1:R1"/>
    <mergeCell ref="A2:R2"/>
    <mergeCell ref="G3:J3"/>
    <mergeCell ref="R5:R6"/>
    <mergeCell ref="G4:G5"/>
    <mergeCell ref="H4:H5"/>
    <mergeCell ref="J4:R4"/>
    <mergeCell ref="D4:F4"/>
    <mergeCell ref="N5:O5"/>
    <mergeCell ref="D5:D6"/>
    <mergeCell ref="E5:E6"/>
    <mergeCell ref="I4:I5"/>
    <mergeCell ref="A35:A36"/>
    <mergeCell ref="B23:B24"/>
    <mergeCell ref="A4:A6"/>
    <mergeCell ref="C4:C6"/>
    <mergeCell ref="A8:A9"/>
    <mergeCell ref="B36:B37"/>
    <mergeCell ref="B11:B12"/>
    <mergeCell ref="A13:A14"/>
    <mergeCell ref="A25:A26"/>
    <mergeCell ref="C19:C21"/>
    <mergeCell ref="R19:R21"/>
    <mergeCell ref="L19:L21"/>
    <mergeCell ref="Q19:Q21"/>
    <mergeCell ref="M19:M21"/>
    <mergeCell ref="N19:N21"/>
    <mergeCell ref="O19:O21"/>
    <mergeCell ref="P19:P21"/>
  </mergeCells>
  <phoneticPr fontId="0" type="noConversion"/>
  <printOptions horizontalCentered="1"/>
  <pageMargins left="0.1" right="0.1" top="0.1" bottom="0.1" header="0.19" footer="0.25"/>
  <pageSetup paperSize="9" scale="95" orientation="landscape" blackAndWhite="1" r:id="rId1"/>
  <headerFooter alignWithMargins="0"/>
  <drawing r:id="rId2"/>
</worksheet>
</file>

<file path=xl/worksheets/sheet90.xml><?xml version="1.0" encoding="utf-8"?>
<worksheet xmlns="http://schemas.openxmlformats.org/spreadsheetml/2006/main" xmlns:r="http://schemas.openxmlformats.org/officeDocument/2006/relationships">
  <dimension ref="A1:J29"/>
  <sheetViews>
    <sheetView workbookViewId="0">
      <selection activeCell="I14" sqref="I14"/>
    </sheetView>
  </sheetViews>
  <sheetFormatPr defaultRowHeight="12.75"/>
  <cols>
    <col min="1" max="1" width="5.28515625" customWidth="1"/>
    <col min="2" max="2" width="16.140625" customWidth="1"/>
    <col min="3" max="3" width="14" customWidth="1"/>
    <col min="4" max="4" width="18" customWidth="1"/>
    <col min="5" max="5" width="23.85546875" customWidth="1"/>
  </cols>
  <sheetData>
    <row r="1" spans="1:8" ht="15" customHeight="1">
      <c r="A1" s="1685" t="s">
        <v>1601</v>
      </c>
      <c r="B1" s="1685"/>
      <c r="C1" s="1685"/>
      <c r="D1" s="1685"/>
      <c r="E1" s="1685"/>
    </row>
    <row r="2" spans="1:8" ht="22.5" customHeight="1">
      <c r="A2" s="1686" t="str">
        <f>CONCATENATE("Transport Facilities in the Blocks of ",District!$A$1,"  for the year ",District!C3)</f>
        <v>Transport Facilities in the Blocks of Nadia  for the year 2013-14</v>
      </c>
      <c r="B2" s="1686"/>
      <c r="C2" s="1686"/>
      <c r="D2" s="1686"/>
      <c r="E2" s="1686"/>
    </row>
    <row r="3" spans="1:8" ht="15" customHeight="1">
      <c r="A3" s="1677" t="s">
        <v>1589</v>
      </c>
      <c r="B3" s="1677" t="s">
        <v>1602</v>
      </c>
      <c r="C3" s="1677" t="s">
        <v>860</v>
      </c>
      <c r="D3" s="1677" t="s">
        <v>1484</v>
      </c>
      <c r="E3" s="1677" t="s">
        <v>1075</v>
      </c>
    </row>
    <row r="4" spans="1:8" ht="15" customHeight="1">
      <c r="A4" s="1689"/>
      <c r="B4" s="1687"/>
      <c r="C4" s="1300"/>
      <c r="D4" s="1687"/>
      <c r="E4" s="1687"/>
      <c r="H4" s="213"/>
    </row>
    <row r="5" spans="1:8" ht="15" customHeight="1">
      <c r="A5" s="1690"/>
      <c r="B5" s="1688"/>
      <c r="C5" s="1263"/>
      <c r="D5" s="1688"/>
      <c r="E5" s="1688"/>
      <c r="H5" s="213"/>
    </row>
    <row r="6" spans="1:8" ht="15" customHeight="1">
      <c r="A6" s="128" t="s">
        <v>163</v>
      </c>
      <c r="B6" s="71" t="s">
        <v>164</v>
      </c>
      <c r="C6" s="71" t="s">
        <v>165</v>
      </c>
      <c r="D6" s="74" t="s">
        <v>166</v>
      </c>
      <c r="E6" s="72" t="s">
        <v>167</v>
      </c>
    </row>
    <row r="7" spans="1:8" ht="30" customHeight="1">
      <c r="A7" s="95">
        <v>1</v>
      </c>
      <c r="B7" s="147" t="s">
        <v>1118</v>
      </c>
      <c r="C7" s="92">
        <v>2</v>
      </c>
      <c r="D7" s="115">
        <v>4</v>
      </c>
      <c r="E7" s="40">
        <v>58</v>
      </c>
    </row>
    <row r="8" spans="1:8" ht="30" customHeight="1">
      <c r="A8" s="56">
        <v>2</v>
      </c>
      <c r="B8" s="147" t="s">
        <v>1119</v>
      </c>
      <c r="C8" s="92">
        <v>8</v>
      </c>
      <c r="D8" s="115">
        <v>7</v>
      </c>
      <c r="E8" s="40">
        <v>55</v>
      </c>
    </row>
    <row r="9" spans="1:8" ht="30" customHeight="1">
      <c r="A9" s="56">
        <v>3</v>
      </c>
      <c r="B9" s="147" t="s">
        <v>1121</v>
      </c>
      <c r="C9" s="92">
        <v>5</v>
      </c>
      <c r="D9" s="115">
        <v>3</v>
      </c>
      <c r="E9" s="40">
        <v>31</v>
      </c>
    </row>
    <row r="10" spans="1:8" ht="30" customHeight="1">
      <c r="A10" s="56">
        <v>4</v>
      </c>
      <c r="B10" s="147" t="s">
        <v>1120</v>
      </c>
      <c r="C10" s="92">
        <v>6</v>
      </c>
      <c r="D10" s="115">
        <v>4</v>
      </c>
      <c r="E10" s="40">
        <v>18</v>
      </c>
    </row>
    <row r="11" spans="1:8" ht="30" customHeight="1">
      <c r="A11" s="56">
        <v>5</v>
      </c>
      <c r="B11" s="147" t="s">
        <v>1122</v>
      </c>
      <c r="C11" s="92" t="s">
        <v>643</v>
      </c>
      <c r="D11" s="115">
        <v>6</v>
      </c>
      <c r="E11" s="40">
        <v>2</v>
      </c>
    </row>
    <row r="12" spans="1:8" ht="30" customHeight="1">
      <c r="A12" s="56">
        <v>6</v>
      </c>
      <c r="B12" s="147" t="s">
        <v>1123</v>
      </c>
      <c r="C12" s="92">
        <v>5</v>
      </c>
      <c r="D12" s="115">
        <v>5</v>
      </c>
      <c r="E12" s="40">
        <v>2</v>
      </c>
    </row>
    <row r="13" spans="1:8" ht="30" customHeight="1">
      <c r="A13" s="56">
        <v>7</v>
      </c>
      <c r="B13" s="147" t="s">
        <v>1124</v>
      </c>
      <c r="C13" s="92">
        <v>14</v>
      </c>
      <c r="D13" s="115">
        <v>8</v>
      </c>
      <c r="E13" s="40">
        <v>19</v>
      </c>
    </row>
    <row r="14" spans="1:8" ht="30" customHeight="1">
      <c r="A14" s="56">
        <v>8</v>
      </c>
      <c r="B14" s="147" t="s">
        <v>1125</v>
      </c>
      <c r="C14" s="92">
        <v>7</v>
      </c>
      <c r="D14" s="115">
        <v>4</v>
      </c>
      <c r="E14" s="40">
        <v>2</v>
      </c>
    </row>
    <row r="15" spans="1:8" ht="30" customHeight="1">
      <c r="A15" s="56">
        <v>9</v>
      </c>
      <c r="B15" s="147" t="s">
        <v>1126</v>
      </c>
      <c r="C15" s="92">
        <v>2</v>
      </c>
      <c r="D15" s="115">
        <v>6</v>
      </c>
      <c r="E15" s="40">
        <v>2</v>
      </c>
    </row>
    <row r="16" spans="1:8" ht="30" customHeight="1">
      <c r="A16" s="56">
        <v>10</v>
      </c>
      <c r="B16" s="147" t="s">
        <v>1128</v>
      </c>
      <c r="C16" s="92">
        <v>3</v>
      </c>
      <c r="D16" s="115">
        <v>5</v>
      </c>
      <c r="E16" s="40">
        <v>1</v>
      </c>
    </row>
    <row r="17" spans="1:10" ht="30" customHeight="1">
      <c r="A17" s="56">
        <v>11</v>
      </c>
      <c r="B17" s="147" t="s">
        <v>90</v>
      </c>
      <c r="C17" s="92">
        <v>6</v>
      </c>
      <c r="D17" s="115">
        <v>3</v>
      </c>
      <c r="E17" s="40">
        <v>5</v>
      </c>
    </row>
    <row r="18" spans="1:10" ht="30" customHeight="1">
      <c r="A18" s="56">
        <v>12</v>
      </c>
      <c r="B18" s="147" t="s">
        <v>1131</v>
      </c>
      <c r="C18" s="92">
        <v>4</v>
      </c>
      <c r="D18" s="115">
        <v>10</v>
      </c>
      <c r="E18" s="40" t="s">
        <v>643</v>
      </c>
    </row>
    <row r="19" spans="1:10" ht="30" customHeight="1">
      <c r="A19" s="56">
        <v>13</v>
      </c>
      <c r="B19" s="147" t="s">
        <v>1134</v>
      </c>
      <c r="C19" s="92">
        <v>1</v>
      </c>
      <c r="D19" s="115">
        <v>3</v>
      </c>
      <c r="E19" s="40">
        <v>5</v>
      </c>
    </row>
    <row r="20" spans="1:10" ht="30" customHeight="1">
      <c r="A20" s="56">
        <v>14</v>
      </c>
      <c r="B20" s="147" t="s">
        <v>1623</v>
      </c>
      <c r="C20" s="92">
        <v>7</v>
      </c>
      <c r="D20" s="115">
        <v>4</v>
      </c>
      <c r="E20" s="40">
        <v>1</v>
      </c>
    </row>
    <row r="21" spans="1:10" ht="30" customHeight="1">
      <c r="A21" s="56">
        <v>15</v>
      </c>
      <c r="B21" s="147" t="s">
        <v>714</v>
      </c>
      <c r="C21" s="92" t="s">
        <v>643</v>
      </c>
      <c r="D21" s="115">
        <v>6</v>
      </c>
      <c r="E21" s="40">
        <v>2</v>
      </c>
    </row>
    <row r="22" spans="1:10" ht="30" customHeight="1">
      <c r="A22" s="56">
        <v>16</v>
      </c>
      <c r="B22" s="147" t="s">
        <v>769</v>
      </c>
      <c r="C22" s="92">
        <v>2</v>
      </c>
      <c r="D22" s="115">
        <v>5</v>
      </c>
      <c r="E22" s="40">
        <v>2</v>
      </c>
    </row>
    <row r="23" spans="1:10" ht="30" customHeight="1">
      <c r="A23" s="57">
        <v>17</v>
      </c>
      <c r="B23" s="153" t="s">
        <v>772</v>
      </c>
      <c r="C23" s="127" t="s">
        <v>1012</v>
      </c>
      <c r="D23" s="129">
        <v>4</v>
      </c>
      <c r="E23" s="94">
        <v>16</v>
      </c>
    </row>
    <row r="24" spans="1:10">
      <c r="A24" s="105"/>
      <c r="B24" s="105"/>
      <c r="C24" s="105"/>
      <c r="D24" s="105"/>
      <c r="E24" s="263" t="s">
        <v>1076</v>
      </c>
    </row>
    <row r="25" spans="1:10">
      <c r="A25" s="105"/>
      <c r="B25" s="105"/>
      <c r="C25" s="105"/>
      <c r="D25" s="117"/>
      <c r="E25" s="117"/>
    </row>
    <row r="27" spans="1:10" ht="19.5" customHeight="1">
      <c r="A27" s="123"/>
      <c r="B27" s="123"/>
      <c r="C27" s="123"/>
      <c r="D27" s="123"/>
      <c r="E27" s="123"/>
    </row>
    <row r="28" spans="1:10" ht="30">
      <c r="A28" s="1684" t="s">
        <v>1604</v>
      </c>
      <c r="B28" s="1684"/>
      <c r="C28" s="1684"/>
      <c r="D28" s="1684"/>
      <c r="E28" s="1684"/>
      <c r="F28" s="218"/>
      <c r="G28" s="218"/>
      <c r="H28" s="218"/>
      <c r="I28" s="218"/>
      <c r="J28" s="218"/>
    </row>
    <row r="29" spans="1:10" ht="15" customHeight="1"/>
  </sheetData>
  <mergeCells count="8">
    <mergeCell ref="A28:E28"/>
    <mergeCell ref="A1:E1"/>
    <mergeCell ref="A2:E2"/>
    <mergeCell ref="B3:B5"/>
    <mergeCell ref="D3:D5"/>
    <mergeCell ref="C3:C5"/>
    <mergeCell ref="A3:A5"/>
    <mergeCell ref="E3:E5"/>
  </mergeCells>
  <phoneticPr fontId="0" type="noConversion"/>
  <printOptions horizontalCentered="1"/>
  <pageMargins left="0.1" right="0.1" top="0.93" bottom="0.1" header="0.4" footer="0.5"/>
  <pageSetup paperSize="9" orientation="portrait" blackAndWhite="1" horizontalDpi="4294967295" verticalDpi="300" r:id="rId1"/>
  <headerFooter alignWithMargins="0"/>
</worksheet>
</file>

<file path=xl/worksheets/sheet91.xml><?xml version="1.0" encoding="utf-8"?>
<worksheet xmlns="http://schemas.openxmlformats.org/spreadsheetml/2006/main" xmlns:r="http://schemas.openxmlformats.org/officeDocument/2006/relationships">
  <sheetPr codeName="Sheet1"/>
  <dimension ref="A1:L36"/>
  <sheetViews>
    <sheetView workbookViewId="0">
      <selection activeCell="B17" sqref="B17"/>
    </sheetView>
  </sheetViews>
  <sheetFormatPr defaultRowHeight="12.75"/>
  <cols>
    <col min="1" max="1" width="49.140625" customWidth="1"/>
    <col min="2" max="2" width="31.85546875" customWidth="1"/>
  </cols>
  <sheetData>
    <row r="1" spans="1:12" ht="20.25">
      <c r="A1" s="48" t="s">
        <v>1117</v>
      </c>
    </row>
    <row r="2" spans="1:12" ht="20.25">
      <c r="A2" s="49"/>
      <c r="B2" s="75" t="s">
        <v>1433</v>
      </c>
      <c r="C2" s="76">
        <v>2014</v>
      </c>
    </row>
    <row r="3" spans="1:12" ht="18">
      <c r="A3" s="50" t="s">
        <v>718</v>
      </c>
      <c r="B3" s="75" t="s">
        <v>1434</v>
      </c>
      <c r="C3" s="75" t="s">
        <v>720</v>
      </c>
    </row>
    <row r="4" spans="1:12" ht="18">
      <c r="A4" s="50"/>
      <c r="B4" s="75" t="s">
        <v>1435</v>
      </c>
      <c r="C4" s="76" t="s">
        <v>1436</v>
      </c>
      <c r="D4">
        <v>2011</v>
      </c>
    </row>
    <row r="5" spans="1:12" ht="18">
      <c r="A5" s="52" t="s">
        <v>548</v>
      </c>
      <c r="B5" s="182" t="s">
        <v>92</v>
      </c>
      <c r="C5" s="310">
        <v>2014</v>
      </c>
    </row>
    <row r="6" spans="1:12" ht="18">
      <c r="A6" s="67" t="s">
        <v>1118</v>
      </c>
      <c r="B6" s="75"/>
      <c r="C6" s="181"/>
    </row>
    <row r="7" spans="1:12" ht="18">
      <c r="A7" s="67" t="s">
        <v>1119</v>
      </c>
      <c r="B7" s="75" t="s">
        <v>1224</v>
      </c>
      <c r="C7">
        <v>2010</v>
      </c>
      <c r="D7">
        <v>2011</v>
      </c>
      <c r="E7">
        <v>2012</v>
      </c>
      <c r="F7">
        <v>2013</v>
      </c>
      <c r="G7">
        <v>2014</v>
      </c>
    </row>
    <row r="8" spans="1:12">
      <c r="A8" s="67" t="s">
        <v>1121</v>
      </c>
      <c r="C8" t="s">
        <v>1340</v>
      </c>
      <c r="D8" t="s">
        <v>1339</v>
      </c>
      <c r="E8" t="s">
        <v>1200</v>
      </c>
      <c r="F8" t="s">
        <v>1223</v>
      </c>
      <c r="G8" t="s">
        <v>720</v>
      </c>
    </row>
    <row r="9" spans="1:12">
      <c r="A9" s="67" t="s">
        <v>1120</v>
      </c>
    </row>
    <row r="10" spans="1:12">
      <c r="A10" s="52" t="s">
        <v>1264</v>
      </c>
      <c r="C10" s="1243">
        <v>2010</v>
      </c>
      <c r="D10" s="1243"/>
      <c r="E10" s="1243">
        <v>2011</v>
      </c>
      <c r="F10" s="1243"/>
      <c r="G10" s="1243">
        <v>2012</v>
      </c>
      <c r="H10" s="1243"/>
      <c r="I10" s="1243">
        <v>2013</v>
      </c>
      <c r="J10" s="1243"/>
      <c r="K10" s="1243">
        <v>2014</v>
      </c>
      <c r="L10" s="1243"/>
    </row>
    <row r="11" spans="1:12">
      <c r="A11" s="67" t="s">
        <v>1122</v>
      </c>
      <c r="C11" s="1243" t="s">
        <v>1340</v>
      </c>
      <c r="D11" s="1243"/>
      <c r="E11" s="1243" t="s">
        <v>1339</v>
      </c>
      <c r="F11" s="1243"/>
      <c r="G11" s="1243" t="s">
        <v>1200</v>
      </c>
      <c r="H11" s="1243"/>
      <c r="I11" s="1243" t="s">
        <v>1223</v>
      </c>
      <c r="J11" s="1243"/>
      <c r="K11" s="1243" t="s">
        <v>720</v>
      </c>
      <c r="L11" s="1243"/>
    </row>
    <row r="12" spans="1:12">
      <c r="A12" s="67" t="s">
        <v>1123</v>
      </c>
    </row>
    <row r="13" spans="1:12">
      <c r="A13" s="67" t="s">
        <v>1124</v>
      </c>
      <c r="C13">
        <v>2010</v>
      </c>
      <c r="D13" t="s">
        <v>1340</v>
      </c>
    </row>
    <row r="14" spans="1:12">
      <c r="A14" s="67" t="s">
        <v>1125</v>
      </c>
      <c r="C14">
        <v>2011</v>
      </c>
      <c r="D14" t="s">
        <v>1339</v>
      </c>
    </row>
    <row r="15" spans="1:12">
      <c r="A15" s="67" t="s">
        <v>1126</v>
      </c>
      <c r="C15">
        <v>2012</v>
      </c>
      <c r="D15" t="s">
        <v>1200</v>
      </c>
    </row>
    <row r="16" spans="1:12">
      <c r="A16" s="67" t="s">
        <v>1127</v>
      </c>
      <c r="C16">
        <v>2013</v>
      </c>
      <c r="D16" t="s">
        <v>1223</v>
      </c>
    </row>
    <row r="17" spans="1:4">
      <c r="A17" s="67" t="s">
        <v>1128</v>
      </c>
      <c r="C17">
        <v>2014</v>
      </c>
      <c r="D17" t="s">
        <v>720</v>
      </c>
    </row>
    <row r="18" spans="1:4">
      <c r="A18" s="67" t="s">
        <v>90</v>
      </c>
    </row>
    <row r="19" spans="1:4">
      <c r="A19" s="67" t="s">
        <v>1130</v>
      </c>
    </row>
    <row r="20" spans="1:4">
      <c r="A20" s="52" t="s">
        <v>805</v>
      </c>
    </row>
    <row r="21" spans="1:4">
      <c r="A21" s="67" t="s">
        <v>1131</v>
      </c>
    </row>
    <row r="22" spans="1:4">
      <c r="A22" s="67" t="s">
        <v>1133</v>
      </c>
    </row>
    <row r="23" spans="1:4">
      <c r="A23" s="67" t="s">
        <v>1134</v>
      </c>
    </row>
    <row r="24" spans="1:4">
      <c r="A24" s="67" t="s">
        <v>1623</v>
      </c>
    </row>
    <row r="25" spans="1:4">
      <c r="A25" s="67" t="s">
        <v>768</v>
      </c>
    </row>
    <row r="26" spans="1:4">
      <c r="A26" s="67" t="s">
        <v>1625</v>
      </c>
    </row>
    <row r="27" spans="1:4">
      <c r="A27" s="67" t="s">
        <v>1626</v>
      </c>
    </row>
    <row r="28" spans="1:4">
      <c r="A28" s="67" t="s">
        <v>1275</v>
      </c>
    </row>
    <row r="29" spans="1:4">
      <c r="A29" s="67" t="s">
        <v>714</v>
      </c>
    </row>
    <row r="30" spans="1:4">
      <c r="A30" s="52" t="s">
        <v>1265</v>
      </c>
    </row>
    <row r="31" spans="1:4">
      <c r="A31" s="67" t="s">
        <v>769</v>
      </c>
    </row>
    <row r="32" spans="1:4">
      <c r="A32" s="67" t="s">
        <v>770</v>
      </c>
    </row>
    <row r="33" spans="1:1">
      <c r="A33" s="67" t="s">
        <v>771</v>
      </c>
    </row>
    <row r="34" spans="1:1">
      <c r="A34" s="67" t="s">
        <v>1629</v>
      </c>
    </row>
    <row r="35" spans="1:1">
      <c r="A35" s="67" t="s">
        <v>772</v>
      </c>
    </row>
    <row r="36" spans="1:1">
      <c r="A36" s="67" t="s">
        <v>710</v>
      </c>
    </row>
  </sheetData>
  <mergeCells count="10">
    <mergeCell ref="E11:F11"/>
    <mergeCell ref="C11:D11"/>
    <mergeCell ref="K10:L10"/>
    <mergeCell ref="K11:L11"/>
    <mergeCell ref="I11:J11"/>
    <mergeCell ref="G11:H11"/>
    <mergeCell ref="C10:D10"/>
    <mergeCell ref="E10:F10"/>
    <mergeCell ref="G10:H10"/>
    <mergeCell ref="I10:J10"/>
  </mergeCells>
  <phoneticPr fontId="0" type="noConversion"/>
  <pageMargins left="0.75" right="0.75" top="1" bottom="1" header="0.5" footer="0.5"/>
  <pageSetup paperSize="9" orientation="portrait" horizontalDpi="4294967295"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91</vt:i4>
      </vt:variant>
      <vt:variant>
        <vt:lpstr>Named Ranges</vt:lpstr>
      </vt:variant>
      <vt:variant>
        <vt:i4>14</vt:i4>
      </vt:variant>
    </vt:vector>
  </HeadingPairs>
  <TitlesOfParts>
    <vt:vector size="105" baseType="lpstr">
      <vt:lpstr>MAP</vt:lpstr>
      <vt:lpstr>Cover Page</vt:lpstr>
      <vt:lpstr>PREFACE</vt:lpstr>
      <vt:lpstr>Contents</vt:lpstr>
      <vt:lpstr>At a glance</vt:lpstr>
      <vt:lpstr>1.1,1.2</vt:lpstr>
      <vt:lpstr>1.3</vt:lpstr>
      <vt:lpstr>1.4</vt:lpstr>
      <vt:lpstr>2.1</vt:lpstr>
      <vt:lpstr>2.1a,2.1b</vt:lpstr>
      <vt:lpstr>2.2</vt:lpstr>
      <vt:lpstr>2.3</vt:lpstr>
      <vt:lpstr>2.4a</vt:lpstr>
      <vt:lpstr>2.4b</vt:lpstr>
      <vt:lpstr>2.5a</vt:lpstr>
      <vt:lpstr>2.5b</vt:lpstr>
      <vt:lpstr>2.6</vt:lpstr>
      <vt:lpstr>2.7</vt:lpstr>
      <vt:lpstr>2.8</vt:lpstr>
      <vt:lpstr>2.9</vt:lpstr>
      <vt:lpstr>2.10</vt:lpstr>
      <vt:lpstr>2.10a</vt:lpstr>
      <vt:lpstr>2.11</vt:lpstr>
      <vt:lpstr>3.1</vt:lpstr>
      <vt:lpstr>3.2</vt:lpstr>
      <vt:lpstr>3.2a</vt:lpstr>
      <vt:lpstr>3.3</vt:lpstr>
      <vt:lpstr>3.3a</vt:lpstr>
      <vt:lpstr>4.1a</vt:lpstr>
      <vt:lpstr>4.1b</vt:lpstr>
      <vt:lpstr>4.1c</vt:lpstr>
      <vt:lpstr>4.2a</vt:lpstr>
      <vt:lpstr>4.2b</vt:lpstr>
      <vt:lpstr>4.2c</vt:lpstr>
      <vt:lpstr>4.3a</vt:lpstr>
      <vt:lpstr>4.3b</vt:lpstr>
      <vt:lpstr>4.3c</vt:lpstr>
      <vt:lpstr>4.4</vt:lpstr>
      <vt:lpstr>4.5</vt:lpstr>
      <vt:lpstr>4.6</vt:lpstr>
      <vt:lpstr>4.7</vt:lpstr>
      <vt:lpstr>4.8</vt:lpstr>
      <vt:lpstr>5.1 </vt:lpstr>
      <vt:lpstr>5.1a,5.1b</vt:lpstr>
      <vt:lpstr>5.2</vt:lpstr>
      <vt:lpstr>5.3</vt:lpstr>
      <vt:lpstr>5.3a</vt:lpstr>
      <vt:lpstr>5.3b,5.3c</vt:lpstr>
      <vt:lpstr>5.3d</vt:lpstr>
      <vt:lpstr>5.3e</vt:lpstr>
      <vt:lpstr>5.4</vt:lpstr>
      <vt:lpstr>5.5,5.5a</vt:lpstr>
      <vt:lpstr>5.6,5.7,5.8</vt:lpstr>
      <vt:lpstr>6.1</vt:lpstr>
      <vt:lpstr>6.2</vt:lpstr>
      <vt:lpstr>7.1</vt:lpstr>
      <vt:lpstr>7.2,7.3</vt:lpstr>
      <vt:lpstr>8.1,8.2</vt:lpstr>
      <vt:lpstr>8.2a</vt:lpstr>
      <vt:lpstr>8.3</vt:lpstr>
      <vt:lpstr>8.4</vt:lpstr>
      <vt:lpstr>9.1</vt:lpstr>
      <vt:lpstr>9.2,9.2a,9.2b</vt:lpstr>
      <vt:lpstr>10.1,10.2</vt:lpstr>
      <vt:lpstr>10.3</vt:lpstr>
      <vt:lpstr>11.1,11.1a</vt:lpstr>
      <vt:lpstr>11.2</vt:lpstr>
      <vt:lpstr>11.3,11.4</vt:lpstr>
      <vt:lpstr>12.1,12.2</vt:lpstr>
      <vt:lpstr>12.3</vt:lpstr>
      <vt:lpstr>12.4</vt:lpstr>
      <vt:lpstr>12.5,12.6,12.7</vt:lpstr>
      <vt:lpstr>13.1</vt:lpstr>
      <vt:lpstr>13.2,13.3</vt:lpstr>
      <vt:lpstr>14.1,14.2</vt:lpstr>
      <vt:lpstr>15.1</vt:lpstr>
      <vt:lpstr>15.2</vt:lpstr>
      <vt:lpstr>Block_Level</vt:lpstr>
      <vt:lpstr>Block_Level_NR</vt:lpstr>
      <vt:lpstr>16.1</vt:lpstr>
      <vt:lpstr>17.1</vt:lpstr>
      <vt:lpstr>17.2</vt:lpstr>
      <vt:lpstr>18.1</vt:lpstr>
      <vt:lpstr>18.2</vt:lpstr>
      <vt:lpstr>18.3</vt:lpstr>
      <vt:lpstr>19.1</vt:lpstr>
      <vt:lpstr>20.1</vt:lpstr>
      <vt:lpstr>20.2</vt:lpstr>
      <vt:lpstr>21.1</vt:lpstr>
      <vt:lpstr>21.2</vt:lpstr>
      <vt:lpstr>District</vt:lpstr>
      <vt:lpstr>'12.1,12.2'!Print_Area</vt:lpstr>
      <vt:lpstr>'3.2'!Print_Area</vt:lpstr>
      <vt:lpstr>'3.2a'!Print_Area</vt:lpstr>
      <vt:lpstr>'5.2'!Print_Area</vt:lpstr>
      <vt:lpstr>'10.3'!Print_Titles</vt:lpstr>
      <vt:lpstr>'15.2'!Print_Titles</vt:lpstr>
      <vt:lpstr>'18.2'!Print_Titles</vt:lpstr>
      <vt:lpstr>'2.1'!Print_Titles</vt:lpstr>
      <vt:lpstr>'2.2'!Print_Titles</vt:lpstr>
      <vt:lpstr>'2.4a'!Print_Titles</vt:lpstr>
      <vt:lpstr>'2.4b'!Print_Titles</vt:lpstr>
      <vt:lpstr>'4.6'!Print_Titles</vt:lpstr>
      <vt:lpstr>'4.7'!Print_Titles</vt:lpstr>
      <vt:lpstr>'6.2'!Print_Titles</vt:lpstr>
    </vt:vector>
  </TitlesOfParts>
  <Company>HCL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NEWUSER</dc:creator>
  <cp:lastModifiedBy>BAES</cp:lastModifiedBy>
  <cp:lastPrinted>2016-06-08T10:03:15Z</cp:lastPrinted>
  <dcterms:created xsi:type="dcterms:W3CDTF">2007-01-18T06:47:54Z</dcterms:created>
  <dcterms:modified xsi:type="dcterms:W3CDTF">2016-06-24T10:45:07Z</dcterms:modified>
</cp:coreProperties>
</file>